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1.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2.xml" ContentType="application/vnd.openxmlformats-officedocument.drawing+xml"/>
  <Override PartName="/xl/comments12.xml" ContentType="application/vnd.openxmlformats-officedocument.spreadsheetml.comments+xml"/>
  <Override PartName="/xl/drawings/drawing3.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135" windowWidth="19440" windowHeight="570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比较法-商业" sheetId="33" state="hidden" r:id="rId19"/>
    <sheet name="Sheet4" sheetId="83" state="hidden" r:id="rId20"/>
    <sheet name="成本法" sheetId="68" r:id="rId21"/>
    <sheet name="成本法 (元)" sheetId="69" state="hidden" r:id="rId22"/>
    <sheet name="假设开发法" sheetId="12" state="hidden" r:id="rId23"/>
    <sheet name="土地比较法-住宅、综合" sheetId="39" r:id="rId24"/>
    <sheet name="土地案例" sheetId="86" r:id="rId25"/>
    <sheet name="收益法 (元)" sheetId="67" state="hidden" r:id="rId26"/>
    <sheet name="收益法-酒店模型" sheetId="77" state="hidden" r:id="rId27"/>
    <sheet name="Sheet1" sheetId="84" state="hidden" r:id="rId28"/>
    <sheet name="典型户型修正" sheetId="31" state="hidden" r:id="rId29"/>
    <sheet name="收益法（汇总）" sheetId="70" state="hidden" r:id="rId30"/>
    <sheet name="收益法" sheetId="15" r:id="rId31"/>
    <sheet name="基准地价修正" sheetId="43" r:id="rId32"/>
    <sheet name="收益法-办公" sheetId="80" state="hidden" r:id="rId33"/>
    <sheet name="收益法-车库" sheetId="81" state="hidden" r:id="rId34"/>
    <sheet name="比较法-住宅" sheetId="21" state="hidden" r:id="rId35"/>
    <sheet name="比较法-工业" sheetId="37" state="hidden" r:id="rId36"/>
    <sheet name="比较法-车位" sheetId="35" state="hidden" r:id="rId37"/>
    <sheet name="比较法-仓储" sheetId="36" state="hidden" r:id="rId38"/>
    <sheet name="土地比较法-工业" sheetId="40" state="hidden" r:id="rId39"/>
    <sheet name="基准地价（汇总）" sheetId="76" state="hidden" r:id="rId40"/>
    <sheet name="修正" sheetId="45" state="hidden" r:id="rId41"/>
    <sheet name="容积率修正" sheetId="46" state="hidden" r:id="rId42"/>
    <sheet name="成本法（废）" sheetId="11" state="hidden" r:id="rId43"/>
    <sheet name="区片价" sheetId="44" state="hidden" r:id="rId44"/>
    <sheet name="因素修正幅度" sheetId="65" state="hidden" r:id="rId45"/>
    <sheet name="区片价（范围）" sheetId="75" state="hidden" r:id="rId46"/>
    <sheet name="地价-分区" sheetId="79" state="hidden" r:id="rId47"/>
    <sheet name="地价" sheetId="71" state="hidden" r:id="rId48"/>
    <sheet name="存贷款利率" sheetId="73" state="hidden" r:id="rId49"/>
    <sheet name="Sheet3" sheetId="82" state="hidden" r:id="rId50"/>
    <sheet name="比较法-办公" sheetId="34" state="hidden" r:id="rId51"/>
    <sheet name="Sheet2" sheetId="85" state="hidden" r:id="rId52"/>
  </sheets>
  <externalReferences>
    <externalReference r:id="rId53"/>
    <externalReference r:id="rId54"/>
  </externalReferences>
  <definedNames>
    <definedName name="_xlnm._FilterDatabase" localSheetId="50" hidden="1">'比较法-办公'!$A$1:$L$50</definedName>
    <definedName name="_xlnm._FilterDatabase" localSheetId="37" hidden="1">'比较法-仓储'!$A$1:$L$37</definedName>
    <definedName name="_xlnm._FilterDatabase" localSheetId="36" hidden="1">'比较法-车位'!$A$1:$L$39</definedName>
    <definedName name="_xlnm._FilterDatabase" localSheetId="35" hidden="1">'比较法-工业'!$A$1:$L$43</definedName>
    <definedName name="_xlnm._FilterDatabase" localSheetId="18" hidden="1">'比较法-商业'!$A$1:$L$49</definedName>
    <definedName name="_xlnm._FilterDatabase" localSheetId="34" hidden="1">'比较法-住宅'!$A$1:$L$49</definedName>
    <definedName name="_xlnm._FilterDatabase" localSheetId="12" hidden="1">'数据-基础表'!$A$12:$AT$587</definedName>
    <definedName name="_xlnm._FilterDatabase" localSheetId="38" hidden="1">'土地比较法-工业'!$A$1:$L$43</definedName>
    <definedName name="_xlnm._FilterDatabase" localSheetId="23" hidden="1">'土地比较法-住宅、综合'!$A$1:$L$48</definedName>
    <definedName name="_xlnm._FilterDatabase" localSheetId="11" hidden="1">项目基本情况!$A$42:$N$42</definedName>
    <definedName name="_xlnm.Print_Area" localSheetId="50">'比较法-办公'!$A$1:$K$55,'比较法-办公'!$A$58:$M$132</definedName>
    <definedName name="_xlnm.Print_Area" localSheetId="37">'比较法-仓储'!$A$1:$K$42,'比较法-仓储'!$A$45:$M$96</definedName>
    <definedName name="_xlnm.Print_Area" localSheetId="36">'比较法-车位'!$A$1:$K$44,'比较法-车位'!$A$47:$M$102</definedName>
    <definedName name="_xlnm.Print_Area" localSheetId="35">'比较法-工业'!$A$1:$K$48,'比较法-工业'!$A$51:$M$113</definedName>
    <definedName name="_xlnm.Print_Area" localSheetId="18">'比较法-商业'!$A$1:$K$54,'比较法-商业'!$A$57:$M$131</definedName>
    <definedName name="_xlnm.Print_Area" localSheetId="34">'比较法-住宅'!$A$1:$K$54,'比较法-住宅'!$A$57:$M$131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9">'基准地价（汇总）'!$A$1:$E$13</definedName>
    <definedName name="_xlnm.Print_Area" localSheetId="31">基准地价修正!$A$1:$J$44,基准地价修正!$A$47:$H$101,基准地价修正!$R$1:$V$16</definedName>
    <definedName name="_xlnm.Print_Area" localSheetId="22">假设开发法!$A$1:$K$32</definedName>
    <definedName name="_xlnm.Print_Area" localSheetId="17">结果表!$A$1:$I$127</definedName>
    <definedName name="_xlnm.Print_Area" localSheetId="30">收益法!$A$1:$F$43,收益法!$H$3:$M$29,收益法!$A$46:$F$71,收益法!$I$46:$N$65</definedName>
    <definedName name="_xlnm.Print_Area" localSheetId="25">'收益法 (元)'!$A$1:$F$43,'收益法 (元)'!$H$3:$M$29,'收益法 (元)'!$A$45:$F$71,'收益法 (元)'!$I$46:$N$65</definedName>
    <definedName name="_xlnm.Print_Area" localSheetId="29">'收益法（汇总）'!$A$1:$F$13</definedName>
    <definedName name="_xlnm.Print_Area" localSheetId="32">'收益法-办公'!$A$1:$F$43,'收益法-办公'!$H$3:$M$29,'收益法-办公'!$A$46:$F$71,'收益法-办公'!$I$46:$N$65</definedName>
    <definedName name="_xlnm.Print_Area" localSheetId="33">'收益法-车库'!$A$1:$F$43,'收益法-车库'!$H$3:$M$29,'收益法-车库'!$A$46:$F$71,'收益法-车库'!$I$46:$N$65</definedName>
    <definedName name="_xlnm.Print_Area" localSheetId="13">'数据-汇总表'!$A$1:$P$32</definedName>
    <definedName name="_xlnm.Print_Area" localSheetId="38">'土地比较法-工业'!$A$1:$K$61,'土地比较法-工业'!$A$64:$M$121</definedName>
    <definedName name="_xlnm.Print_Area" localSheetId="23">'土地比较法-住宅、综合'!$A$1:$K$65,'土地比较法-住宅、综合'!$A$68:$M$131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6">'[1]数据-汇总表'!$C$17:$C$26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E7" i="39" l="1"/>
  <c r="E5" i="39"/>
  <c r="I7" i="39" l="1"/>
  <c r="G7" i="39"/>
  <c r="I34" i="39"/>
  <c r="G34" i="39"/>
  <c r="E34" i="39"/>
  <c r="I5" i="39"/>
  <c r="G5" i="39"/>
  <c r="S16" i="86"/>
  <c r="T16" i="86" s="1"/>
  <c r="R6" i="86"/>
  <c r="S6" i="86" s="1"/>
  <c r="T6" i="86" s="1"/>
  <c r="S13" i="86"/>
  <c r="T13" i="86" s="1"/>
  <c r="S5" i="86"/>
  <c r="T5" i="86" s="1"/>
  <c r="S7" i="86"/>
  <c r="T7" i="86" s="1"/>
  <c r="S2" i="86"/>
  <c r="T2" i="86" s="1"/>
  <c r="S3" i="86"/>
  <c r="T3" i="86" s="1"/>
  <c r="S11" i="86"/>
  <c r="T11" i="86" s="1"/>
  <c r="S10" i="86"/>
  <c r="T10" i="86" s="1"/>
  <c r="R9" i="86"/>
  <c r="S9" i="86" s="1"/>
  <c r="T9" i="86" s="1"/>
  <c r="R14" i="86"/>
  <c r="S14" i="86" s="1"/>
  <c r="T14" i="86" s="1"/>
  <c r="S8" i="86"/>
  <c r="T8" i="86" s="1"/>
  <c r="S12" i="86"/>
  <c r="T12" i="86" s="1"/>
  <c r="S15" i="86"/>
  <c r="T15" i="86" s="1"/>
  <c r="S4" i="86"/>
  <c r="T4" i="86" s="1"/>
  <c r="D33" i="43" l="1"/>
  <c r="I37" i="34" l="1"/>
  <c r="G37" i="34"/>
  <c r="E37" i="34"/>
  <c r="I5" i="34"/>
  <c r="X22" i="1" l="1"/>
  <c r="G19" i="6"/>
  <c r="V22" i="1" s="1"/>
  <c r="D3" i="31"/>
  <c r="E3" i="31"/>
  <c r="F3" i="31"/>
  <c r="G3" i="31"/>
  <c r="H3" i="31"/>
  <c r="I3" i="31"/>
  <c r="D4" i="31"/>
  <c r="E4" i="31"/>
  <c r="F4" i="31"/>
  <c r="G4" i="31"/>
  <c r="H4" i="31"/>
  <c r="I4" i="31"/>
  <c r="C4" i="31"/>
  <c r="C3" i="31"/>
  <c r="B25" i="31"/>
  <c r="B26" i="31"/>
  <c r="B24" i="31"/>
  <c r="C33" i="33"/>
  <c r="Y23" i="1"/>
  <c r="X25" i="1"/>
  <c r="Y25" i="1" s="1"/>
  <c r="X24" i="1"/>
  <c r="Y24" i="1" s="1"/>
  <c r="I13" i="3"/>
  <c r="B27" i="31" l="1"/>
  <c r="V26" i="1"/>
  <c r="Y22" i="1"/>
  <c r="Y26" i="1" s="1"/>
  <c r="X26" i="1" s="1"/>
  <c r="C38" i="39" l="1"/>
  <c r="I38" i="39"/>
  <c r="G38" i="39"/>
  <c r="E38" i="39"/>
  <c r="T3" i="82"/>
  <c r="U3" i="82" s="1"/>
  <c r="T5" i="82"/>
  <c r="U5" i="82" s="1"/>
  <c r="T2" i="82"/>
  <c r="U2" i="82" s="1"/>
  <c r="Q72" i="81"/>
  <c r="Q59" i="81"/>
  <c r="K59" i="81"/>
  <c r="P74" i="81" s="1"/>
  <c r="F59" i="81"/>
  <c r="Q58" i="81"/>
  <c r="Q51" i="81"/>
  <c r="J50" i="81"/>
  <c r="M47" i="81"/>
  <c r="D46" i="81"/>
  <c r="F33" i="81"/>
  <c r="F61" i="81" s="1"/>
  <c r="F31" i="81"/>
  <c r="F23" i="81"/>
  <c r="D24" i="81" s="1"/>
  <c r="D22" i="81"/>
  <c r="F21" i="81"/>
  <c r="F20" i="81"/>
  <c r="M19" i="81"/>
  <c r="F18" i="81"/>
  <c r="M17" i="81"/>
  <c r="F17" i="81"/>
  <c r="F15" i="81"/>
  <c r="Q72" i="80"/>
  <c r="Q59" i="80"/>
  <c r="K59" i="80"/>
  <c r="P74" i="80" s="1"/>
  <c r="F59" i="80"/>
  <c r="Q58" i="80"/>
  <c r="Q51" i="80"/>
  <c r="J50" i="80"/>
  <c r="M47" i="80"/>
  <c r="D46" i="80"/>
  <c r="F33" i="80"/>
  <c r="F61" i="80" s="1"/>
  <c r="F31" i="80"/>
  <c r="F23" i="80"/>
  <c r="D23" i="80" s="1"/>
  <c r="F21" i="80"/>
  <c r="F20" i="80"/>
  <c r="M19" i="80"/>
  <c r="F18" i="80"/>
  <c r="M17" i="80"/>
  <c r="F17" i="80"/>
  <c r="F15" i="80"/>
  <c r="Y6" i="1"/>
  <c r="M23" i="1"/>
  <c r="F19" i="6"/>
  <c r="C34" i="34" s="1"/>
  <c r="D23" i="81" l="1"/>
  <c r="D3" i="33"/>
  <c r="P61" i="81"/>
  <c r="D24" i="80"/>
  <c r="P61" i="80"/>
  <c r="D22" i="80"/>
  <c r="L26" i="79"/>
  <c r="M26" i="79"/>
  <c r="P26" i="79" s="1"/>
  <c r="N26" i="79"/>
  <c r="L27" i="79"/>
  <c r="M27" i="79"/>
  <c r="P27" i="79" s="1"/>
  <c r="N27" i="79"/>
  <c r="L28" i="79"/>
  <c r="M28" i="79"/>
  <c r="N28" i="79"/>
  <c r="I26" i="79"/>
  <c r="I27" i="79"/>
  <c r="I28" i="79"/>
  <c r="I6" i="79"/>
  <c r="I7" i="79"/>
  <c r="I8" i="79"/>
  <c r="K6" i="79"/>
  <c r="L6" i="79"/>
  <c r="M6" i="79"/>
  <c r="P6" i="79" s="1"/>
  <c r="N6" i="79"/>
  <c r="O6" i="79"/>
  <c r="K7" i="79"/>
  <c r="L7" i="79"/>
  <c r="M7" i="79"/>
  <c r="P7" i="79" s="1"/>
  <c r="N7" i="79"/>
  <c r="O7" i="79"/>
  <c r="K8" i="79"/>
  <c r="L8" i="79"/>
  <c r="M8" i="79"/>
  <c r="P8" i="79" s="1"/>
  <c r="N8" i="79"/>
  <c r="O8" i="79"/>
  <c r="P28"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G24" i="43"/>
  <c r="I23" i="43"/>
  <c r="G17" i="43"/>
  <c r="C13" i="43"/>
  <c r="N12" i="43"/>
  <c r="G2" i="43"/>
  <c r="AB36" i="79"/>
  <c r="AA36" i="79"/>
  <c r="Z36" i="79"/>
  <c r="W36" i="79"/>
  <c r="N36" i="79"/>
  <c r="M36" i="79"/>
  <c r="P36" i="79" s="1"/>
  <c r="L36" i="79"/>
  <c r="I36" i="79"/>
  <c r="AD36" i="79" s="1"/>
  <c r="AB35" i="79"/>
  <c r="AA35" i="79"/>
  <c r="Z35" i="79"/>
  <c r="N35" i="79"/>
  <c r="U35" i="79" s="1"/>
  <c r="M35" i="79"/>
  <c r="T35" i="79" s="1"/>
  <c r="W35" i="79" s="1"/>
  <c r="L35" i="79"/>
  <c r="S35" i="79" s="1"/>
  <c r="I35" i="79"/>
  <c r="AD35" i="79" s="1"/>
  <c r="AB34" i="79"/>
  <c r="AA34" i="79"/>
  <c r="Z34" i="79"/>
  <c r="N34" i="79"/>
  <c r="U34" i="79" s="1"/>
  <c r="M34" i="79"/>
  <c r="L34" i="79"/>
  <c r="S34" i="79" s="1"/>
  <c r="I34" i="79"/>
  <c r="AD34" i="79" s="1"/>
  <c r="AB33" i="79"/>
  <c r="AA33" i="79"/>
  <c r="Z33" i="79"/>
  <c r="N33" i="79"/>
  <c r="U33" i="79" s="1"/>
  <c r="M33" i="79"/>
  <c r="T33" i="79" s="1"/>
  <c r="W33" i="79" s="1"/>
  <c r="L33" i="79"/>
  <c r="S33" i="79" s="1"/>
  <c r="I33" i="79"/>
  <c r="AD33" i="79" s="1"/>
  <c r="AB32" i="79"/>
  <c r="AA32" i="79"/>
  <c r="Z32" i="79"/>
  <c r="N32" i="79"/>
  <c r="U32" i="79" s="1"/>
  <c r="M32" i="79"/>
  <c r="T32" i="79" s="1"/>
  <c r="W32" i="79" s="1"/>
  <c r="L32" i="79"/>
  <c r="S32" i="79" s="1"/>
  <c r="I32" i="79"/>
  <c r="AD32" i="79" s="1"/>
  <c r="AB31" i="79"/>
  <c r="AA31" i="79"/>
  <c r="Z31" i="79"/>
  <c r="N31" i="79"/>
  <c r="U31" i="79" s="1"/>
  <c r="M31" i="79"/>
  <c r="T31" i="79" s="1"/>
  <c r="W31" i="79" s="1"/>
  <c r="L31" i="79"/>
  <c r="S31" i="79" s="1"/>
  <c r="I31" i="79"/>
  <c r="AD31" i="79" s="1"/>
  <c r="AB30" i="79"/>
  <c r="AA30" i="79"/>
  <c r="Z30" i="79"/>
  <c r="N30" i="79"/>
  <c r="U30" i="79" s="1"/>
  <c r="M30" i="79"/>
  <c r="L30" i="79"/>
  <c r="S30" i="79" s="1"/>
  <c r="I30" i="79"/>
  <c r="AD30" i="79" s="1"/>
  <c r="AB29" i="79"/>
  <c r="AA29" i="79"/>
  <c r="Z29" i="79"/>
  <c r="N29" i="79"/>
  <c r="M29" i="79"/>
  <c r="T23" i="79" s="1"/>
  <c r="W23" i="79" s="1"/>
  <c r="L29" i="79"/>
  <c r="I29" i="79"/>
  <c r="AD29" i="79" s="1"/>
  <c r="AB25" i="79"/>
  <c r="AA25" i="79"/>
  <c r="Z25" i="79"/>
  <c r="N25" i="79"/>
  <c r="U23" i="79" s="1"/>
  <c r="M25" i="79"/>
  <c r="L25" i="79"/>
  <c r="I25" i="79"/>
  <c r="AD25" i="79" s="1"/>
  <c r="AA23" i="79"/>
  <c r="AD23" i="79" s="1"/>
  <c r="N23" i="79"/>
  <c r="M23" i="79"/>
  <c r="P23" i="79" s="1"/>
  <c r="L23" i="79"/>
  <c r="G23" i="79"/>
  <c r="F23" i="79"/>
  <c r="I23" i="79" s="1"/>
  <c r="E23" i="79"/>
  <c r="AC16" i="79"/>
  <c r="AB16" i="79"/>
  <c r="AA16" i="79"/>
  <c r="AD16" i="79" s="1"/>
  <c r="Z16" i="79"/>
  <c r="Y16" i="79"/>
  <c r="W16" i="79"/>
  <c r="O16" i="79"/>
  <c r="N16" i="79"/>
  <c r="M16" i="79"/>
  <c r="P16" i="79" s="1"/>
  <c r="L16" i="79"/>
  <c r="K16" i="79"/>
  <c r="I16" i="79"/>
  <c r="AC15" i="79"/>
  <c r="AB15" i="79"/>
  <c r="AA15" i="79"/>
  <c r="AD15" i="79" s="1"/>
  <c r="Z15" i="79"/>
  <c r="Y15" i="79"/>
  <c r="O15" i="79"/>
  <c r="V15" i="79" s="1"/>
  <c r="N15" i="79"/>
  <c r="U15" i="79" s="1"/>
  <c r="M15" i="79"/>
  <c r="P15" i="79" s="1"/>
  <c r="L15" i="79"/>
  <c r="S15" i="79" s="1"/>
  <c r="K15" i="79"/>
  <c r="R15" i="79" s="1"/>
  <c r="I15" i="79"/>
  <c r="AC14" i="79"/>
  <c r="AB14" i="79"/>
  <c r="AA14" i="79"/>
  <c r="AD14" i="79" s="1"/>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P13" i="79" s="1"/>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V11" i="79" s="1"/>
  <c r="N11" i="79"/>
  <c r="U11" i="79" s="1"/>
  <c r="M11" i="79"/>
  <c r="P11" i="79" s="1"/>
  <c r="L11" i="79"/>
  <c r="S11" i="79" s="1"/>
  <c r="K11" i="79"/>
  <c r="R11" i="79" s="1"/>
  <c r="I11" i="79"/>
  <c r="AC10" i="79"/>
  <c r="AB10" i="79"/>
  <c r="AA10" i="79"/>
  <c r="AD10" i="79" s="1"/>
  <c r="Z10" i="79"/>
  <c r="Y10" i="79"/>
  <c r="O10" i="79"/>
  <c r="V10" i="79" s="1"/>
  <c r="N10" i="79"/>
  <c r="U10" i="79" s="1"/>
  <c r="M10" i="79"/>
  <c r="T10" i="79" s="1"/>
  <c r="W10" i="79" s="1"/>
  <c r="L10" i="79"/>
  <c r="S10" i="79" s="1"/>
  <c r="K10" i="79"/>
  <c r="R10" i="79" s="1"/>
  <c r="I10" i="79"/>
  <c r="AC9" i="79"/>
  <c r="AB9" i="79"/>
  <c r="AA9" i="79"/>
  <c r="AD9" i="79" s="1"/>
  <c r="Z9" i="79"/>
  <c r="Y9" i="79"/>
  <c r="O9" i="79"/>
  <c r="N9" i="79"/>
  <c r="M9" i="79"/>
  <c r="L9" i="79"/>
  <c r="K9" i="79"/>
  <c r="I9" i="79"/>
  <c r="AC5" i="79"/>
  <c r="AB5" i="79"/>
  <c r="AA5" i="79"/>
  <c r="AD5" i="79" s="1"/>
  <c r="Z5" i="79"/>
  <c r="Y5" i="79"/>
  <c r="O5" i="79"/>
  <c r="N5" i="79"/>
  <c r="M5" i="79"/>
  <c r="P5" i="79" s="1"/>
  <c r="L5" i="79"/>
  <c r="K5" i="79"/>
  <c r="I5" i="79"/>
  <c r="AC3" i="79"/>
  <c r="AB3" i="79"/>
  <c r="AA3" i="79"/>
  <c r="AD3" i="79" s="1"/>
  <c r="Z3" i="79"/>
  <c r="Y3" i="79"/>
  <c r="V3" i="79"/>
  <c r="U3" i="79"/>
  <c r="T3" i="79"/>
  <c r="W3" i="79" s="1"/>
  <c r="S3" i="79"/>
  <c r="O3" i="79"/>
  <c r="N3" i="79"/>
  <c r="M3" i="79"/>
  <c r="P3" i="79" s="1"/>
  <c r="L3" i="79"/>
  <c r="K3" i="79"/>
  <c r="H3" i="79"/>
  <c r="G3" i="79"/>
  <c r="F3" i="79"/>
  <c r="I3" i="79" s="1"/>
  <c r="E3" i="79"/>
  <c r="D3" i="79"/>
  <c r="T371" i="46"/>
  <c r="S371" i="46"/>
  <c r="R371" i="46"/>
  <c r="T279" i="46"/>
  <c r="S279" i="46"/>
  <c r="R279" i="46"/>
  <c r="U279" i="46" s="1"/>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T34" i="79" l="1"/>
  <c r="W34" i="79" s="1"/>
  <c r="T26" i="79"/>
  <c r="W26" i="79" s="1"/>
  <c r="T28" i="79"/>
  <c r="W28" i="79" s="1"/>
  <c r="T27" i="79"/>
  <c r="W27" i="79" s="1"/>
  <c r="T25" i="79"/>
  <c r="W25" i="79" s="1"/>
  <c r="AB23" i="79"/>
  <c r="S28" i="79"/>
  <c r="S26" i="79"/>
  <c r="S27" i="79"/>
  <c r="U29" i="79"/>
  <c r="U27" i="79"/>
  <c r="U26" i="79"/>
  <c r="U28" i="79"/>
  <c r="R6" i="79"/>
  <c r="R5" i="79"/>
  <c r="R7" i="79"/>
  <c r="R8" i="79"/>
  <c r="P9" i="79"/>
  <c r="T7" i="79"/>
  <c r="W7" i="79" s="1"/>
  <c r="T6" i="79"/>
  <c r="W6" i="79" s="1"/>
  <c r="T5" i="79"/>
  <c r="W5" i="79" s="1"/>
  <c r="T8" i="79"/>
  <c r="W8" i="79" s="1"/>
  <c r="V9" i="79"/>
  <c r="V6" i="79"/>
  <c r="V5" i="79"/>
  <c r="V7" i="79"/>
  <c r="V8" i="79"/>
  <c r="S9" i="79"/>
  <c r="S7" i="79"/>
  <c r="S8" i="79"/>
  <c r="S5" i="79"/>
  <c r="S6" i="79"/>
  <c r="U9" i="79"/>
  <c r="U7" i="79"/>
  <c r="U5" i="79"/>
  <c r="U8" i="79"/>
  <c r="U6" i="79"/>
  <c r="R9" i="79"/>
  <c r="S23" i="79"/>
  <c r="P12" i="79"/>
  <c r="P14" i="79"/>
  <c r="U25" i="79"/>
  <c r="R3" i="79"/>
  <c r="Z23" i="79"/>
  <c r="S29" i="79"/>
  <c r="T30" i="79"/>
  <c r="W30" i="79" s="1"/>
  <c r="S25" i="79"/>
  <c r="T29" i="79"/>
  <c r="W29" i="79" s="1"/>
  <c r="P10"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T9" i="79"/>
  <c r="W9" i="79" s="1"/>
  <c r="T11" i="79"/>
  <c r="W11" i="79" s="1"/>
  <c r="T13" i="79"/>
  <c r="W13" i="79" s="1"/>
  <c r="T15" i="79"/>
  <c r="W15" i="79" s="1"/>
  <c r="P25" i="79"/>
  <c r="P30" i="79"/>
  <c r="P32" i="79"/>
  <c r="P34" i="79"/>
  <c r="P29" i="79"/>
  <c r="P31" i="79"/>
  <c r="P33" i="79"/>
  <c r="P35" i="79"/>
  <c r="E25" i="78"/>
  <c r="E24" i="78"/>
  <c r="F23" i="78"/>
  <c r="F24" i="78" s="1"/>
  <c r="F25" i="78" s="1"/>
  <c r="E23" i="78"/>
  <c r="E22" i="78"/>
  <c r="G22" i="78" s="1"/>
  <c r="F12" i="78"/>
  <c r="C15" i="78" s="1"/>
  <c r="F11" i="78"/>
  <c r="D7" i="78"/>
  <c r="D6" i="78"/>
  <c r="D5" i="78"/>
  <c r="C18" i="78" l="1"/>
  <c r="H100" i="43"/>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N14" i="77"/>
  <c r="M14" i="77"/>
  <c r="D14" i="77"/>
  <c r="D11" i="77" s="1"/>
  <c r="R13" i="77"/>
  <c r="R12" i="77"/>
  <c r="D12" i="77"/>
  <c r="R11" i="77"/>
  <c r="R10" i="77"/>
  <c r="D10" i="77"/>
  <c r="R9" i="77"/>
  <c r="D9" i="77"/>
  <c r="R8" i="77"/>
  <c r="R7" i="77"/>
  <c r="R4" i="77"/>
  <c r="R3" i="77"/>
  <c r="E11" i="77" l="1"/>
  <c r="E7" i="77" s="1"/>
  <c r="C27" i="77" s="1"/>
  <c r="D7" i="77"/>
  <c r="C26" i="77" s="1"/>
  <c r="R14" i="77"/>
  <c r="R24" i="77" s="1"/>
  <c r="D29" i="77"/>
  <c r="E23" i="77"/>
  <c r="D26" i="77"/>
  <c r="D32" i="77" s="1"/>
  <c r="C29" i="77"/>
  <c r="C32" i="77" s="1"/>
  <c r="C38" i="77" s="1"/>
  <c r="C39" i="77" s="1"/>
  <c r="R35" i="77"/>
  <c r="U34" i="77" s="1"/>
  <c r="AH9" i="71"/>
  <c r="AG9" i="71"/>
  <c r="AE9" i="71"/>
  <c r="AF9" i="71" s="1"/>
  <c r="AD9" i="71"/>
  <c r="Q9" i="71"/>
  <c r="P9" i="71"/>
  <c r="O9" i="71"/>
  <c r="N9" i="71"/>
  <c r="R25" i="77" l="1"/>
  <c r="R19" i="77"/>
  <c r="E26" i="77"/>
  <c r="E38" i="77"/>
  <c r="E39" i="77" s="1"/>
  <c r="C40" i="77" s="1"/>
  <c r="B2" i="77" s="1"/>
  <c r="E29" i="77"/>
  <c r="E32" i="77" s="1"/>
  <c r="AH10" i="71"/>
  <c r="AG10" i="71"/>
  <c r="AE10" i="71"/>
  <c r="AF10" i="71" s="1"/>
  <c r="AD10" i="71"/>
  <c r="Q10" i="71"/>
  <c r="P10" i="71"/>
  <c r="O10" i="71"/>
  <c r="N10" i="71"/>
  <c r="R5" i="77" l="1"/>
  <c r="U5" i="77" s="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s="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B22" i="71" s="1"/>
  <c r="B21" i="71" s="1"/>
  <c r="B20" i="71" s="1"/>
  <c r="B19" i="71" s="1"/>
  <c r="B18" i="71" s="1"/>
  <c r="B17" i="71" s="1"/>
  <c r="Q24" i="71"/>
  <c r="P24" i="71"/>
  <c r="E24" i="71" s="1"/>
  <c r="O24" i="71"/>
  <c r="C24" i="71"/>
  <c r="C23" i="71" s="1"/>
  <c r="Q25" i="71"/>
  <c r="F24" i="71"/>
  <c r="F23" i="71" s="1"/>
  <c r="F22" i="71" s="1"/>
  <c r="P25" i="71"/>
  <c r="O25" i="71"/>
  <c r="N25"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s="1"/>
  <c r="A19" i="62"/>
  <c r="A12" i="62"/>
  <c r="B58" i="72" s="1"/>
  <c r="A120" i="9"/>
  <c r="H2" i="52"/>
  <c r="A1" i="52"/>
  <c r="A3" i="53"/>
  <c r="Q26" i="71"/>
  <c r="P26" i="71"/>
  <c r="O26" i="71"/>
  <c r="N26" i="71"/>
  <c r="A15" i="51"/>
  <c r="B12" i="72" s="1"/>
  <c r="C76" i="9"/>
  <c r="I107" i="40"/>
  <c r="K6" i="4"/>
  <c r="M56" i="9" s="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s="1"/>
  <c r="AG26" i="71"/>
  <c r="AH26" i="71"/>
  <c r="AD27" i="71"/>
  <c r="AE27" i="71"/>
  <c r="AF27" i="71"/>
  <c r="AG27" i="71"/>
  <c r="AH27" i="71"/>
  <c r="AD28" i="71"/>
  <c r="AE28" i="71"/>
  <c r="AF28" i="71" s="1"/>
  <c r="AG28" i="71"/>
  <c r="AH28" i="71"/>
  <c r="AD29" i="71"/>
  <c r="AE29" i="71"/>
  <c r="AF29" i="71" s="1"/>
  <c r="AG29" i="71"/>
  <c r="AH29" i="71"/>
  <c r="AD30" i="71"/>
  <c r="AE30" i="71"/>
  <c r="AF30" i="71" s="1"/>
  <c r="AG30" i="71"/>
  <c r="AH30" i="71"/>
  <c r="AD31" i="71"/>
  <c r="AE31" i="71"/>
  <c r="AF31" i="71"/>
  <c r="AG31" i="71"/>
  <c r="AH31" i="71"/>
  <c r="AD32" i="71"/>
  <c r="AE32" i="71"/>
  <c r="AF32" i="71" s="1"/>
  <c r="AG32" i="71"/>
  <c r="AH32" i="71"/>
  <c r="AD33" i="71"/>
  <c r="AE33" i="71"/>
  <c r="AF33" i="71" s="1"/>
  <c r="AG33" i="71"/>
  <c r="AH33" i="71"/>
  <c r="AD34" i="71"/>
  <c r="AE34" i="71"/>
  <c r="AF34" i="71" s="1"/>
  <c r="AG34" i="71"/>
  <c r="AH34" i="71"/>
  <c r="AD35" i="71"/>
  <c r="AE35" i="71"/>
  <c r="AF35" i="71"/>
  <c r="AG35" i="71"/>
  <c r="AH35" i="71"/>
  <c r="AD36" i="71"/>
  <c r="AE36" i="71"/>
  <c r="AF36" i="71" s="1"/>
  <c r="AG36" i="71"/>
  <c r="AH36" i="71"/>
  <c r="AD37" i="71"/>
  <c r="AE37" i="71"/>
  <c r="AF37" i="71" s="1"/>
  <c r="AG37" i="71"/>
  <c r="AH37" i="71"/>
  <c r="AD38" i="71"/>
  <c r="AE38" i="71"/>
  <c r="AF38" i="71" s="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F87" i="71" s="1"/>
  <c r="F86" i="71" s="1"/>
  <c r="E88" i="71"/>
  <c r="E87" i="71" s="1"/>
  <c r="E86" i="71" s="1"/>
  <c r="C88" i="71"/>
  <c r="D88" i="71" s="1"/>
  <c r="B88" i="71"/>
  <c r="B87" i="71"/>
  <c r="B86" i="71" s="1"/>
  <c r="D85" i="71"/>
  <c r="F84" i="71"/>
  <c r="F83" i="71" s="1"/>
  <c r="F82" i="71" s="1"/>
  <c r="E84" i="71"/>
  <c r="E83" i="71" s="1"/>
  <c r="E82" i="71" s="1"/>
  <c r="C84" i="71"/>
  <c r="D84" i="71" s="1"/>
  <c r="B84" i="71"/>
  <c r="B83" i="71"/>
  <c r="B82" i="71" s="1"/>
  <c r="D81" i="71"/>
  <c r="Q80" i="71"/>
  <c r="P80" i="71"/>
  <c r="O80" i="71"/>
  <c r="N80" i="71"/>
  <c r="F80" i="71"/>
  <c r="V80" i="71" s="1"/>
  <c r="E80" i="71"/>
  <c r="U80" i="71" s="1"/>
  <c r="C80" i="71"/>
  <c r="T80" i="71" s="1"/>
  <c r="B80" i="71"/>
  <c r="S80" i="71" s="1"/>
  <c r="Q79" i="71"/>
  <c r="P79" i="71"/>
  <c r="O79" i="71"/>
  <c r="N79" i="71"/>
  <c r="F79" i="71"/>
  <c r="F78" i="71" s="1"/>
  <c r="B79" i="71"/>
  <c r="B78" i="71" s="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V68" i="71" s="1"/>
  <c r="E68" i="71"/>
  <c r="P68" i="71" s="1"/>
  <c r="C68" i="71"/>
  <c r="B68" i="71"/>
  <c r="S68" i="71" s="1"/>
  <c r="F67" i="71"/>
  <c r="F66" i="71" s="1"/>
  <c r="Q66" i="71" s="1"/>
  <c r="D65" i="71"/>
  <c r="Q64" i="71"/>
  <c r="P64" i="71"/>
  <c r="O64" i="71"/>
  <c r="N64" i="71"/>
  <c r="Q63" i="71"/>
  <c r="P63" i="71"/>
  <c r="O63" i="71"/>
  <c r="N63" i="71"/>
  <c r="Q62" i="71"/>
  <c r="P62" i="71"/>
  <c r="O62" i="71"/>
  <c r="N62" i="71"/>
  <c r="Q61" i="71"/>
  <c r="F62" i="71" s="1"/>
  <c r="F63" i="71" s="1"/>
  <c r="F64" i="71" s="1"/>
  <c r="V64" i="71" s="1"/>
  <c r="P61" i="71"/>
  <c r="E62" i="71" s="1"/>
  <c r="O61" i="71"/>
  <c r="C62" i="71" s="1"/>
  <c r="N61" i="71"/>
  <c r="B62" i="71" s="1"/>
  <c r="B63" i="71" s="1"/>
  <c r="B64" i="71" s="1"/>
  <c r="S64" i="71" s="1"/>
  <c r="D61" i="71"/>
  <c r="Q60" i="71"/>
  <c r="P60" i="71"/>
  <c r="O60" i="71"/>
  <c r="N60" i="71"/>
  <c r="Q59" i="71"/>
  <c r="P59" i="71"/>
  <c r="O59" i="71"/>
  <c r="N59" i="71"/>
  <c r="Q58" i="71"/>
  <c r="P58" i="71"/>
  <c r="O58" i="71"/>
  <c r="N58" i="71"/>
  <c r="Q57" i="71"/>
  <c r="F58" i="71" s="1"/>
  <c r="F59" i="71" s="1"/>
  <c r="F60" i="71" s="1"/>
  <c r="V60" i="71" s="1"/>
  <c r="P57" i="71"/>
  <c r="E58" i="71"/>
  <c r="O57" i="71"/>
  <c r="C58" i="71"/>
  <c r="N57" i="71"/>
  <c r="B58" i="71"/>
  <c r="B59" i="71" s="1"/>
  <c r="B60" i="71" s="1"/>
  <c r="S60" i="71" s="1"/>
  <c r="D57" i="71"/>
  <c r="Q56" i="71"/>
  <c r="P56" i="71"/>
  <c r="O56" i="71"/>
  <c r="N56" i="71"/>
  <c r="Q55" i="71"/>
  <c r="P55" i="71"/>
  <c r="O55" i="71"/>
  <c r="N55" i="71"/>
  <c r="Q54" i="71"/>
  <c r="P54" i="71"/>
  <c r="O54" i="71"/>
  <c r="N54" i="71"/>
  <c r="Q53" i="71"/>
  <c r="F54" i="71" s="1"/>
  <c r="F55" i="71" s="1"/>
  <c r="F56" i="71" s="1"/>
  <c r="V56" i="71" s="1"/>
  <c r="P53" i="71"/>
  <c r="E54" i="71"/>
  <c r="O53" i="71"/>
  <c r="C54" i="71" s="1"/>
  <c r="N53" i="71"/>
  <c r="B54" i="71" s="1"/>
  <c r="B55" i="71" s="1"/>
  <c r="B56" i="71" s="1"/>
  <c r="S56" i="71" s="1"/>
  <c r="D53" i="71"/>
  <c r="Q52" i="71"/>
  <c r="P52" i="71"/>
  <c r="O52" i="71"/>
  <c r="N52" i="71"/>
  <c r="Q51" i="71"/>
  <c r="P51" i="71"/>
  <c r="O51" i="71"/>
  <c r="N51" i="71"/>
  <c r="Q50" i="71"/>
  <c r="P50" i="71"/>
  <c r="O50" i="71"/>
  <c r="N50" i="71"/>
  <c r="Q49" i="71"/>
  <c r="F50" i="71" s="1"/>
  <c r="P49" i="71"/>
  <c r="E50" i="71" s="1"/>
  <c r="E51" i="71" s="1"/>
  <c r="E52" i="71" s="1"/>
  <c r="U52" i="71" s="1"/>
  <c r="O49" i="71"/>
  <c r="C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E47" i="71" s="1"/>
  <c r="E48" i="71" s="1"/>
  <c r="U48" i="71" s="1"/>
  <c r="O45" i="71"/>
  <c r="C46" i="7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N41" i="71"/>
  <c r="B42" i="71" s="1"/>
  <c r="D41" i="71"/>
  <c r="Q40" i="71"/>
  <c r="P40" i="71"/>
  <c r="O40" i="71"/>
  <c r="N40" i="71"/>
  <c r="Q39" i="71"/>
  <c r="AB39" i="71" s="1"/>
  <c r="P39" i="71"/>
  <c r="AA39" i="71" s="1"/>
  <c r="O39" i="71"/>
  <c r="Y39" i="71" s="1"/>
  <c r="Z39" i="71" s="1"/>
  <c r="N39" i="71"/>
  <c r="X39" i="71"/>
  <c r="Q38" i="71"/>
  <c r="AB38" i="71"/>
  <c r="P38" i="71"/>
  <c r="O38" i="71"/>
  <c r="Y38" i="71" s="1"/>
  <c r="Z38" i="71" s="1"/>
  <c r="N38" i="71"/>
  <c r="Q37" i="71"/>
  <c r="F38" i="71" s="1"/>
  <c r="F39" i="71" s="1"/>
  <c r="F40" i="71" s="1"/>
  <c r="V40" i="71" s="1"/>
  <c r="P37" i="71"/>
  <c r="O37" i="71"/>
  <c r="N37" i="71"/>
  <c r="D37" i="71"/>
  <c r="Q36" i="71"/>
  <c r="AB36" i="71"/>
  <c r="P36" i="71"/>
  <c r="O36" i="71"/>
  <c r="Y36" i="71" s="1"/>
  <c r="Z36" i="71" s="1"/>
  <c r="N36" i="71"/>
  <c r="Q35" i="71"/>
  <c r="AB35" i="71" s="1"/>
  <c r="P35" i="71"/>
  <c r="O35" i="71"/>
  <c r="Y35" i="71" s="1"/>
  <c r="Z35" i="71" s="1"/>
  <c r="N35" i="71"/>
  <c r="X33" i="71" s="1"/>
  <c r="Q34" i="71"/>
  <c r="AB34" i="71"/>
  <c r="P34" i="71"/>
  <c r="O34" i="71"/>
  <c r="Y34" i="71" s="1"/>
  <c r="Z34" i="71" s="1"/>
  <c r="N34" i="71"/>
  <c r="Q33" i="71"/>
  <c r="F34" i="71" s="1"/>
  <c r="F35" i="71" s="1"/>
  <c r="F36" i="71" s="1"/>
  <c r="V36" i="71" s="1"/>
  <c r="P33" i="71"/>
  <c r="O33" i="71"/>
  <c r="N33" i="71"/>
  <c r="D33" i="71"/>
  <c r="Q32" i="71"/>
  <c r="AB32" i="71"/>
  <c r="P32" i="71"/>
  <c r="O32" i="71"/>
  <c r="Y32" i="71" s="1"/>
  <c r="Z32" i="71" s="1"/>
  <c r="N32" i="71"/>
  <c r="Q31" i="71"/>
  <c r="AB31" i="71" s="1"/>
  <c r="P31" i="71"/>
  <c r="O31" i="71"/>
  <c r="Y31" i="71" s="1"/>
  <c r="Z31" i="71" s="1"/>
  <c r="N31" i="71"/>
  <c r="X29" i="71" s="1"/>
  <c r="Q30" i="71"/>
  <c r="AB30" i="71"/>
  <c r="P30" i="71"/>
  <c r="O30" i="71"/>
  <c r="Y30" i="71" s="1"/>
  <c r="Z30" i="71" s="1"/>
  <c r="N30" i="71"/>
  <c r="Q29" i="71"/>
  <c r="F30" i="71" s="1"/>
  <c r="F31" i="71" s="1"/>
  <c r="F32" i="71" s="1"/>
  <c r="V32" i="71" s="1"/>
  <c r="P29" i="71"/>
  <c r="O29" i="71"/>
  <c r="Y29" i="71" s="1"/>
  <c r="Z29" i="71" s="1"/>
  <c r="N29" i="71"/>
  <c r="D29" i="71"/>
  <c r="O28" i="71"/>
  <c r="N28" i="71"/>
  <c r="B30" i="71"/>
  <c r="B31" i="71"/>
  <c r="B32" i="71" s="1"/>
  <c r="S32" i="71" s="1"/>
  <c r="E30" i="71"/>
  <c r="E31" i="71" s="1"/>
  <c r="E32" i="71" s="1"/>
  <c r="U32" i="71" s="1"/>
  <c r="AA29" i="71"/>
  <c r="B34" i="71"/>
  <c r="B35" i="71"/>
  <c r="B36" i="71" s="1"/>
  <c r="S36" i="71" s="1"/>
  <c r="B38" i="71"/>
  <c r="B39" i="71" s="1"/>
  <c r="B40" i="71" s="1"/>
  <c r="S40" i="71" s="1"/>
  <c r="X37" i="71"/>
  <c r="E38" i="71"/>
  <c r="E39" i="71"/>
  <c r="E40" i="71" s="1"/>
  <c r="U40" i="71" s="1"/>
  <c r="AA37" i="71"/>
  <c r="N68" i="71"/>
  <c r="E34" i="71"/>
  <c r="E35" i="71"/>
  <c r="E36" i="71" s="1"/>
  <c r="U36" i="71" s="1"/>
  <c r="X30" i="71"/>
  <c r="X32" i="71"/>
  <c r="AA32" i="71"/>
  <c r="C34" i="71"/>
  <c r="C35" i="71" s="1"/>
  <c r="Y33" i="71"/>
  <c r="Z33" i="71" s="1"/>
  <c r="AB33" i="71"/>
  <c r="X34" i="71"/>
  <c r="AA34" i="71"/>
  <c r="X35" i="71"/>
  <c r="AA35" i="71"/>
  <c r="X36" i="71"/>
  <c r="AA36" i="71"/>
  <c r="C38" i="71"/>
  <c r="Y37" i="71"/>
  <c r="Z37" i="71" s="1"/>
  <c r="AB37" i="71"/>
  <c r="X38" i="71"/>
  <c r="AA38" i="71"/>
  <c r="F51" i="71"/>
  <c r="F52" i="71" s="1"/>
  <c r="V52" i="71" s="1"/>
  <c r="C28" i="71"/>
  <c r="C27" i="71" s="1"/>
  <c r="Y28" i="71"/>
  <c r="Z28" i="71"/>
  <c r="B28" i="71"/>
  <c r="B27" i="71"/>
  <c r="B26" i="71" s="1"/>
  <c r="X25" i="71"/>
  <c r="X26" i="71"/>
  <c r="X27" i="71"/>
  <c r="X28" i="71"/>
  <c r="C39" i="71"/>
  <c r="D38" i="71"/>
  <c r="C43" i="71"/>
  <c r="D42" i="71"/>
  <c r="C47" i="71"/>
  <c r="D47" i="71" s="1"/>
  <c r="D46" i="71"/>
  <c r="P28" i="71"/>
  <c r="AA3" i="71" s="1"/>
  <c r="E55" i="71"/>
  <c r="E56" i="71" s="1"/>
  <c r="U56" i="71" s="1"/>
  <c r="E59" i="71"/>
  <c r="E60" i="71" s="1"/>
  <c r="U60" i="71" s="1"/>
  <c r="E63" i="71"/>
  <c r="E64" i="71"/>
  <c r="U64" i="71" s="1"/>
  <c r="Q65" i="71"/>
  <c r="U68" i="71"/>
  <c r="E67" i="71"/>
  <c r="Q28" i="71"/>
  <c r="F28" i="71" s="1"/>
  <c r="F27" i="71" s="1"/>
  <c r="F26" i="71" s="1"/>
  <c r="C55" i="71"/>
  <c r="D54" i="71"/>
  <c r="C59" i="71"/>
  <c r="D58" i="71"/>
  <c r="C63" i="71"/>
  <c r="C64" i="71" s="1"/>
  <c r="D62" i="71"/>
  <c r="Q67" i="71"/>
  <c r="T68" i="71"/>
  <c r="O68" i="71"/>
  <c r="D68" i="71"/>
  <c r="C67" i="71"/>
  <c r="O67" i="71" s="1"/>
  <c r="Q68" i="71"/>
  <c r="C71" i="71"/>
  <c r="D71" i="71" s="1"/>
  <c r="E71" i="71"/>
  <c r="E70" i="71" s="1"/>
  <c r="D72" i="71"/>
  <c r="C75" i="71"/>
  <c r="C74" i="71" s="1"/>
  <c r="D74" i="71" s="1"/>
  <c r="E75" i="71"/>
  <c r="E74" i="71" s="1"/>
  <c r="D76" i="71"/>
  <c r="C79" i="71"/>
  <c r="C78" i="71" s="1"/>
  <c r="D78" i="71" s="1"/>
  <c r="E79" i="71"/>
  <c r="E78" i="71" s="1"/>
  <c r="D80" i="71"/>
  <c r="C83" i="71"/>
  <c r="D83" i="71" s="1"/>
  <c r="C87" i="71"/>
  <c r="D87" i="71" s="1"/>
  <c r="S28" i="71"/>
  <c r="AB26" i="71"/>
  <c r="AB28" i="71"/>
  <c r="E28" i="71"/>
  <c r="E27" i="71" s="1"/>
  <c r="E26" i="71" s="1"/>
  <c r="AA25" i="71"/>
  <c r="AA27" i="71"/>
  <c r="AA28" i="71"/>
  <c r="D28" i="71"/>
  <c r="U28" i="71" s="1"/>
  <c r="C66" i="71"/>
  <c r="D66" i="71" s="1"/>
  <c r="D67" i="71"/>
  <c r="D63" i="71"/>
  <c r="C82" i="71"/>
  <c r="D82" i="71" s="1"/>
  <c r="D75" i="71"/>
  <c r="C86" i="71"/>
  <c r="D86" i="71" s="1"/>
  <c r="D79" i="71"/>
  <c r="C70" i="71"/>
  <c r="D70" i="71" s="1"/>
  <c r="C60" i="71"/>
  <c r="T60" i="71" s="1"/>
  <c r="D59" i="71"/>
  <c r="C56" i="71"/>
  <c r="T56" i="71" s="1"/>
  <c r="D55" i="71"/>
  <c r="P67" i="71"/>
  <c r="E66" i="71"/>
  <c r="P65" i="71" s="1"/>
  <c r="C44" i="71"/>
  <c r="T44" i="71" s="1"/>
  <c r="D43" i="71"/>
  <c r="C40" i="71"/>
  <c r="T40" i="71" s="1"/>
  <c r="D39" i="71"/>
  <c r="P66" i="71"/>
  <c r="O65" i="71"/>
  <c r="D40" i="71"/>
  <c r="D44" i="71"/>
  <c r="D56" i="71"/>
  <c r="D60"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AA18" i="35" s="1"/>
  <c r="C18" i="35"/>
  <c r="Q21" i="37"/>
  <c r="Z21" i="37" s="1"/>
  <c r="D77" i="37"/>
  <c r="E77" i="37" s="1"/>
  <c r="F77" i="37" s="1"/>
  <c r="G77" i="37" s="1"/>
  <c r="C21" i="37"/>
  <c r="Q21" i="34"/>
  <c r="Z21" i="34" s="1"/>
  <c r="D84" i="34"/>
  <c r="E84" i="34" s="1"/>
  <c r="F84" i="34" s="1"/>
  <c r="G84" i="34" s="1"/>
  <c r="F21" i="34"/>
  <c r="AA21" i="34" s="1"/>
  <c r="C21" i="34"/>
  <c r="Q21" i="33"/>
  <c r="Z21" i="33" s="1"/>
  <c r="D83" i="33"/>
  <c r="E83" i="33" s="1"/>
  <c r="F83" i="33" s="1"/>
  <c r="G83" i="33" s="1"/>
  <c r="C21" i="33"/>
  <c r="C21" i="21"/>
  <c r="Q21" i="21"/>
  <c r="Z21" i="21" s="1"/>
  <c r="H19" i="21"/>
  <c r="D83" i="21"/>
  <c r="F21" i="21"/>
  <c r="AA21" i="21" s="1"/>
  <c r="D81" i="21"/>
  <c r="G20" i="20"/>
  <c r="B88" i="43" s="1"/>
  <c r="C22" i="20"/>
  <c r="B100" i="43" s="1"/>
  <c r="B57" i="43"/>
  <c r="C25" i="40"/>
  <c r="S25" i="40"/>
  <c r="S18" i="36"/>
  <c r="H25" i="40"/>
  <c r="AB25" i="40" s="1"/>
  <c r="J25" i="40"/>
  <c r="AC25" i="40" s="1"/>
  <c r="H29" i="39"/>
  <c r="AB29" i="39" s="1"/>
  <c r="J29" i="39"/>
  <c r="AC29" i="39" s="1"/>
  <c r="J18" i="36"/>
  <c r="AC18" i="36" s="1"/>
  <c r="H18" i="35"/>
  <c r="AB18" i="35" s="1"/>
  <c r="S18" i="35"/>
  <c r="J18" i="35"/>
  <c r="AC18" i="35" s="1"/>
  <c r="H21" i="37"/>
  <c r="F21" i="37"/>
  <c r="AA21" i="37" s="1"/>
  <c r="H21" i="34"/>
  <c r="AB21" i="34" s="1"/>
  <c r="H21" i="33"/>
  <c r="U21" i="33" s="1"/>
  <c r="F21" i="33"/>
  <c r="S21" i="33" s="1"/>
  <c r="E83" i="21"/>
  <c r="F83" i="21" s="1"/>
  <c r="S21" i="21"/>
  <c r="H1" i="69"/>
  <c r="W25" i="40"/>
  <c r="U25" i="40"/>
  <c r="W18" i="36"/>
  <c r="AB21" i="37"/>
  <c r="U21" i="37"/>
  <c r="S21" i="37"/>
  <c r="U21" i="34"/>
  <c r="AB21" i="33"/>
  <c r="AA21" i="33"/>
  <c r="U18" i="35"/>
  <c r="W18" i="35"/>
  <c r="J21" i="37"/>
  <c r="W21" i="37" s="1"/>
  <c r="J21" i="34"/>
  <c r="W21" i="34" s="1"/>
  <c r="J21" i="33"/>
  <c r="W21" i="33" s="1"/>
  <c r="H21" i="21"/>
  <c r="U21" i="21" s="1"/>
  <c r="F38" i="69"/>
  <c r="E37" i="69"/>
  <c r="F36" i="69"/>
  <c r="F35" i="69"/>
  <c r="F21" i="69"/>
  <c r="F40" i="69" s="1"/>
  <c r="F20" i="69"/>
  <c r="F39" i="69" s="1"/>
  <c r="E10" i="69"/>
  <c r="E9" i="69"/>
  <c r="C7" i="69"/>
  <c r="AC21" i="37"/>
  <c r="AC21" i="33"/>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D54" i="43"/>
  <c r="D51" i="43"/>
  <c r="D50" i="43"/>
  <c r="Q72" i="15"/>
  <c r="Q58" i="15"/>
  <c r="Q51" i="15"/>
  <c r="Q59" i="15"/>
  <c r="AE13" i="1"/>
  <c r="M47" i="15"/>
  <c r="AG13" i="1"/>
  <c r="J50" i="15"/>
  <c r="D12" i="31"/>
  <c r="E12" i="31" s="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E15" i="4"/>
  <c r="A7" i="1"/>
  <c r="A8" i="1"/>
  <c r="B8" i="1" s="1"/>
  <c r="E8" i="1" s="1"/>
  <c r="A9" i="1"/>
  <c r="A10" i="1"/>
  <c r="A11" i="1"/>
  <c r="B11" i="1" s="1"/>
  <c r="E11" i="1" s="1"/>
  <c r="A12" i="1"/>
  <c r="A13" i="1"/>
  <c r="B13" i="1" s="1"/>
  <c r="E13" i="1" s="1"/>
  <c r="A6"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BA112" i="3"/>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K106" i="3"/>
  <c r="BJ106" i="3"/>
  <c r="BI106" i="3"/>
  <c r="BH106" i="3"/>
  <c r="BG106" i="3"/>
  <c r="BF106" i="3"/>
  <c r="BE106" i="3"/>
  <c r="BD106" i="3"/>
  <c r="BC106" i="3"/>
  <c r="BB106" i="3"/>
  <c r="BA106" i="3"/>
  <c r="AX106" i="3"/>
  <c r="AW106" i="3"/>
  <c r="AV106" i="3"/>
  <c r="AC106" i="3"/>
  <c r="H106" i="3"/>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s="1"/>
  <c r="AX103" i="3"/>
  <c r="AW103" i="3"/>
  <c r="AV103" i="3"/>
  <c r="AC103" i="3"/>
  <c r="H103" i="3"/>
  <c r="G103" i="3" s="1"/>
  <c r="BT102" i="3"/>
  <c r="BS102" i="3"/>
  <c r="BR102" i="3"/>
  <c r="BQ102" i="3"/>
  <c r="BP102" i="3"/>
  <c r="BO102" i="3"/>
  <c r="BN102" i="3"/>
  <c r="BM102" i="3"/>
  <c r="BL102" i="3" s="1"/>
  <c r="BK102" i="3"/>
  <c r="BJ102" i="3"/>
  <c r="BI102" i="3"/>
  <c r="BH102" i="3"/>
  <c r="BG102" i="3"/>
  <c r="BF102" i="3"/>
  <c r="BE102" i="3"/>
  <c r="BD102" i="3"/>
  <c r="BC102" i="3"/>
  <c r="BB102" i="3"/>
  <c r="AX102" i="3"/>
  <c r="AW102" i="3"/>
  <c r="AV102" i="3"/>
  <c r="AC102" i="3"/>
  <c r="H102" i="3"/>
  <c r="G102" i="3" s="1"/>
  <c r="BT101" i="3"/>
  <c r="BS101" i="3"/>
  <c r="BR101" i="3"/>
  <c r="BQ101" i="3"/>
  <c r="BP101" i="3"/>
  <c r="BO101" i="3"/>
  <c r="BN101" i="3"/>
  <c r="BM101" i="3"/>
  <c r="BL101" i="3" s="1"/>
  <c r="BK101" i="3"/>
  <c r="BJ101" i="3"/>
  <c r="BI101" i="3"/>
  <c r="BH101" i="3"/>
  <c r="BG101" i="3"/>
  <c r="BF101" i="3"/>
  <c r="BE101" i="3"/>
  <c r="BD101" i="3"/>
  <c r="BC101" i="3"/>
  <c r="BB101" i="3"/>
  <c r="AX101" i="3"/>
  <c r="AW101" i="3"/>
  <c r="AV101" i="3"/>
  <c r="AC101" i="3"/>
  <c r="H101" i="3"/>
  <c r="G101" i="3" s="1"/>
  <c r="BT100" i="3"/>
  <c r="BS100" i="3"/>
  <c r="BR100" i="3"/>
  <c r="BQ100" i="3"/>
  <c r="BP100" i="3"/>
  <c r="BO100" i="3"/>
  <c r="BN100" i="3"/>
  <c r="BM100" i="3"/>
  <c r="BL100" i="3" s="1"/>
  <c r="BK100" i="3"/>
  <c r="BJ100" i="3"/>
  <c r="BI100" i="3"/>
  <c r="BH100" i="3"/>
  <c r="BG100" i="3"/>
  <c r="BF100" i="3"/>
  <c r="BE100" i="3"/>
  <c r="BD100" i="3"/>
  <c r="BC100" i="3"/>
  <c r="BB100" i="3"/>
  <c r="AX100" i="3"/>
  <c r="AW100" i="3"/>
  <c r="AV100" i="3"/>
  <c r="AC100" i="3"/>
  <c r="H100" i="3"/>
  <c r="G100" i="3" s="1"/>
  <c r="BT99" i="3"/>
  <c r="BS99" i="3"/>
  <c r="BR99" i="3"/>
  <c r="BQ99" i="3"/>
  <c r="BP99" i="3"/>
  <c r="BO99" i="3"/>
  <c r="BN99" i="3"/>
  <c r="BM99" i="3"/>
  <c r="BK99" i="3"/>
  <c r="BJ99" i="3"/>
  <c r="BI99" i="3"/>
  <c r="BH99" i="3"/>
  <c r="BG99" i="3"/>
  <c r="BF99" i="3"/>
  <c r="BE99" i="3"/>
  <c r="BD99" i="3"/>
  <c r="BC99" i="3"/>
  <c r="BB99" i="3"/>
  <c r="BA99" i="3"/>
  <c r="AX99" i="3"/>
  <c r="AW99" i="3"/>
  <c r="AV99" i="3"/>
  <c r="AC99" i="3"/>
  <c r="H99" i="3"/>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s="1"/>
  <c r="AX92" i="3"/>
  <c r="AW92" i="3"/>
  <c r="AV92" i="3"/>
  <c r="AC92" i="3"/>
  <c r="H92" i="3"/>
  <c r="G92" i="3" s="1"/>
  <c r="BT91" i="3"/>
  <c r="BS91" i="3"/>
  <c r="BR91" i="3"/>
  <c r="BQ91" i="3"/>
  <c r="BP91" i="3"/>
  <c r="BO91" i="3"/>
  <c r="BN91" i="3"/>
  <c r="BM91" i="3"/>
  <c r="BL91" i="3" s="1"/>
  <c r="BK91" i="3"/>
  <c r="BJ91" i="3"/>
  <c r="BI91" i="3"/>
  <c r="BH91" i="3"/>
  <c r="BG91" i="3"/>
  <c r="BF91" i="3"/>
  <c r="BE91" i="3"/>
  <c r="BD91" i="3"/>
  <c r="BC91" i="3"/>
  <c r="BB91" i="3"/>
  <c r="AX91" i="3"/>
  <c r="AW91" i="3"/>
  <c r="AV91" i="3"/>
  <c r="AC91" i="3"/>
  <c r="H91" i="3"/>
  <c r="G91" i="3" s="1"/>
  <c r="BT90" i="3"/>
  <c r="BS90" i="3"/>
  <c r="BR90" i="3"/>
  <c r="BQ90" i="3"/>
  <c r="BP90" i="3"/>
  <c r="BO90" i="3"/>
  <c r="BN90" i="3"/>
  <c r="BM90" i="3"/>
  <c r="BK90" i="3"/>
  <c r="BJ90" i="3"/>
  <c r="BI90" i="3"/>
  <c r="BH90" i="3"/>
  <c r="BG90" i="3"/>
  <c r="BF90" i="3"/>
  <c r="BE90" i="3"/>
  <c r="BD90" i="3"/>
  <c r="BC90" i="3"/>
  <c r="BB90" i="3"/>
  <c r="BA90" i="3"/>
  <c r="AX90" i="3"/>
  <c r="AW90" i="3"/>
  <c r="AV90" i="3"/>
  <c r="AC90" i="3"/>
  <c r="H90" i="3"/>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K81" i="3"/>
  <c r="BJ81" i="3"/>
  <c r="BI81" i="3"/>
  <c r="BH81" i="3"/>
  <c r="BG81" i="3"/>
  <c r="BF81" i="3"/>
  <c r="BE81" i="3"/>
  <c r="BD81" i="3"/>
  <c r="BC81" i="3"/>
  <c r="BB81" i="3"/>
  <c r="BA81" i="3"/>
  <c r="AX81" i="3"/>
  <c r="AW81" i="3"/>
  <c r="AV81" i="3"/>
  <c r="AC81" i="3"/>
  <c r="H81" i="3"/>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K76" i="3"/>
  <c r="BJ76" i="3"/>
  <c r="BI76" i="3"/>
  <c r="BH76" i="3"/>
  <c r="BG76" i="3"/>
  <c r="BF76" i="3"/>
  <c r="BE76" i="3"/>
  <c r="BD76" i="3"/>
  <c r="BC76" i="3"/>
  <c r="BB76" i="3"/>
  <c r="BA76" i="3"/>
  <c r="AX76" i="3"/>
  <c r="AW76" i="3"/>
  <c r="AV76" i="3"/>
  <c r="AC76" i="3"/>
  <c r="H76" i="3"/>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s="1"/>
  <c r="AX70" i="3"/>
  <c r="AW70" i="3"/>
  <c r="AV70" i="3"/>
  <c r="AC70" i="3"/>
  <c r="H70" i="3"/>
  <c r="G70" i="3" s="1"/>
  <c r="BT69" i="3"/>
  <c r="BS69" i="3"/>
  <c r="BR69" i="3"/>
  <c r="BQ69" i="3"/>
  <c r="BP69" i="3"/>
  <c r="BO69" i="3"/>
  <c r="BN69" i="3"/>
  <c r="BM69" i="3"/>
  <c r="BL69" i="3" s="1"/>
  <c r="BK69" i="3"/>
  <c r="BJ69" i="3"/>
  <c r="BI69" i="3"/>
  <c r="BH69" i="3"/>
  <c r="BG69" i="3"/>
  <c r="BF69" i="3"/>
  <c r="BE69" i="3"/>
  <c r="BD69" i="3"/>
  <c r="BC69" i="3"/>
  <c r="BB69" i="3"/>
  <c r="AX69" i="3"/>
  <c r="AW69" i="3"/>
  <c r="AV69" i="3"/>
  <c r="AC69" i="3"/>
  <c r="H69" i="3"/>
  <c r="G69" i="3" s="1"/>
  <c r="BT68" i="3"/>
  <c r="BS68" i="3"/>
  <c r="BR68" i="3"/>
  <c r="BQ68" i="3"/>
  <c r="BP68" i="3"/>
  <c r="BO68" i="3"/>
  <c r="BN68" i="3"/>
  <c r="BM68" i="3"/>
  <c r="BL68" i="3" s="1"/>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K65" i="3"/>
  <c r="BJ65" i="3"/>
  <c r="BI65" i="3"/>
  <c r="BH65" i="3"/>
  <c r="BG65" i="3"/>
  <c r="BF65" i="3"/>
  <c r="BE65" i="3"/>
  <c r="BD65" i="3"/>
  <c r="BC65" i="3"/>
  <c r="BB65" i="3"/>
  <c r="BA65" i="3"/>
  <c r="AX65" i="3"/>
  <c r="AW65" i="3"/>
  <c r="AV65" i="3"/>
  <c r="AC65" i="3"/>
  <c r="H65" i="3"/>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K62" i="3"/>
  <c r="BJ62" i="3"/>
  <c r="BI62" i="3"/>
  <c r="BH62" i="3"/>
  <c r="BG62" i="3"/>
  <c r="BF62" i="3"/>
  <c r="BE62" i="3"/>
  <c r="BD62" i="3"/>
  <c r="BC62" i="3"/>
  <c r="BB62" i="3"/>
  <c r="BA62" i="3"/>
  <c r="AX62" i="3"/>
  <c r="AW62" i="3"/>
  <c r="AV62" i="3"/>
  <c r="AC62" i="3"/>
  <c r="H62" i="3"/>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s="1"/>
  <c r="AX57" i="3"/>
  <c r="AW57" i="3"/>
  <c r="AV57" i="3"/>
  <c r="AC57" i="3"/>
  <c r="H57" i="3"/>
  <c r="G57" i="3" s="1"/>
  <c r="BT56" i="3"/>
  <c r="BS56" i="3"/>
  <c r="BR56" i="3"/>
  <c r="BQ56" i="3"/>
  <c r="BP56" i="3"/>
  <c r="BO56" i="3"/>
  <c r="BN56" i="3"/>
  <c r="BM56" i="3"/>
  <c r="BL56" i="3" s="1"/>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s="1"/>
  <c r="AX54" i="3"/>
  <c r="AW54" i="3"/>
  <c r="AV54" i="3"/>
  <c r="AC54" i="3"/>
  <c r="H54" i="3"/>
  <c r="G54" i="3" s="1"/>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L52" i="3" s="1"/>
  <c r="BK52" i="3"/>
  <c r="BJ52" i="3"/>
  <c r="BI52" i="3"/>
  <c r="BH52" i="3"/>
  <c r="BG52" i="3"/>
  <c r="BF52" i="3"/>
  <c r="BE52" i="3"/>
  <c r="BD52" i="3"/>
  <c r="BC52" i="3"/>
  <c r="BB52" i="3"/>
  <c r="AX52" i="3"/>
  <c r="AW52" i="3"/>
  <c r="AV52" i="3"/>
  <c r="AC52" i="3"/>
  <c r="H52" i="3"/>
  <c r="G52" i="3" s="1"/>
  <c r="BT51" i="3"/>
  <c r="BS51" i="3"/>
  <c r="BR51" i="3"/>
  <c r="BQ51" i="3"/>
  <c r="BP51" i="3"/>
  <c r="BO51" i="3"/>
  <c r="BN51" i="3"/>
  <c r="BM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K49" i="3"/>
  <c r="BJ49" i="3"/>
  <c r="BI49" i="3"/>
  <c r="BH49" i="3"/>
  <c r="BG49" i="3"/>
  <c r="BF49" i="3"/>
  <c r="BE49" i="3"/>
  <c r="BD49" i="3"/>
  <c r="BC49" i="3"/>
  <c r="BB49" i="3"/>
  <c r="BA49" i="3"/>
  <c r="AX49" i="3"/>
  <c r="AW49" i="3"/>
  <c r="AV49" i="3"/>
  <c r="AC49" i="3"/>
  <c r="H49" i="3"/>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K46" i="3"/>
  <c r="BJ46" i="3"/>
  <c r="BI46" i="3"/>
  <c r="BH46" i="3"/>
  <c r="BG46" i="3"/>
  <c r="BF46" i="3"/>
  <c r="BE46" i="3"/>
  <c r="BD46" i="3"/>
  <c r="BC46" i="3"/>
  <c r="BB46" i="3"/>
  <c r="BA46" i="3"/>
  <c r="AX46" i="3"/>
  <c r="AW46" i="3"/>
  <c r="AV46" i="3"/>
  <c r="AC46" i="3"/>
  <c r="H46" i="3"/>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s="1"/>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s="1"/>
  <c r="AZ40" i="3" s="1"/>
  <c r="AX40" i="3"/>
  <c r="AW40" i="3"/>
  <c r="AV40" i="3"/>
  <c r="AC40" i="3"/>
  <c r="H40" i="3"/>
  <c r="G40" i="3" s="1"/>
  <c r="BT39" i="3"/>
  <c r="BS39" i="3"/>
  <c r="BR39" i="3"/>
  <c r="BQ39" i="3"/>
  <c r="BP39" i="3"/>
  <c r="BO39" i="3"/>
  <c r="BN39" i="3"/>
  <c r="BM39" i="3"/>
  <c r="BL39" i="3" s="1"/>
  <c r="BK39" i="3"/>
  <c r="BJ39" i="3"/>
  <c r="BI39" i="3"/>
  <c r="BH39" i="3"/>
  <c r="BG39" i="3"/>
  <c r="BF39" i="3"/>
  <c r="BE39" i="3"/>
  <c r="BD39" i="3"/>
  <c r="BC39" i="3"/>
  <c r="BB39" i="3"/>
  <c r="AX39" i="3"/>
  <c r="AW39" i="3"/>
  <c r="AV39" i="3"/>
  <c r="AC39" i="3"/>
  <c r="H39" i="3"/>
  <c r="G39" i="3" s="1"/>
  <c r="BT38" i="3"/>
  <c r="BS38" i="3"/>
  <c r="BR38" i="3"/>
  <c r="BQ38" i="3"/>
  <c r="BP38" i="3"/>
  <c r="BO38" i="3"/>
  <c r="BN38" i="3"/>
  <c r="BM38" i="3"/>
  <c r="BL38" i="3" s="1"/>
  <c r="BK38" i="3"/>
  <c r="BJ38" i="3"/>
  <c r="BI38" i="3"/>
  <c r="BH38" i="3"/>
  <c r="BG38" i="3"/>
  <c r="BF38" i="3"/>
  <c r="BE38" i="3"/>
  <c r="BD38" i="3"/>
  <c r="BC38" i="3"/>
  <c r="BB38" i="3"/>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K36" i="3"/>
  <c r="BJ36" i="3"/>
  <c r="BI36" i="3"/>
  <c r="BH36" i="3"/>
  <c r="BG36" i="3"/>
  <c r="BF36" i="3"/>
  <c r="BE36" i="3"/>
  <c r="BD36" i="3"/>
  <c r="BC36" i="3"/>
  <c r="BB36" i="3"/>
  <c r="BA36" i="3"/>
  <c r="AX36" i="3"/>
  <c r="AW36" i="3"/>
  <c r="AV36" i="3"/>
  <c r="AC36" i="3"/>
  <c r="H36" i="3"/>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s="1"/>
  <c r="AX30" i="3"/>
  <c r="AW30" i="3"/>
  <c r="AV30" i="3"/>
  <c r="AC30" i="3"/>
  <c r="H30" i="3"/>
  <c r="G30" i="3" s="1"/>
  <c r="BT29" i="3"/>
  <c r="BS29" i="3"/>
  <c r="BR29" i="3"/>
  <c r="BQ29" i="3"/>
  <c r="BP29" i="3"/>
  <c r="BO29" i="3"/>
  <c r="BN29" i="3"/>
  <c r="BM29" i="3"/>
  <c r="BL29" i="3" s="1"/>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K25" i="3"/>
  <c r="BJ25" i="3"/>
  <c r="BI25" i="3"/>
  <c r="BH25" i="3"/>
  <c r="BG25" i="3"/>
  <c r="BF25" i="3"/>
  <c r="BE25" i="3"/>
  <c r="BD25" i="3"/>
  <c r="BC25" i="3"/>
  <c r="BB25" i="3"/>
  <c r="BA25" i="3"/>
  <c r="AX25" i="3"/>
  <c r="AW25" i="3"/>
  <c r="AV25" i="3"/>
  <c r="AC25" i="3"/>
  <c r="H25" i="3"/>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X22" i="3"/>
  <c r="AW22" i="3"/>
  <c r="AV22" i="3"/>
  <c r="AC22" i="3"/>
  <c r="H22" i="3"/>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s="1"/>
  <c r="AZ207" i="3" s="1"/>
  <c r="AX207" i="3"/>
  <c r="AW207" i="3"/>
  <c r="AV207" i="3"/>
  <c r="AC207" i="3"/>
  <c r="H207" i="3"/>
  <c r="G207" i="3" s="1"/>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L205" i="3" s="1"/>
  <c r="BK205" i="3"/>
  <c r="BJ205" i="3"/>
  <c r="BI205" i="3"/>
  <c r="BH205" i="3"/>
  <c r="BG205" i="3"/>
  <c r="BF205" i="3"/>
  <c r="BE205" i="3"/>
  <c r="BD205" i="3"/>
  <c r="BC205" i="3"/>
  <c r="BB205" i="3"/>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AX204" i="3"/>
  <c r="AW204" i="3"/>
  <c r="AV204" i="3"/>
  <c r="AC204" i="3"/>
  <c r="H204" i="3"/>
  <c r="G204" i="3" s="1"/>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L177" i="3" s="1"/>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s="1"/>
  <c r="BK174" i="3"/>
  <c r="BJ174" i="3"/>
  <c r="BI174" i="3"/>
  <c r="BH174" i="3"/>
  <c r="BG174" i="3"/>
  <c r="BF174" i="3"/>
  <c r="BE174" i="3"/>
  <c r="BD174" i="3"/>
  <c r="BC174" i="3"/>
  <c r="BB174" i="3"/>
  <c r="AX174" i="3"/>
  <c r="AW174" i="3"/>
  <c r="AV174" i="3"/>
  <c r="AC174" i="3"/>
  <c r="H174" i="3"/>
  <c r="G174" i="3" s="1"/>
  <c r="BT173" i="3"/>
  <c r="BS173" i="3"/>
  <c r="BR173" i="3"/>
  <c r="BQ173" i="3"/>
  <c r="BP173" i="3"/>
  <c r="BO173" i="3"/>
  <c r="BN173" i="3"/>
  <c r="BM173" i="3"/>
  <c r="BL173" i="3" s="1"/>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G168" i="3" s="1"/>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s="1"/>
  <c r="BK162" i="3"/>
  <c r="BJ162" i="3"/>
  <c r="BI162" i="3"/>
  <c r="BH162" i="3"/>
  <c r="BG162" i="3"/>
  <c r="BF162" i="3"/>
  <c r="BE162" i="3"/>
  <c r="BD162" i="3"/>
  <c r="BC162" i="3"/>
  <c r="BB162" i="3"/>
  <c r="AX162" i="3"/>
  <c r="AW162" i="3"/>
  <c r="AV162" i="3"/>
  <c r="AC162" i="3"/>
  <c r="H162" i="3"/>
  <c r="G162" i="3" s="1"/>
  <c r="BT161" i="3"/>
  <c r="BS161" i="3"/>
  <c r="BR161" i="3"/>
  <c r="BQ161" i="3"/>
  <c r="BP161" i="3"/>
  <c r="BO161" i="3"/>
  <c r="BN161" i="3"/>
  <c r="BM161" i="3"/>
  <c r="BL161" i="3" s="1"/>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s="1"/>
  <c r="BK158" i="3"/>
  <c r="BJ158" i="3"/>
  <c r="BI158" i="3"/>
  <c r="BH158" i="3"/>
  <c r="BG158" i="3"/>
  <c r="BF158" i="3"/>
  <c r="BE158" i="3"/>
  <c r="BD158" i="3"/>
  <c r="BC158" i="3"/>
  <c r="BB158" i="3"/>
  <c r="AX158" i="3"/>
  <c r="AW158" i="3"/>
  <c r="AV158" i="3"/>
  <c r="AC158" i="3"/>
  <c r="H158" i="3"/>
  <c r="G158" i="3" s="1"/>
  <c r="BT157" i="3"/>
  <c r="BS157" i="3"/>
  <c r="BR157" i="3"/>
  <c r="BQ157" i="3"/>
  <c r="BP157" i="3"/>
  <c r="BO157" i="3"/>
  <c r="BN157" i="3"/>
  <c r="BM157" i="3"/>
  <c r="BL157" i="3" s="1"/>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s="1"/>
  <c r="BK146" i="3"/>
  <c r="BJ146" i="3"/>
  <c r="BI146" i="3"/>
  <c r="BH146" i="3"/>
  <c r="BG146" i="3"/>
  <c r="BF146" i="3"/>
  <c r="BE146" i="3"/>
  <c r="BD146" i="3"/>
  <c r="BC146" i="3"/>
  <c r="BB146" i="3"/>
  <c r="AX146" i="3"/>
  <c r="AW146" i="3"/>
  <c r="AV146" i="3"/>
  <c r="AC146" i="3"/>
  <c r="H146" i="3"/>
  <c r="G146" i="3" s="1"/>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G142" i="3" s="1"/>
  <c r="BT141" i="3"/>
  <c r="BS141" i="3"/>
  <c r="BR141" i="3"/>
  <c r="BQ141" i="3"/>
  <c r="BP141" i="3"/>
  <c r="BO141" i="3"/>
  <c r="BN141" i="3"/>
  <c r="BM141" i="3"/>
  <c r="BL141" i="3" s="1"/>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s="1"/>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L137" i="3" s="1"/>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s="1"/>
  <c r="BK134" i="3"/>
  <c r="BJ134" i="3"/>
  <c r="BI134" i="3"/>
  <c r="BH134" i="3"/>
  <c r="BG134" i="3"/>
  <c r="BF134" i="3"/>
  <c r="BE134" i="3"/>
  <c r="BD134" i="3"/>
  <c r="BC134" i="3"/>
  <c r="BB134" i="3"/>
  <c r="AX134" i="3"/>
  <c r="AW134" i="3"/>
  <c r="AV134" i="3"/>
  <c r="AC134" i="3"/>
  <c r="H134" i="3"/>
  <c r="G134" i="3" s="1"/>
  <c r="BT133" i="3"/>
  <c r="BS133" i="3"/>
  <c r="BR133" i="3"/>
  <c r="BQ133" i="3"/>
  <c r="BP133" i="3"/>
  <c r="BO133" i="3"/>
  <c r="BN133" i="3"/>
  <c r="BM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s="1"/>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s="1"/>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s="1"/>
  <c r="AX301" i="3"/>
  <c r="AW301" i="3"/>
  <c r="AV301" i="3"/>
  <c r="AC301" i="3"/>
  <c r="H301" i="3"/>
  <c r="G301" i="3" s="1"/>
  <c r="BT300" i="3"/>
  <c r="BS300" i="3"/>
  <c r="BR300" i="3"/>
  <c r="BQ300" i="3"/>
  <c r="BP300" i="3"/>
  <c r="BO300" i="3"/>
  <c r="BN300" i="3"/>
  <c r="BM300" i="3"/>
  <c r="BL300" i="3" s="1"/>
  <c r="BK300" i="3"/>
  <c r="BJ300" i="3"/>
  <c r="BI300" i="3"/>
  <c r="BH300" i="3"/>
  <c r="BG300" i="3"/>
  <c r="BF300" i="3"/>
  <c r="BE300" i="3"/>
  <c r="BD300" i="3"/>
  <c r="BC300" i="3"/>
  <c r="BB300" i="3"/>
  <c r="AX300" i="3"/>
  <c r="AW300" i="3"/>
  <c r="AV300" i="3"/>
  <c r="AC300" i="3"/>
  <c r="H300" i="3"/>
  <c r="G300" i="3" s="1"/>
  <c r="BT299" i="3"/>
  <c r="BS299" i="3"/>
  <c r="BR299" i="3"/>
  <c r="BQ299" i="3"/>
  <c r="BP299" i="3"/>
  <c r="BO299" i="3"/>
  <c r="BN299" i="3"/>
  <c r="BM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s="1"/>
  <c r="AX298" i="3"/>
  <c r="AW298" i="3"/>
  <c r="AV298" i="3"/>
  <c r="AC298" i="3"/>
  <c r="H298" i="3"/>
  <c r="G298" i="3" s="1"/>
  <c r="BT297" i="3"/>
  <c r="BS297" i="3"/>
  <c r="BR297" i="3"/>
  <c r="BQ297" i="3"/>
  <c r="BP297" i="3"/>
  <c r="BO297" i="3"/>
  <c r="BN297" i="3"/>
  <c r="BM297" i="3"/>
  <c r="BL297" i="3" s="1"/>
  <c r="BK297" i="3"/>
  <c r="BJ297" i="3"/>
  <c r="BI297" i="3"/>
  <c r="BH297" i="3"/>
  <c r="BG297" i="3"/>
  <c r="BF297" i="3"/>
  <c r="BE297" i="3"/>
  <c r="BD297" i="3"/>
  <c r="BC297" i="3"/>
  <c r="BB297" i="3"/>
  <c r="AX297" i="3"/>
  <c r="AW297" i="3"/>
  <c r="AV297" i="3"/>
  <c r="AC297" i="3"/>
  <c r="H297" i="3"/>
  <c r="G297"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s="1"/>
  <c r="BT295" i="3"/>
  <c r="BS295" i="3"/>
  <c r="BR295" i="3"/>
  <c r="BQ295" i="3"/>
  <c r="BP295" i="3"/>
  <c r="BO295" i="3"/>
  <c r="BN295" i="3"/>
  <c r="BM295" i="3"/>
  <c r="BL295" i="3" s="1"/>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L294" i="3" s="1"/>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BA293" i="3"/>
  <c r="AX293" i="3"/>
  <c r="AW293" i="3"/>
  <c r="AV293" i="3"/>
  <c r="AC293" i="3"/>
  <c r="H293" i="3"/>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K290" i="3"/>
  <c r="BJ290" i="3"/>
  <c r="BI290" i="3"/>
  <c r="BH290" i="3"/>
  <c r="BG290" i="3"/>
  <c r="BF290" i="3"/>
  <c r="BE290" i="3"/>
  <c r="BD290" i="3"/>
  <c r="BC290" i="3"/>
  <c r="BB290" i="3"/>
  <c r="BA290" i="3"/>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Z289" i="3" s="1"/>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K285" i="3"/>
  <c r="BJ285" i="3"/>
  <c r="BI285" i="3"/>
  <c r="BH285" i="3"/>
  <c r="BG285" i="3"/>
  <c r="BF285" i="3"/>
  <c r="BE285" i="3"/>
  <c r="BD285" i="3"/>
  <c r="BC285" i="3"/>
  <c r="BB285" i="3"/>
  <c r="BA285" i="3"/>
  <c r="AX285" i="3"/>
  <c r="AW285" i="3"/>
  <c r="AV285" i="3"/>
  <c r="AC285" i="3"/>
  <c r="H285" i="3"/>
  <c r="BT284" i="3"/>
  <c r="BS284" i="3"/>
  <c r="BR284" i="3"/>
  <c r="BQ284" i="3"/>
  <c r="BP284" i="3"/>
  <c r="BO284" i="3"/>
  <c r="BN284" i="3"/>
  <c r="BM284" i="3"/>
  <c r="BL284" i="3"/>
  <c r="BK284" i="3"/>
  <c r="BJ284" i="3"/>
  <c r="BI284" i="3"/>
  <c r="BH284" i="3"/>
  <c r="BG284" i="3"/>
  <c r="BF284" i="3"/>
  <c r="BE284" i="3"/>
  <c r="BD284" i="3"/>
  <c r="BC284" i="3"/>
  <c r="BB284" i="3"/>
  <c r="BA284" i="3" s="1"/>
  <c r="AZ284" i="3" s="1"/>
  <c r="AX284" i="3"/>
  <c r="AW284" i="3"/>
  <c r="AV284" i="3"/>
  <c r="AC284" i="3"/>
  <c r="H284" i="3"/>
  <c r="G284" i="3" s="1"/>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L282" i="3" s="1"/>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s="1"/>
  <c r="AZ278" i="3" s="1"/>
  <c r="AX278" i="3"/>
  <c r="AW278" i="3"/>
  <c r="AV278" i="3"/>
  <c r="AC278" i="3"/>
  <c r="H278" i="3"/>
  <c r="G278" i="3" s="1"/>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BA276" i="3"/>
  <c r="AX276" i="3"/>
  <c r="AW276" i="3"/>
  <c r="AV276" i="3"/>
  <c r="AC276" i="3"/>
  <c r="H276" i="3"/>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K272" i="3"/>
  <c r="BJ272" i="3"/>
  <c r="BI272" i="3"/>
  <c r="BH272" i="3"/>
  <c r="BG272" i="3"/>
  <c r="BF272" i="3"/>
  <c r="BE272" i="3"/>
  <c r="BD272" i="3"/>
  <c r="BC272" i="3"/>
  <c r="BB272" i="3"/>
  <c r="BA272" i="3"/>
  <c r="AX272" i="3"/>
  <c r="AW272" i="3"/>
  <c r="AV272" i="3"/>
  <c r="AC272" i="3"/>
  <c r="H272" i="3"/>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s="1"/>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G266" i="3" s="1"/>
  <c r="BT265" i="3"/>
  <c r="BS265" i="3"/>
  <c r="BR265" i="3"/>
  <c r="BQ265" i="3"/>
  <c r="BP265" i="3"/>
  <c r="BO265" i="3"/>
  <c r="BN265" i="3"/>
  <c r="BM265" i="3"/>
  <c r="BL265" i="3" s="1"/>
  <c r="BK265" i="3"/>
  <c r="BJ265" i="3"/>
  <c r="BI265" i="3"/>
  <c r="BH265" i="3"/>
  <c r="BG265" i="3"/>
  <c r="BF265" i="3"/>
  <c r="BE265" i="3"/>
  <c r="BD265" i="3"/>
  <c r="BC265" i="3"/>
  <c r="BB265" i="3"/>
  <c r="AX265" i="3"/>
  <c r="AW265" i="3"/>
  <c r="AV265" i="3"/>
  <c r="AC265" i="3"/>
  <c r="H265" i="3"/>
  <c r="G265" i="3" s="1"/>
  <c r="BT264" i="3"/>
  <c r="BS264" i="3"/>
  <c r="BR264" i="3"/>
  <c r="BQ264" i="3"/>
  <c r="BP264" i="3"/>
  <c r="BO264" i="3"/>
  <c r="BN264" i="3"/>
  <c r="BM264" i="3"/>
  <c r="BL264" i="3" s="1"/>
  <c r="BK264" i="3"/>
  <c r="BJ264" i="3"/>
  <c r="BI264" i="3"/>
  <c r="BH264" i="3"/>
  <c r="BG264" i="3"/>
  <c r="BF264" i="3"/>
  <c r="BE264" i="3"/>
  <c r="BD264" i="3"/>
  <c r="BC264" i="3"/>
  <c r="BB264" i="3"/>
  <c r="AX264" i="3"/>
  <c r="AW264" i="3"/>
  <c r="AV264" i="3"/>
  <c r="AC264" i="3"/>
  <c r="H264" i="3"/>
  <c r="G264" i="3" s="1"/>
  <c r="BT263" i="3"/>
  <c r="BS263" i="3"/>
  <c r="BR263" i="3"/>
  <c r="BQ263" i="3"/>
  <c r="BP263" i="3"/>
  <c r="BO263" i="3"/>
  <c r="BN263" i="3"/>
  <c r="BM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s="1"/>
  <c r="AX262" i="3"/>
  <c r="AW262" i="3"/>
  <c r="AV262" i="3"/>
  <c r="AC262" i="3"/>
  <c r="H262" i="3"/>
  <c r="G262" i="3" s="1"/>
  <c r="BT261" i="3"/>
  <c r="BS261" i="3"/>
  <c r="BR261" i="3"/>
  <c r="BQ261" i="3"/>
  <c r="BP261" i="3"/>
  <c r="BO261" i="3"/>
  <c r="BN261" i="3"/>
  <c r="BM261" i="3"/>
  <c r="BL261" i="3" s="1"/>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L260" i="3" s="1"/>
  <c r="BK260" i="3"/>
  <c r="BJ260" i="3"/>
  <c r="BI260" i="3"/>
  <c r="BH260" i="3"/>
  <c r="BG260" i="3"/>
  <c r="BF260" i="3"/>
  <c r="BE260" i="3"/>
  <c r="BD260" i="3"/>
  <c r="BC260" i="3"/>
  <c r="BB260" i="3"/>
  <c r="AX260" i="3"/>
  <c r="AW260" i="3"/>
  <c r="AV260" i="3"/>
  <c r="AC260" i="3"/>
  <c r="H260" i="3"/>
  <c r="G260" i="3" s="1"/>
  <c r="BT259" i="3"/>
  <c r="BS259" i="3"/>
  <c r="BR259" i="3"/>
  <c r="BQ259" i="3"/>
  <c r="BP259" i="3"/>
  <c r="BO259" i="3"/>
  <c r="BN259" i="3"/>
  <c r="BM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s="1"/>
  <c r="AX258" i="3"/>
  <c r="AW258" i="3"/>
  <c r="AV258" i="3"/>
  <c r="AC258" i="3"/>
  <c r="H258" i="3"/>
  <c r="G258" i="3" s="1"/>
  <c r="BT257" i="3"/>
  <c r="BS257" i="3"/>
  <c r="BR257" i="3"/>
  <c r="BQ257" i="3"/>
  <c r="BP257" i="3"/>
  <c r="BO257" i="3"/>
  <c r="BN257" i="3"/>
  <c r="BM257" i="3"/>
  <c r="BL257" i="3" s="1"/>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L256" i="3" s="1"/>
  <c r="BK256" i="3"/>
  <c r="BJ256" i="3"/>
  <c r="BI256" i="3"/>
  <c r="BH256" i="3"/>
  <c r="BG256" i="3"/>
  <c r="BF256" i="3"/>
  <c r="BE256" i="3"/>
  <c r="BD256" i="3"/>
  <c r="BC256" i="3"/>
  <c r="BB256" i="3"/>
  <c r="AX256" i="3"/>
  <c r="AW256" i="3"/>
  <c r="AV256" i="3"/>
  <c r="AC256" i="3"/>
  <c r="H256" i="3"/>
  <c r="G256" i="3" s="1"/>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s="1"/>
  <c r="AZ252" i="3" s="1"/>
  <c r="AX252" i="3"/>
  <c r="AW252" i="3"/>
  <c r="AV252" i="3"/>
  <c r="AC252" i="3"/>
  <c r="H252" i="3"/>
  <c r="G252" i="3" s="1"/>
  <c r="BT251" i="3"/>
  <c r="BS251" i="3"/>
  <c r="BR251" i="3"/>
  <c r="BQ251" i="3"/>
  <c r="BP251" i="3"/>
  <c r="BO251" i="3"/>
  <c r="BN251" i="3"/>
  <c r="BM251" i="3"/>
  <c r="BL251" i="3" s="1"/>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G250" i="3" s="1"/>
  <c r="BT249" i="3"/>
  <c r="BS249" i="3"/>
  <c r="BR249" i="3"/>
  <c r="BQ249" i="3"/>
  <c r="BP249" i="3"/>
  <c r="BO249" i="3"/>
  <c r="BN249" i="3"/>
  <c r="BM249" i="3"/>
  <c r="BL249" i="3" s="1"/>
  <c r="BK249" i="3"/>
  <c r="BJ249" i="3"/>
  <c r="BI249" i="3"/>
  <c r="BH249" i="3"/>
  <c r="BG249" i="3"/>
  <c r="BF249" i="3"/>
  <c r="BE249" i="3"/>
  <c r="BD249" i="3"/>
  <c r="BC249" i="3"/>
  <c r="BB249" i="3"/>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AX248" i="3"/>
  <c r="AW248" i="3"/>
  <c r="AV248" i="3"/>
  <c r="AC248" i="3"/>
  <c r="H248" i="3"/>
  <c r="G248" i="3" s="1"/>
  <c r="BT247" i="3"/>
  <c r="BS247" i="3"/>
  <c r="BR247" i="3"/>
  <c r="BQ247" i="3"/>
  <c r="BP247" i="3"/>
  <c r="BO247" i="3"/>
  <c r="BN247" i="3"/>
  <c r="BM247" i="3"/>
  <c r="BL247" i="3" s="1"/>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K246" i="3"/>
  <c r="BJ246" i="3"/>
  <c r="BI246" i="3"/>
  <c r="BH246" i="3"/>
  <c r="BG246" i="3"/>
  <c r="BF246" i="3"/>
  <c r="BE246" i="3"/>
  <c r="BD246" i="3"/>
  <c r="BC246" i="3"/>
  <c r="BB246" i="3"/>
  <c r="BA246" i="3"/>
  <c r="AX246" i="3"/>
  <c r="AW246" i="3"/>
  <c r="AV246" i="3"/>
  <c r="AC246" i="3"/>
  <c r="H246" i="3"/>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K242" i="3"/>
  <c r="BJ242" i="3"/>
  <c r="BI242" i="3"/>
  <c r="BH242" i="3"/>
  <c r="BG242" i="3"/>
  <c r="BF242" i="3"/>
  <c r="BE242" i="3"/>
  <c r="BD242" i="3"/>
  <c r="BC242" i="3"/>
  <c r="BB242" i="3"/>
  <c r="BA242" i="3"/>
  <c r="AX242" i="3"/>
  <c r="AW242" i="3"/>
  <c r="AV242" i="3"/>
  <c r="AC242" i="3"/>
  <c r="H242" i="3"/>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s="1"/>
  <c r="AZ236" i="3" s="1"/>
  <c r="AX236" i="3"/>
  <c r="AW236" i="3"/>
  <c r="AV236" i="3"/>
  <c r="AC236" i="3"/>
  <c r="H236" i="3"/>
  <c r="G236" i="3" s="1"/>
  <c r="BT235" i="3"/>
  <c r="BS235" i="3"/>
  <c r="BR235" i="3"/>
  <c r="BQ235" i="3"/>
  <c r="BP235" i="3"/>
  <c r="BO235" i="3"/>
  <c r="BN235" i="3"/>
  <c r="BM235" i="3"/>
  <c r="BL235" i="3" s="1"/>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G234" i="3" s="1"/>
  <c r="BT233" i="3"/>
  <c r="BS233" i="3"/>
  <c r="BR233" i="3"/>
  <c r="BQ233" i="3"/>
  <c r="BP233" i="3"/>
  <c r="BO233" i="3"/>
  <c r="BN233" i="3"/>
  <c r="BM233" i="3"/>
  <c r="BL233" i="3" s="1"/>
  <c r="BK233" i="3"/>
  <c r="BJ233" i="3"/>
  <c r="BI233" i="3"/>
  <c r="BH233" i="3"/>
  <c r="BG233" i="3"/>
  <c r="BF233" i="3"/>
  <c r="BE233" i="3"/>
  <c r="BD233" i="3"/>
  <c r="BC233" i="3"/>
  <c r="BB233" i="3"/>
  <c r="AX233" i="3"/>
  <c r="AW233" i="3"/>
  <c r="AV233" i="3"/>
  <c r="AC233" i="3"/>
  <c r="H233" i="3"/>
  <c r="G233" i="3" s="1"/>
  <c r="BT232" i="3"/>
  <c r="BS232" i="3"/>
  <c r="BR232" i="3"/>
  <c r="BQ232" i="3"/>
  <c r="BP232" i="3"/>
  <c r="BO232" i="3"/>
  <c r="BN232" i="3"/>
  <c r="BM232" i="3"/>
  <c r="BL232" i="3" s="1"/>
  <c r="BK232" i="3"/>
  <c r="BJ232" i="3"/>
  <c r="BI232" i="3"/>
  <c r="BH232" i="3"/>
  <c r="BG232" i="3"/>
  <c r="BF232" i="3"/>
  <c r="BE232" i="3"/>
  <c r="BD232" i="3"/>
  <c r="BC232" i="3"/>
  <c r="BB232" i="3"/>
  <c r="AX232" i="3"/>
  <c r="AW232" i="3"/>
  <c r="AV232" i="3"/>
  <c r="AC232" i="3"/>
  <c r="H232" i="3"/>
  <c r="G232" i="3" s="1"/>
  <c r="BT231" i="3"/>
  <c r="BS231" i="3"/>
  <c r="BR231" i="3"/>
  <c r="BQ231" i="3"/>
  <c r="BP231" i="3"/>
  <c r="BO231" i="3"/>
  <c r="BN231" i="3"/>
  <c r="BM231" i="3"/>
  <c r="BL231" i="3" s="1"/>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K230" i="3"/>
  <c r="BJ230" i="3"/>
  <c r="BI230" i="3"/>
  <c r="BH230" i="3"/>
  <c r="BG230" i="3"/>
  <c r="BF230" i="3"/>
  <c r="BE230" i="3"/>
  <c r="BD230" i="3"/>
  <c r="BC230" i="3"/>
  <c r="BB230" i="3"/>
  <c r="BA230" i="3"/>
  <c r="AX230" i="3"/>
  <c r="AW230" i="3"/>
  <c r="AV230" i="3"/>
  <c r="AC230" i="3"/>
  <c r="H230" i="3"/>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K226" i="3"/>
  <c r="BJ226" i="3"/>
  <c r="BI226" i="3"/>
  <c r="BH226" i="3"/>
  <c r="BG226" i="3"/>
  <c r="BF226" i="3"/>
  <c r="BE226" i="3"/>
  <c r="BD226" i="3"/>
  <c r="BC226" i="3"/>
  <c r="BB226" i="3"/>
  <c r="BA226" i="3"/>
  <c r="AX226" i="3"/>
  <c r="AW226" i="3"/>
  <c r="AV226" i="3"/>
  <c r="AC226" i="3"/>
  <c r="H226" i="3"/>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BA221" i="3"/>
  <c r="AX221" i="3"/>
  <c r="AW221" i="3"/>
  <c r="AV221" i="3"/>
  <c r="AC221" i="3"/>
  <c r="H221" i="3"/>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s="1"/>
  <c r="AZ219" i="3" s="1"/>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G218" i="3" s="1"/>
  <c r="BT217" i="3"/>
  <c r="BS217" i="3"/>
  <c r="BR217" i="3"/>
  <c r="BQ217" i="3"/>
  <c r="BP217" i="3"/>
  <c r="BO217" i="3"/>
  <c r="BN217" i="3"/>
  <c r="BM217" i="3"/>
  <c r="BL217" i="3" s="1"/>
  <c r="BK217" i="3"/>
  <c r="BJ217" i="3"/>
  <c r="BI217" i="3"/>
  <c r="BH217" i="3"/>
  <c r="BG217" i="3"/>
  <c r="BF217" i="3"/>
  <c r="BE217" i="3"/>
  <c r="BD217" i="3"/>
  <c r="BC217" i="3"/>
  <c r="BB217" i="3"/>
  <c r="AX217" i="3"/>
  <c r="AW217" i="3"/>
  <c r="AV217" i="3"/>
  <c r="AC217" i="3"/>
  <c r="H217" i="3"/>
  <c r="G217" i="3" s="1"/>
  <c r="BT216" i="3"/>
  <c r="BS216" i="3"/>
  <c r="BR216" i="3"/>
  <c r="BQ216" i="3"/>
  <c r="BP216" i="3"/>
  <c r="BO216" i="3"/>
  <c r="BN216" i="3"/>
  <c r="BM216" i="3"/>
  <c r="BK216" i="3"/>
  <c r="BJ216" i="3"/>
  <c r="BI216" i="3"/>
  <c r="BH216" i="3"/>
  <c r="BG216" i="3"/>
  <c r="BF216" i="3"/>
  <c r="BE216" i="3"/>
  <c r="BD216" i="3"/>
  <c r="BC216" i="3"/>
  <c r="BB216" i="3"/>
  <c r="BA216" i="3"/>
  <c r="AX216" i="3"/>
  <c r="AW216" i="3"/>
  <c r="AV216" i="3"/>
  <c r="AC216" i="3"/>
  <c r="H216" i="3"/>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s="1"/>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s="1"/>
  <c r="AZ208" i="3" s="1"/>
  <c r="AX208" i="3"/>
  <c r="AW208" i="3"/>
  <c r="AV208" i="3"/>
  <c r="AC208" i="3"/>
  <c r="H208" i="3"/>
  <c r="G208" i="3" s="1"/>
  <c r="BT397" i="3"/>
  <c r="BS397" i="3"/>
  <c r="BR397" i="3"/>
  <c r="BQ397" i="3"/>
  <c r="BP397" i="3"/>
  <c r="BO397" i="3"/>
  <c r="BN397" i="3"/>
  <c r="BM397" i="3"/>
  <c r="BL397" i="3" s="1"/>
  <c r="BK397" i="3"/>
  <c r="BJ397" i="3"/>
  <c r="BI397" i="3"/>
  <c r="BH397" i="3"/>
  <c r="BG397" i="3"/>
  <c r="BF397" i="3"/>
  <c r="BE397" i="3"/>
  <c r="BD397" i="3"/>
  <c r="BC397" i="3"/>
  <c r="BB397" i="3"/>
  <c r="AX397" i="3"/>
  <c r="AW397" i="3"/>
  <c r="AV397" i="3"/>
  <c r="AC397" i="3"/>
  <c r="H397" i="3"/>
  <c r="G397" i="3" s="1"/>
  <c r="BT396" i="3"/>
  <c r="BS396" i="3"/>
  <c r="BR396" i="3"/>
  <c r="BQ396" i="3"/>
  <c r="BP396" i="3"/>
  <c r="BO396" i="3"/>
  <c r="BN396" i="3"/>
  <c r="BM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s="1"/>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s="1"/>
  <c r="AZ492" i="3" s="1"/>
  <c r="AX492" i="3"/>
  <c r="AW492" i="3"/>
  <c r="AV492" i="3"/>
  <c r="AC492" i="3"/>
  <c r="H492" i="3"/>
  <c r="G492" i="3" s="1"/>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G491" i="3" s="1"/>
  <c r="BT490" i="3"/>
  <c r="BS490" i="3"/>
  <c r="BR490" i="3"/>
  <c r="BQ490" i="3"/>
  <c r="BP490" i="3"/>
  <c r="BO490" i="3"/>
  <c r="BN490" i="3"/>
  <c r="BM490" i="3"/>
  <c r="BL490" i="3" s="1"/>
  <c r="BK490" i="3"/>
  <c r="BJ490" i="3"/>
  <c r="BI490" i="3"/>
  <c r="BH490" i="3"/>
  <c r="BG490" i="3"/>
  <c r="BF490" i="3"/>
  <c r="BE490" i="3"/>
  <c r="BD490" i="3"/>
  <c r="BC490" i="3"/>
  <c r="BB490" i="3"/>
  <c r="AX490" i="3"/>
  <c r="AW490" i="3"/>
  <c r="AV490" i="3"/>
  <c r="AC490" i="3"/>
  <c r="H490" i="3"/>
  <c r="G490" i="3" s="1"/>
  <c r="BT489" i="3"/>
  <c r="BS489" i="3"/>
  <c r="BR489" i="3"/>
  <c r="BQ489" i="3"/>
  <c r="BP489" i="3"/>
  <c r="BO489" i="3"/>
  <c r="BN489" i="3"/>
  <c r="BM489" i="3"/>
  <c r="BL489" i="3" s="1"/>
  <c r="BK489" i="3"/>
  <c r="BJ489" i="3"/>
  <c r="BI489" i="3"/>
  <c r="BH489" i="3"/>
  <c r="BG489" i="3"/>
  <c r="BF489" i="3"/>
  <c r="BE489" i="3"/>
  <c r="BD489" i="3"/>
  <c r="BC489" i="3"/>
  <c r="BB489" i="3"/>
  <c r="AX489" i="3"/>
  <c r="AW489" i="3"/>
  <c r="AV489" i="3"/>
  <c r="AC489" i="3"/>
  <c r="H489" i="3"/>
  <c r="G489" i="3" s="1"/>
  <c r="BT488" i="3"/>
  <c r="BS488" i="3"/>
  <c r="BR488" i="3"/>
  <c r="BQ488" i="3"/>
  <c r="BP488" i="3"/>
  <c r="BO488" i="3"/>
  <c r="BN488" i="3"/>
  <c r="BM488" i="3"/>
  <c r="BK488" i="3"/>
  <c r="BJ488" i="3"/>
  <c r="BI488" i="3"/>
  <c r="BH488" i="3"/>
  <c r="BG488" i="3"/>
  <c r="BF488" i="3"/>
  <c r="BE488" i="3"/>
  <c r="BD488" i="3"/>
  <c r="BC488" i="3"/>
  <c r="BB488" i="3"/>
  <c r="BA488" i="3"/>
  <c r="AX488" i="3"/>
  <c r="AW488" i="3"/>
  <c r="AV488" i="3"/>
  <c r="AC488" i="3"/>
  <c r="H488" i="3"/>
  <c r="BT487" i="3"/>
  <c r="BS487" i="3"/>
  <c r="BR487" i="3"/>
  <c r="BQ487" i="3"/>
  <c r="BP487" i="3"/>
  <c r="BO487" i="3"/>
  <c r="BN487" i="3"/>
  <c r="BM487" i="3"/>
  <c r="BL487" i="3"/>
  <c r="BK487" i="3"/>
  <c r="BJ487" i="3"/>
  <c r="BI487" i="3"/>
  <c r="BH487" i="3"/>
  <c r="BG487" i="3"/>
  <c r="BF487" i="3"/>
  <c r="BE487" i="3"/>
  <c r="BD487" i="3"/>
  <c r="BC487" i="3"/>
  <c r="BB487" i="3"/>
  <c r="BA487" i="3" s="1"/>
  <c r="AZ487" i="3" s="1"/>
  <c r="AX487" i="3"/>
  <c r="AW487" i="3"/>
  <c r="AV487" i="3"/>
  <c r="AC487" i="3"/>
  <c r="H487" i="3"/>
  <c r="G487" i="3" s="1"/>
  <c r="BT486" i="3"/>
  <c r="BS486" i="3"/>
  <c r="BR486" i="3"/>
  <c r="BQ486" i="3"/>
  <c r="BP486" i="3"/>
  <c r="BO486" i="3"/>
  <c r="BN486" i="3"/>
  <c r="BM486" i="3"/>
  <c r="BK486" i="3"/>
  <c r="BJ486" i="3"/>
  <c r="BI486" i="3"/>
  <c r="BH486" i="3"/>
  <c r="BG486" i="3"/>
  <c r="BF486" i="3"/>
  <c r="BE486" i="3"/>
  <c r="BD486" i="3"/>
  <c r="BC486" i="3"/>
  <c r="BB486" i="3"/>
  <c r="BA486" i="3"/>
  <c r="AX486" i="3"/>
  <c r="AW486" i="3"/>
  <c r="AV486" i="3"/>
  <c r="AC486" i="3"/>
  <c r="H486" i="3"/>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s="1"/>
  <c r="AZ484" i="3" s="1"/>
  <c r="AX484" i="3"/>
  <c r="AW484" i="3"/>
  <c r="AV484" i="3"/>
  <c r="AC484" i="3"/>
  <c r="H484" i="3"/>
  <c r="G484" i="3" s="1"/>
  <c r="BT483" i="3"/>
  <c r="BS483" i="3"/>
  <c r="BR483" i="3"/>
  <c r="BQ483" i="3"/>
  <c r="BP483" i="3"/>
  <c r="BO483" i="3"/>
  <c r="BN483" i="3"/>
  <c r="BM483" i="3"/>
  <c r="BL483" i="3" s="1"/>
  <c r="BK483" i="3"/>
  <c r="BJ483" i="3"/>
  <c r="BI483" i="3"/>
  <c r="BH483" i="3"/>
  <c r="BG483" i="3"/>
  <c r="BF483" i="3"/>
  <c r="BE483" i="3"/>
  <c r="BD483" i="3"/>
  <c r="BC483" i="3"/>
  <c r="BB483" i="3"/>
  <c r="AX483" i="3"/>
  <c r="AW483" i="3"/>
  <c r="AV483" i="3"/>
  <c r="AC483" i="3"/>
  <c r="H483" i="3"/>
  <c r="G483" i="3" s="1"/>
  <c r="BT482" i="3"/>
  <c r="BS482" i="3"/>
  <c r="BR482" i="3"/>
  <c r="BQ482" i="3"/>
  <c r="BP482" i="3"/>
  <c r="BO482" i="3"/>
  <c r="BN482" i="3"/>
  <c r="BM482" i="3"/>
  <c r="BK482" i="3"/>
  <c r="BJ482" i="3"/>
  <c r="BI482" i="3"/>
  <c r="BH482" i="3"/>
  <c r="BG482" i="3"/>
  <c r="BF482" i="3"/>
  <c r="BE482" i="3"/>
  <c r="BD482" i="3"/>
  <c r="BC482" i="3"/>
  <c r="BB482" i="3"/>
  <c r="BA482" i="3"/>
  <c r="AX482" i="3"/>
  <c r="AW482" i="3"/>
  <c r="AV482" i="3"/>
  <c r="AC482" i="3"/>
  <c r="H482" i="3"/>
  <c r="BT481" i="3"/>
  <c r="BS481" i="3"/>
  <c r="BR481" i="3"/>
  <c r="BQ481" i="3"/>
  <c r="BP481" i="3"/>
  <c r="BO481" i="3"/>
  <c r="BN481" i="3"/>
  <c r="BM481" i="3"/>
  <c r="BL481" i="3"/>
  <c r="BK481" i="3"/>
  <c r="BJ481" i="3"/>
  <c r="BI481" i="3"/>
  <c r="BH481" i="3"/>
  <c r="BG481" i="3"/>
  <c r="BF481" i="3"/>
  <c r="BE481" i="3"/>
  <c r="BD481" i="3"/>
  <c r="BC481" i="3"/>
  <c r="BB481" i="3"/>
  <c r="BA481" i="3" s="1"/>
  <c r="AZ481" i="3" s="1"/>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BA480" i="3"/>
  <c r="AX480" i="3"/>
  <c r="AW480" i="3"/>
  <c r="AV480" i="3"/>
  <c r="AC480" i="3"/>
  <c r="H480" i="3"/>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Z478" i="3" s="1"/>
  <c r="AX478" i="3"/>
  <c r="AW478" i="3"/>
  <c r="AV478" i="3"/>
  <c r="AC478" i="3"/>
  <c r="H478" i="3"/>
  <c r="G478" i="3" s="1"/>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s="1"/>
  <c r="AZ476" i="3" s="1"/>
  <c r="AX476" i="3"/>
  <c r="AW476" i="3"/>
  <c r="AV476" i="3"/>
  <c r="AC476" i="3"/>
  <c r="H476" i="3"/>
  <c r="G476" i="3" s="1"/>
  <c r="BT475" i="3"/>
  <c r="BS475" i="3"/>
  <c r="BR475" i="3"/>
  <c r="BQ475" i="3"/>
  <c r="BP475" i="3"/>
  <c r="BO475" i="3"/>
  <c r="BN475" i="3"/>
  <c r="BM475" i="3"/>
  <c r="BL475" i="3" s="1"/>
  <c r="BK475" i="3"/>
  <c r="BJ475" i="3"/>
  <c r="BI475" i="3"/>
  <c r="BH475" i="3"/>
  <c r="BG475" i="3"/>
  <c r="BF475" i="3"/>
  <c r="BE475" i="3"/>
  <c r="BD475" i="3"/>
  <c r="BC475" i="3"/>
  <c r="BB475" i="3"/>
  <c r="AX475" i="3"/>
  <c r="AW475" i="3"/>
  <c r="AV475" i="3"/>
  <c r="AC475" i="3"/>
  <c r="H475" i="3"/>
  <c r="G475" i="3" s="1"/>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s="1"/>
  <c r="BK470" i="3"/>
  <c r="BJ470" i="3"/>
  <c r="BI470" i="3"/>
  <c r="BH470" i="3"/>
  <c r="BG470" i="3"/>
  <c r="BF470" i="3"/>
  <c r="BE470" i="3"/>
  <c r="BD470" i="3"/>
  <c r="BC470" i="3"/>
  <c r="BB470" i="3"/>
  <c r="AX470" i="3"/>
  <c r="AW470" i="3"/>
  <c r="AV470" i="3"/>
  <c r="AC470" i="3"/>
  <c r="H470" i="3"/>
  <c r="G470" i="3" s="1"/>
  <c r="BT469" i="3"/>
  <c r="BS469" i="3"/>
  <c r="BR469" i="3"/>
  <c r="BQ469" i="3"/>
  <c r="BP469" i="3"/>
  <c r="BO469" i="3"/>
  <c r="BN469" i="3"/>
  <c r="BM469" i="3"/>
  <c r="BK469" i="3"/>
  <c r="BJ469" i="3"/>
  <c r="BI469" i="3"/>
  <c r="BH469" i="3"/>
  <c r="BG469" i="3"/>
  <c r="BF469" i="3"/>
  <c r="BE469" i="3"/>
  <c r="BD469" i="3"/>
  <c r="BC469" i="3"/>
  <c r="BB469" i="3"/>
  <c r="AX469" i="3"/>
  <c r="AW469" i="3"/>
  <c r="AV469" i="3"/>
  <c r="AC469" i="3"/>
  <c r="H469" i="3"/>
  <c r="G469" i="3" s="1"/>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BA467" i="3"/>
  <c r="AX467" i="3"/>
  <c r="AW467" i="3"/>
  <c r="AV467" i="3"/>
  <c r="AC467" i="3"/>
  <c r="H467" i="3"/>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s="1"/>
  <c r="AX465" i="3"/>
  <c r="AW465" i="3"/>
  <c r="AV465" i="3"/>
  <c r="AC465" i="3"/>
  <c r="H465" i="3"/>
  <c r="G465" i="3" s="1"/>
  <c r="BT464" i="3"/>
  <c r="BS464" i="3"/>
  <c r="BR464" i="3"/>
  <c r="BQ464" i="3"/>
  <c r="BP464" i="3"/>
  <c r="BO464" i="3"/>
  <c r="BN464" i="3"/>
  <c r="BM464" i="3"/>
  <c r="BK464" i="3"/>
  <c r="BJ464" i="3"/>
  <c r="BI464" i="3"/>
  <c r="BH464" i="3"/>
  <c r="BG464" i="3"/>
  <c r="BF464" i="3"/>
  <c r="BE464" i="3"/>
  <c r="BD464" i="3"/>
  <c r="BC464" i="3"/>
  <c r="BB464" i="3"/>
  <c r="BA464" i="3"/>
  <c r="AX464" i="3"/>
  <c r="AW464" i="3"/>
  <c r="AV464" i="3"/>
  <c r="AC464" i="3"/>
  <c r="H464" i="3"/>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s="1"/>
  <c r="AZ460" i="3" s="1"/>
  <c r="AX460" i="3"/>
  <c r="AW460" i="3"/>
  <c r="AV460" i="3"/>
  <c r="AC460" i="3"/>
  <c r="H460" i="3"/>
  <c r="G460" i="3" s="1"/>
  <c r="BT459" i="3"/>
  <c r="BS459" i="3"/>
  <c r="BR459" i="3"/>
  <c r="BQ459" i="3"/>
  <c r="BP459" i="3"/>
  <c r="BO459" i="3"/>
  <c r="BN459" i="3"/>
  <c r="BM459" i="3"/>
  <c r="BL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s="1"/>
  <c r="AZ455" i="3" s="1"/>
  <c r="AX455" i="3"/>
  <c r="AW455" i="3"/>
  <c r="AV455" i="3"/>
  <c r="AC455" i="3"/>
  <c r="H455" i="3"/>
  <c r="G455" i="3" s="1"/>
  <c r="BT454" i="3"/>
  <c r="BS454" i="3"/>
  <c r="BR454" i="3"/>
  <c r="BQ454" i="3"/>
  <c r="BP454" i="3"/>
  <c r="BO454" i="3"/>
  <c r="BN454" i="3"/>
  <c r="BM454" i="3"/>
  <c r="BL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s="1"/>
  <c r="AZ453" i="3" s="1"/>
  <c r="AX453" i="3"/>
  <c r="AW453" i="3"/>
  <c r="AV453" i="3"/>
  <c r="AC453" i="3"/>
  <c r="H453" i="3"/>
  <c r="G453" i="3" s="1"/>
  <c r="BT452" i="3"/>
  <c r="BS452" i="3"/>
  <c r="BR452" i="3"/>
  <c r="BQ452" i="3"/>
  <c r="BP452" i="3"/>
  <c r="BO452" i="3"/>
  <c r="BN452" i="3"/>
  <c r="BM452" i="3"/>
  <c r="BL452" i="3" s="1"/>
  <c r="BK452" i="3"/>
  <c r="BJ452" i="3"/>
  <c r="BI452" i="3"/>
  <c r="BH452" i="3"/>
  <c r="BG452" i="3"/>
  <c r="BF452" i="3"/>
  <c r="BE452" i="3"/>
  <c r="BD452" i="3"/>
  <c r="BC452" i="3"/>
  <c r="BB452" i="3"/>
  <c r="AX452" i="3"/>
  <c r="AW452" i="3"/>
  <c r="AV452" i="3"/>
  <c r="AC452" i="3"/>
  <c r="H452" i="3"/>
  <c r="G452" i="3" s="1"/>
  <c r="BT451" i="3"/>
  <c r="BS451" i="3"/>
  <c r="BR451" i="3"/>
  <c r="BQ451" i="3"/>
  <c r="BP451" i="3"/>
  <c r="BO451" i="3"/>
  <c r="BN451" i="3"/>
  <c r="BM451" i="3"/>
  <c r="BK451" i="3"/>
  <c r="BJ451" i="3"/>
  <c r="BI451" i="3"/>
  <c r="BH451" i="3"/>
  <c r="BG451" i="3"/>
  <c r="BF451" i="3"/>
  <c r="BE451" i="3"/>
  <c r="BD451" i="3"/>
  <c r="BC451" i="3"/>
  <c r="BB451" i="3"/>
  <c r="AX451" i="3"/>
  <c r="AW451" i="3"/>
  <c r="AV451" i="3"/>
  <c r="AC451" i="3"/>
  <c r="H451" i="3"/>
  <c r="G451" i="3" s="1"/>
  <c r="BT450" i="3"/>
  <c r="BS450" i="3"/>
  <c r="BR450" i="3"/>
  <c r="BQ450" i="3"/>
  <c r="BP450" i="3"/>
  <c r="BO450" i="3"/>
  <c r="BN450" i="3"/>
  <c r="BM450" i="3"/>
  <c r="BL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s="1"/>
  <c r="AZ449" i="3" s="1"/>
  <c r="AX449" i="3"/>
  <c r="AW449" i="3"/>
  <c r="AV449" i="3"/>
  <c r="AC449" i="3"/>
  <c r="H449" i="3"/>
  <c r="G449" i="3" s="1"/>
  <c r="BT448" i="3"/>
  <c r="BS448" i="3"/>
  <c r="BR448" i="3"/>
  <c r="BQ448" i="3"/>
  <c r="BP448" i="3"/>
  <c r="BO448" i="3"/>
  <c r="BN448" i="3"/>
  <c r="BM448" i="3"/>
  <c r="BL448" i="3" s="1"/>
  <c r="BK448" i="3"/>
  <c r="BJ448" i="3"/>
  <c r="BI448" i="3"/>
  <c r="BH448" i="3"/>
  <c r="BG448" i="3"/>
  <c r="BF448" i="3"/>
  <c r="BE448" i="3"/>
  <c r="BD448" i="3"/>
  <c r="BC448" i="3"/>
  <c r="BB448" i="3"/>
  <c r="AX448" i="3"/>
  <c r="AW448" i="3"/>
  <c r="AV448" i="3"/>
  <c r="AC448" i="3"/>
  <c r="H448" i="3"/>
  <c r="G448" i="3" s="1"/>
  <c r="BT447" i="3"/>
  <c r="BS447" i="3"/>
  <c r="BR447" i="3"/>
  <c r="BQ447" i="3"/>
  <c r="BP447" i="3"/>
  <c r="BO447" i="3"/>
  <c r="BN447" i="3"/>
  <c r="BM447" i="3"/>
  <c r="BK447" i="3"/>
  <c r="BJ447" i="3"/>
  <c r="BI447" i="3"/>
  <c r="BH447" i="3"/>
  <c r="BG447" i="3"/>
  <c r="BF447" i="3"/>
  <c r="BE447" i="3"/>
  <c r="BD447" i="3"/>
  <c r="BC447" i="3"/>
  <c r="BB447" i="3"/>
  <c r="BA447" i="3"/>
  <c r="AX447" i="3"/>
  <c r="AW447" i="3"/>
  <c r="AV447" i="3"/>
  <c r="AC447" i="3"/>
  <c r="H447" i="3"/>
  <c r="BT446" i="3"/>
  <c r="BS446" i="3"/>
  <c r="BR446" i="3"/>
  <c r="BQ446" i="3"/>
  <c r="BP446" i="3"/>
  <c r="BO446" i="3"/>
  <c r="BN446" i="3"/>
  <c r="BM446" i="3"/>
  <c r="BL446" i="3"/>
  <c r="BK446" i="3"/>
  <c r="BJ446" i="3"/>
  <c r="BI446" i="3"/>
  <c r="BH446" i="3"/>
  <c r="BG446" i="3"/>
  <c r="BF446" i="3"/>
  <c r="BE446" i="3"/>
  <c r="BD446" i="3"/>
  <c r="BC446" i="3"/>
  <c r="BB446" i="3"/>
  <c r="BA446" i="3" s="1"/>
  <c r="AZ446" i="3" s="1"/>
  <c r="AX446" i="3"/>
  <c r="AW446" i="3"/>
  <c r="AV446" i="3"/>
  <c r="AC446" i="3"/>
  <c r="H446" i="3"/>
  <c r="G446" i="3" s="1"/>
  <c r="BT445" i="3"/>
  <c r="BS445" i="3"/>
  <c r="BR445" i="3"/>
  <c r="BQ445" i="3"/>
  <c r="BP445" i="3"/>
  <c r="BO445" i="3"/>
  <c r="BN445" i="3"/>
  <c r="BM445" i="3"/>
  <c r="BK445" i="3"/>
  <c r="BJ445" i="3"/>
  <c r="BI445" i="3"/>
  <c r="BH445" i="3"/>
  <c r="BG445" i="3"/>
  <c r="BF445" i="3"/>
  <c r="BE445" i="3"/>
  <c r="BD445" i="3"/>
  <c r="BC445" i="3"/>
  <c r="BB445" i="3"/>
  <c r="BA445" i="3"/>
  <c r="AX445" i="3"/>
  <c r="AW445" i="3"/>
  <c r="AV445" i="3"/>
  <c r="AC445" i="3"/>
  <c r="H445" i="3"/>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BT442" i="3"/>
  <c r="BS442" i="3"/>
  <c r="BR442" i="3"/>
  <c r="BQ442" i="3"/>
  <c r="BP442" i="3"/>
  <c r="BO442" i="3"/>
  <c r="BN442" i="3"/>
  <c r="BM442" i="3"/>
  <c r="BL442" i="3"/>
  <c r="BK442" i="3"/>
  <c r="BJ442" i="3"/>
  <c r="BI442" i="3"/>
  <c r="BH442" i="3"/>
  <c r="BG442" i="3"/>
  <c r="BF442" i="3"/>
  <c r="BE442" i="3"/>
  <c r="BD442" i="3"/>
  <c r="BC442" i="3"/>
  <c r="BB442" i="3"/>
  <c r="BA442" i="3" s="1"/>
  <c r="AZ442" i="3" s="1"/>
  <c r="AX442" i="3"/>
  <c r="AW442" i="3"/>
  <c r="AV442" i="3"/>
  <c r="AC442" i="3"/>
  <c r="H442" i="3"/>
  <c r="G442" i="3" s="1"/>
  <c r="BT441" i="3"/>
  <c r="BS441" i="3"/>
  <c r="BR441" i="3"/>
  <c r="BQ441" i="3"/>
  <c r="BP441" i="3"/>
  <c r="BO441" i="3"/>
  <c r="BN441" i="3"/>
  <c r="BM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s="1"/>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AX438" i="3"/>
  <c r="AW438" i="3"/>
  <c r="AV438" i="3"/>
  <c r="AC438" i="3"/>
  <c r="H438" i="3"/>
  <c r="G438" i="3" s="1"/>
  <c r="BT437" i="3"/>
  <c r="BS437" i="3"/>
  <c r="BR437" i="3"/>
  <c r="BQ437" i="3"/>
  <c r="BP437" i="3"/>
  <c r="BO437" i="3"/>
  <c r="BN437" i="3"/>
  <c r="BM437" i="3"/>
  <c r="BL437" i="3" s="1"/>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L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BA432" i="3"/>
  <c r="AX432" i="3"/>
  <c r="AW432" i="3"/>
  <c r="AV432" i="3"/>
  <c r="AC432" i="3"/>
  <c r="H432" i="3"/>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s="1"/>
  <c r="BT428" i="3"/>
  <c r="BS428" i="3"/>
  <c r="BR428" i="3"/>
  <c r="BQ428" i="3"/>
  <c r="BP428" i="3"/>
  <c r="BO428" i="3"/>
  <c r="BN428" i="3"/>
  <c r="BM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s="1"/>
  <c r="BK426" i="3"/>
  <c r="BJ426" i="3"/>
  <c r="BI426" i="3"/>
  <c r="BH426" i="3"/>
  <c r="BG426" i="3"/>
  <c r="BF426" i="3"/>
  <c r="BE426" i="3"/>
  <c r="BD426" i="3"/>
  <c r="BC426" i="3"/>
  <c r="BB426" i="3"/>
  <c r="AX426" i="3"/>
  <c r="AW426" i="3"/>
  <c r="AV426" i="3"/>
  <c r="AC426" i="3"/>
  <c r="H426" i="3"/>
  <c r="G426" i="3" s="1"/>
  <c r="BT425" i="3"/>
  <c r="BS425" i="3"/>
  <c r="BR425" i="3"/>
  <c r="BQ425" i="3"/>
  <c r="BP425" i="3"/>
  <c r="BO425" i="3"/>
  <c r="BN425" i="3"/>
  <c r="BM425" i="3"/>
  <c r="BK425" i="3"/>
  <c r="BJ425" i="3"/>
  <c r="BI425" i="3"/>
  <c r="BH425" i="3"/>
  <c r="BG425" i="3"/>
  <c r="BF425" i="3"/>
  <c r="BE425" i="3"/>
  <c r="BD425" i="3"/>
  <c r="BC425" i="3"/>
  <c r="BB425" i="3"/>
  <c r="BA425" i="3"/>
  <c r="AX425" i="3"/>
  <c r="AW425" i="3"/>
  <c r="AV425" i="3"/>
  <c r="AC425" i="3"/>
  <c r="H425" i="3"/>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s="1"/>
  <c r="AZ423" i="3" s="1"/>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s="1"/>
  <c r="AZ421" i="3" s="1"/>
  <c r="AX421" i="3"/>
  <c r="AW421" i="3"/>
  <c r="AV421" i="3"/>
  <c r="AC421" i="3"/>
  <c r="H421" i="3"/>
  <c r="G421" i="3" s="1"/>
  <c r="BT420" i="3"/>
  <c r="BS420" i="3"/>
  <c r="BR420" i="3"/>
  <c r="BQ420" i="3"/>
  <c r="BP420" i="3"/>
  <c r="BO420" i="3"/>
  <c r="BN420" i="3"/>
  <c r="BM420" i="3"/>
  <c r="BL420" i="3" s="1"/>
  <c r="BK420" i="3"/>
  <c r="BJ420" i="3"/>
  <c r="BI420" i="3"/>
  <c r="BH420" i="3"/>
  <c r="BG420" i="3"/>
  <c r="BF420" i="3"/>
  <c r="BE420" i="3"/>
  <c r="BD420" i="3"/>
  <c r="BC420" i="3"/>
  <c r="BB420" i="3"/>
  <c r="AX420" i="3"/>
  <c r="AW420" i="3"/>
  <c r="AV420" i="3"/>
  <c r="AC420" i="3"/>
  <c r="H420" i="3"/>
  <c r="G420" i="3" s="1"/>
  <c r="BT419" i="3"/>
  <c r="BS419" i="3"/>
  <c r="BR419" i="3"/>
  <c r="BQ419" i="3"/>
  <c r="BP419" i="3"/>
  <c r="BO419" i="3"/>
  <c r="BN419" i="3"/>
  <c r="BM419" i="3"/>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s="1"/>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BA416" i="3"/>
  <c r="AX416" i="3"/>
  <c r="AW416" i="3"/>
  <c r="AV416" i="3"/>
  <c r="AC416" i="3"/>
  <c r="H416" i="3"/>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s="1"/>
  <c r="AZ414" i="3" s="1"/>
  <c r="AX414" i="3"/>
  <c r="AW414" i="3"/>
  <c r="AV414" i="3"/>
  <c r="AC414" i="3"/>
  <c r="H414" i="3"/>
  <c r="G414" i="3" s="1"/>
  <c r="BT413" i="3"/>
  <c r="BS413" i="3"/>
  <c r="BR413" i="3"/>
  <c r="BQ413" i="3"/>
  <c r="BP413" i="3"/>
  <c r="BO413" i="3"/>
  <c r="BN413" i="3"/>
  <c r="BM413" i="3"/>
  <c r="BL413" i="3" s="1"/>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s="1"/>
  <c r="AZ411" i="3" s="1"/>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s="1"/>
  <c r="AX409" i="3"/>
  <c r="AW409" i="3"/>
  <c r="AV409" i="3"/>
  <c r="AC409" i="3"/>
  <c r="H409" i="3"/>
  <c r="G409" i="3" s="1"/>
  <c r="BT408" i="3"/>
  <c r="BS408" i="3"/>
  <c r="BR408" i="3"/>
  <c r="BQ408" i="3"/>
  <c r="BP408" i="3"/>
  <c r="BO408" i="3"/>
  <c r="BN408" i="3"/>
  <c r="BM408" i="3"/>
  <c r="BL408" i="3" s="1"/>
  <c r="BK408" i="3"/>
  <c r="BJ408" i="3"/>
  <c r="BI408" i="3"/>
  <c r="BH408" i="3"/>
  <c r="BG408" i="3"/>
  <c r="BF408" i="3"/>
  <c r="BE408" i="3"/>
  <c r="BD408" i="3"/>
  <c r="BC408" i="3"/>
  <c r="BB408" i="3"/>
  <c r="AX408" i="3"/>
  <c r="AW408" i="3"/>
  <c r="AV408" i="3"/>
  <c r="AC408" i="3"/>
  <c r="H408" i="3"/>
  <c r="G408" i="3" s="1"/>
  <c r="BT407" i="3"/>
  <c r="BS407" i="3"/>
  <c r="BR407" i="3"/>
  <c r="BQ407" i="3"/>
  <c r="BP407" i="3"/>
  <c r="BO407" i="3"/>
  <c r="BN407" i="3"/>
  <c r="BM407" i="3"/>
  <c r="BL407" i="3" s="1"/>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G406" i="3" s="1"/>
  <c r="BT405" i="3"/>
  <c r="BS405" i="3"/>
  <c r="BR405" i="3"/>
  <c r="BQ405" i="3"/>
  <c r="BP405" i="3"/>
  <c r="BO405" i="3"/>
  <c r="BN405" i="3"/>
  <c r="BM405" i="3"/>
  <c r="BL405" i="3" s="1"/>
  <c r="BK405" i="3"/>
  <c r="BJ405" i="3"/>
  <c r="BI405" i="3"/>
  <c r="BH405" i="3"/>
  <c r="BG405" i="3"/>
  <c r="BF405" i="3"/>
  <c r="BE405" i="3"/>
  <c r="BD405" i="3"/>
  <c r="BC405" i="3"/>
  <c r="BB405" i="3"/>
  <c r="AX405" i="3"/>
  <c r="AW405" i="3"/>
  <c r="AV405" i="3"/>
  <c r="AC405" i="3"/>
  <c r="H405" i="3"/>
  <c r="G405" i="3" s="1"/>
  <c r="BT404" i="3"/>
  <c r="BS404" i="3"/>
  <c r="BR404" i="3"/>
  <c r="BQ404" i="3"/>
  <c r="BP404" i="3"/>
  <c r="BO404" i="3"/>
  <c r="BN404" i="3"/>
  <c r="BM404" i="3"/>
  <c r="BK404" i="3"/>
  <c r="BJ404" i="3"/>
  <c r="BI404" i="3"/>
  <c r="BH404" i="3"/>
  <c r="BG404" i="3"/>
  <c r="BF404" i="3"/>
  <c r="BE404" i="3"/>
  <c r="BD404" i="3"/>
  <c r="BC404" i="3"/>
  <c r="BB404" i="3"/>
  <c r="BA404" i="3"/>
  <c r="AX404" i="3"/>
  <c r="AW404" i="3"/>
  <c r="AV404" i="3"/>
  <c r="AC404" i="3"/>
  <c r="H404" i="3"/>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G402" i="3" s="1"/>
  <c r="BT401" i="3"/>
  <c r="BS401" i="3"/>
  <c r="BR401" i="3"/>
  <c r="BQ401" i="3"/>
  <c r="BP401" i="3"/>
  <c r="BO401" i="3"/>
  <c r="BN401" i="3"/>
  <c r="BM401" i="3"/>
  <c r="BL401" i="3" s="1"/>
  <c r="BK401" i="3"/>
  <c r="BJ401" i="3"/>
  <c r="BI401" i="3"/>
  <c r="BH401" i="3"/>
  <c r="BG401" i="3"/>
  <c r="BF401" i="3"/>
  <c r="BE401" i="3"/>
  <c r="BD401" i="3"/>
  <c r="BC401" i="3"/>
  <c r="BB401" i="3"/>
  <c r="AX401" i="3"/>
  <c r="AW401" i="3"/>
  <c r="AV401" i="3"/>
  <c r="AC401" i="3"/>
  <c r="H401" i="3"/>
  <c r="G401" i="3" s="1"/>
  <c r="BT400" i="3"/>
  <c r="BS400" i="3"/>
  <c r="BR400" i="3"/>
  <c r="BQ400" i="3"/>
  <c r="BP400" i="3"/>
  <c r="BO400" i="3"/>
  <c r="BN400" i="3"/>
  <c r="BM400" i="3"/>
  <c r="BL400" i="3" s="1"/>
  <c r="BK400" i="3"/>
  <c r="BJ400" i="3"/>
  <c r="BI400" i="3"/>
  <c r="BH400" i="3"/>
  <c r="BG400" i="3"/>
  <c r="BF400" i="3"/>
  <c r="BE400" i="3"/>
  <c r="BD400" i="3"/>
  <c r="BC400" i="3"/>
  <c r="BB400" i="3"/>
  <c r="AX400" i="3"/>
  <c r="AW400" i="3"/>
  <c r="AV400" i="3"/>
  <c r="AC400" i="3"/>
  <c r="H400" i="3"/>
  <c r="G400" i="3" s="1"/>
  <c r="BT399" i="3"/>
  <c r="BS399" i="3"/>
  <c r="BR399" i="3"/>
  <c r="BQ399" i="3"/>
  <c r="BP399" i="3"/>
  <c r="BO399" i="3"/>
  <c r="BN399" i="3"/>
  <c r="BM399" i="3"/>
  <c r="BK399" i="3"/>
  <c r="BJ399" i="3"/>
  <c r="BI399" i="3"/>
  <c r="BH399" i="3"/>
  <c r="BG399" i="3"/>
  <c r="BF399" i="3"/>
  <c r="BE399" i="3"/>
  <c r="BD399" i="3"/>
  <c r="BC399" i="3"/>
  <c r="BB399" i="3"/>
  <c r="BA399" i="3"/>
  <c r="AX399" i="3"/>
  <c r="AW399" i="3"/>
  <c r="AV399" i="3"/>
  <c r="AC399" i="3"/>
  <c r="H399" i="3"/>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8" i="31"/>
  <c r="S28" i="31" s="1"/>
  <c r="R29" i="31"/>
  <c r="R30" i="31"/>
  <c r="R31" i="31"/>
  <c r="R32" i="31"/>
  <c r="S32" i="31" s="1"/>
  <c r="R33" i="31"/>
  <c r="R34" i="31"/>
  <c r="S34" i="31" s="1"/>
  <c r="R35" i="31"/>
  <c r="R36" i="31"/>
  <c r="S36" i="31" s="1"/>
  <c r="R37" i="31"/>
  <c r="R38" i="31"/>
  <c r="S38" i="31" s="1"/>
  <c r="R39" i="31"/>
  <c r="R40" i="31"/>
  <c r="S40" i="31" s="1"/>
  <c r="R41" i="31"/>
  <c r="R42" i="31"/>
  <c r="S42" i="31" s="1"/>
  <c r="R43" i="3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R64" i="31"/>
  <c r="S64" i="31" s="1"/>
  <c r="R65" i="31"/>
  <c r="R66" i="31"/>
  <c r="S66" i="31" s="1"/>
  <c r="R67" i="31"/>
  <c r="R68" i="31"/>
  <c r="S68" i="31" s="1"/>
  <c r="R69" i="31"/>
  <c r="R70" i="31"/>
  <c r="S70" i="31" s="1"/>
  <c r="R71" i="31"/>
  <c r="R72" i="31"/>
  <c r="S72" i="31" s="1"/>
  <c r="R73" i="31"/>
  <c r="R74" i="31"/>
  <c r="S74" i="31" s="1"/>
  <c r="R75" i="31"/>
  <c r="R76" i="31"/>
  <c r="S76" i="31" s="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S112" i="31" s="1"/>
  <c r="R113" i="31"/>
  <c r="R114" i="31"/>
  <c r="S114" i="31" s="1"/>
  <c r="R115" i="31"/>
  <c r="R116" i="31"/>
  <c r="S116" i="31" s="1"/>
  <c r="R117" i="31"/>
  <c r="R118" i="31"/>
  <c r="S118" i="31" s="1"/>
  <c r="R119" i="31"/>
  <c r="R120" i="31"/>
  <c r="S120" i="31" s="1"/>
  <c r="R121" i="31"/>
  <c r="R122" i="31"/>
  <c r="S122" i="31" s="1"/>
  <c r="R123" i="31"/>
  <c r="R124" i="31"/>
  <c r="R125" i="31"/>
  <c r="R126" i="31"/>
  <c r="R127" i="31"/>
  <c r="R128" i="31"/>
  <c r="R129" i="31"/>
  <c r="R130" i="31"/>
  <c r="R131" i="31"/>
  <c r="R132" i="31"/>
  <c r="R133" i="31"/>
  <c r="R134" i="31"/>
  <c r="R135" i="31"/>
  <c r="R136" i="31"/>
  <c r="R137" i="31"/>
  <c r="R138" i="31"/>
  <c r="R139" i="31"/>
  <c r="R140" i="31"/>
  <c r="R141" i="31"/>
  <c r="R142" i="31"/>
  <c r="R143" i="31"/>
  <c r="R144" i="31"/>
  <c r="S144" i="31" s="1"/>
  <c r="R145" i="31"/>
  <c r="R146" i="31"/>
  <c r="S146" i="31" s="1"/>
  <c r="R147" i="31"/>
  <c r="R148" i="31"/>
  <c r="S148" i="31" s="1"/>
  <c r="R149" i="31"/>
  <c r="R150" i="31"/>
  <c r="S150" i="31" s="1"/>
  <c r="R151" i="31"/>
  <c r="R152" i="31"/>
  <c r="S152" i="31" s="1"/>
  <c r="R153" i="31"/>
  <c r="R154" i="31"/>
  <c r="S154" i="31" s="1"/>
  <c r="R155" i="31"/>
  <c r="R156" i="31"/>
  <c r="S156" i="31" s="1"/>
  <c r="R157" i="31"/>
  <c r="R158" i="31"/>
  <c r="S158" i="31" s="1"/>
  <c r="R159" i="31"/>
  <c r="R160" i="31"/>
  <c r="S160" i="31" s="1"/>
  <c r="R161" i="31"/>
  <c r="R162" i="31"/>
  <c r="S162" i="31" s="1"/>
  <c r="R163" i="31"/>
  <c r="R164" i="31"/>
  <c r="S164" i="31" s="1"/>
  <c r="R165" i="31"/>
  <c r="R166" i="31"/>
  <c r="S166" i="31" s="1"/>
  <c r="R167" i="31"/>
  <c r="R168" i="31"/>
  <c r="S168" i="31" s="1"/>
  <c r="R169" i="31"/>
  <c r="R170" i="31"/>
  <c r="S170" i="31" s="1"/>
  <c r="R171" i="31"/>
  <c r="R172" i="31"/>
  <c r="S172" i="31" s="1"/>
  <c r="R173" i="31"/>
  <c r="R174" i="31"/>
  <c r="S174" i="31" s="1"/>
  <c r="R175" i="31"/>
  <c r="R176" i="31"/>
  <c r="S176" i="31" s="1"/>
  <c r="R177" i="31"/>
  <c r="R178" i="31"/>
  <c r="S178" i="31" s="1"/>
  <c r="R179" i="31"/>
  <c r="R180" i="31"/>
  <c r="S180" i="31" s="1"/>
  <c r="R181" i="31"/>
  <c r="R182" i="31"/>
  <c r="S182" i="31" s="1"/>
  <c r="R183" i="31"/>
  <c r="R184" i="31"/>
  <c r="S184" i="31" s="1"/>
  <c r="R185" i="31"/>
  <c r="R186" i="31"/>
  <c r="S186" i="31" s="1"/>
  <c r="R187" i="31"/>
  <c r="R188" i="31"/>
  <c r="S188" i="31" s="1"/>
  <c r="R189" i="31"/>
  <c r="R190" i="31"/>
  <c r="S190" i="31" s="1"/>
  <c r="R191" i="31"/>
  <c r="R192" i="31"/>
  <c r="S192" i="31" s="1"/>
  <c r="R193" i="31"/>
  <c r="R194" i="31"/>
  <c r="S194" i="31" s="1"/>
  <c r="R195" i="31"/>
  <c r="R196" i="31"/>
  <c r="S196" i="31" s="1"/>
  <c r="R197" i="31"/>
  <c r="R198" i="31"/>
  <c r="S198" i="31" s="1"/>
  <c r="R199" i="31"/>
  <c r="R200" i="31"/>
  <c r="S200" i="31" s="1"/>
  <c r="R201" i="31"/>
  <c r="R202" i="31"/>
  <c r="S202" i="31" s="1"/>
  <c r="R203" i="31"/>
  <c r="R204" i="31"/>
  <c r="S204" i="31" s="1"/>
  <c r="R205" i="31"/>
  <c r="R206" i="31"/>
  <c r="S206" i="31" s="1"/>
  <c r="R207" i="31"/>
  <c r="R208" i="31"/>
  <c r="S208" i="31" s="1"/>
  <c r="R209" i="31"/>
  <c r="R210" i="31"/>
  <c r="S210" i="31" s="1"/>
  <c r="R211" i="31"/>
  <c r="R212" i="31"/>
  <c r="S212" i="31" s="1"/>
  <c r="R213" i="31"/>
  <c r="R214" i="31"/>
  <c r="S214" i="31" s="1"/>
  <c r="R215" i="31"/>
  <c r="R216" i="31"/>
  <c r="S216" i="31" s="1"/>
  <c r="R217" i="31"/>
  <c r="R218" i="31"/>
  <c r="S218" i="31" s="1"/>
  <c r="R219" i="31"/>
  <c r="R220" i="31"/>
  <c r="S220" i="31" s="1"/>
  <c r="R221" i="31"/>
  <c r="R222" i="31"/>
  <c r="S222" i="31" s="1"/>
  <c r="R223" i="31"/>
  <c r="R224" i="31"/>
  <c r="S224" i="31" s="1"/>
  <c r="R225" i="31"/>
  <c r="R226" i="31"/>
  <c r="S226" i="31" s="1"/>
  <c r="R227" i="31"/>
  <c r="R228" i="31"/>
  <c r="S228" i="31" s="1"/>
  <c r="R229" i="31"/>
  <c r="R230" i="31"/>
  <c r="S230" i="31" s="1"/>
  <c r="R231" i="31"/>
  <c r="R232" i="31"/>
  <c r="S232" i="31" s="1"/>
  <c r="R233" i="31"/>
  <c r="R234" i="31"/>
  <c r="S234" i="31" s="1"/>
  <c r="R235" i="31"/>
  <c r="R236" i="31"/>
  <c r="S236" i="31" s="1"/>
  <c r="R237" i="31"/>
  <c r="R238" i="31"/>
  <c r="S238" i="31" s="1"/>
  <c r="R239" i="31"/>
  <c r="R240" i="31"/>
  <c r="S240" i="31" s="1"/>
  <c r="R241" i="31"/>
  <c r="R242" i="31"/>
  <c r="S242" i="31" s="1"/>
  <c r="R243" i="31"/>
  <c r="R244" i="31"/>
  <c r="S244" i="31" s="1"/>
  <c r="R245" i="31"/>
  <c r="R246" i="31"/>
  <c r="S246" i="31" s="1"/>
  <c r="R247" i="31"/>
  <c r="R248" i="31"/>
  <c r="S248" i="31" s="1"/>
  <c r="R249" i="31"/>
  <c r="R250" i="31"/>
  <c r="S250" i="31" s="1"/>
  <c r="R251" i="31"/>
  <c r="R252" i="31"/>
  <c r="S252" i="31" s="1"/>
  <c r="R253" i="31"/>
  <c r="R254" i="31"/>
  <c r="S254" i="31" s="1"/>
  <c r="R255" i="31"/>
  <c r="S255" i="31" s="1"/>
  <c r="R256" i="31"/>
  <c r="S256" i="31" s="1"/>
  <c r="R257" i="31"/>
  <c r="S257" i="31" s="1"/>
  <c r="R258" i="3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R425" i="31"/>
  <c r="R426" i="31"/>
  <c r="S426" i="31" s="1"/>
  <c r="R427" i="31"/>
  <c r="R428" i="31"/>
  <c r="S428" i="31" s="1"/>
  <c r="R429" i="31"/>
  <c r="R430" i="31"/>
  <c r="S430" i="31" s="1"/>
  <c r="R431" i="31"/>
  <c r="R432" i="31"/>
  <c r="S432" i="31" s="1"/>
  <c r="R433" i="31"/>
  <c r="R434" i="31"/>
  <c r="S434" i="31" s="1"/>
  <c r="R435" i="31"/>
  <c r="R436" i="31"/>
  <c r="S436" i="31" s="1"/>
  <c r="R437" i="31"/>
  <c r="R438" i="31"/>
  <c r="S438" i="31" s="1"/>
  <c r="R439" i="31"/>
  <c r="R440" i="31"/>
  <c r="S440" i="31" s="1"/>
  <c r="R441" i="31"/>
  <c r="R442" i="31"/>
  <c r="S442" i="31" s="1"/>
  <c r="R443" i="31"/>
  <c r="R444" i="31"/>
  <c r="S444" i="31" s="1"/>
  <c r="R445" i="31"/>
  <c r="R446" i="31"/>
  <c r="S446" i="31" s="1"/>
  <c r="R447" i="31"/>
  <c r="R448" i="31"/>
  <c r="S448" i="31" s="1"/>
  <c r="R449" i="31"/>
  <c r="R450" i="31"/>
  <c r="S450" i="31" s="1"/>
  <c r="R451" i="31"/>
  <c r="R452" i="31"/>
  <c r="S452" i="31" s="1"/>
  <c r="R453" i="31"/>
  <c r="R454" i="31"/>
  <c r="S454" i="31" s="1"/>
  <c r="R455" i="31"/>
  <c r="R456" i="31"/>
  <c r="S456" i="31" s="1"/>
  <c r="R457" i="31"/>
  <c r="R458" i="31"/>
  <c r="S458" i="31" s="1"/>
  <c r="R459" i="31"/>
  <c r="R460" i="31"/>
  <c r="S460" i="31" s="1"/>
  <c r="R461" i="31"/>
  <c r="R462" i="31"/>
  <c r="S462" i="31" s="1"/>
  <c r="R463" i="31"/>
  <c r="R464" i="31"/>
  <c r="S464" i="31" s="1"/>
  <c r="R465" i="31"/>
  <c r="R466" i="31"/>
  <c r="S466" i="31" s="1"/>
  <c r="R467" i="31"/>
  <c r="R468" i="31"/>
  <c r="S468" i="31" s="1"/>
  <c r="R469" i="31"/>
  <c r="R470" i="31"/>
  <c r="S470" i="31" s="1"/>
  <c r="R471" i="31"/>
  <c r="R472" i="31"/>
  <c r="S472" i="31" s="1"/>
  <c r="R473" i="31"/>
  <c r="R474" i="31"/>
  <c r="S474" i="31" s="1"/>
  <c r="R475" i="31"/>
  <c r="R476" i="31"/>
  <c r="S476" i="31" s="1"/>
  <c r="R477" i="31"/>
  <c r="R478" i="31"/>
  <c r="S478" i="31" s="1"/>
  <c r="R479" i="31"/>
  <c r="R480" i="31"/>
  <c r="S480" i="31" s="1"/>
  <c r="R481" i="31"/>
  <c r="R482" i="31"/>
  <c r="S482" i="31" s="1"/>
  <c r="R483" i="31"/>
  <c r="R484" i="31"/>
  <c r="S484" i="31" s="1"/>
  <c r="R485" i="31"/>
  <c r="R486" i="31"/>
  <c r="S486" i="31" s="1"/>
  <c r="R487" i="31"/>
  <c r="R488" i="31"/>
  <c r="S488" i="31" s="1"/>
  <c r="R489" i="31"/>
  <c r="R490" i="31"/>
  <c r="S490" i="31" s="1"/>
  <c r="R491" i="31"/>
  <c r="R492" i="31"/>
  <c r="S492" i="31" s="1"/>
  <c r="R493" i="31"/>
  <c r="R494" i="31"/>
  <c r="S494" i="31" s="1"/>
  <c r="R495" i="31"/>
  <c r="R496" i="31"/>
  <c r="S496" i="31" s="1"/>
  <c r="R497" i="31"/>
  <c r="R498" i="31"/>
  <c r="S498" i="31" s="1"/>
  <c r="R499" i="31"/>
  <c r="R500" i="31"/>
  <c r="S500" i="31" s="1"/>
  <c r="R501" i="31"/>
  <c r="R502" i="31"/>
  <c r="R503" i="31"/>
  <c r="R504" i="31"/>
  <c r="S504" i="31" s="1"/>
  <c r="R505" i="31"/>
  <c r="R506" i="31"/>
  <c r="S506" i="31" s="1"/>
  <c r="R507" i="31"/>
  <c r="R508" i="31"/>
  <c r="R509" i="31"/>
  <c r="R510" i="31"/>
  <c r="R511" i="31"/>
  <c r="R512" i="31"/>
  <c r="R513" i="31"/>
  <c r="R514" i="31"/>
  <c r="R515" i="31"/>
  <c r="R516" i="31"/>
  <c r="S516" i="31" s="1"/>
  <c r="R517" i="31"/>
  <c r="R518" i="31"/>
  <c r="R519" i="31"/>
  <c r="R520" i="31"/>
  <c r="R521" i="31"/>
  <c r="R522" i="31"/>
  <c r="R523" i="31"/>
  <c r="R524" i="31"/>
  <c r="C25" i="31"/>
  <c r="C26"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3" i="1"/>
  <c r="H15" i="4"/>
  <c r="F9" i="1" s="1"/>
  <c r="G9" i="1" s="1"/>
  <c r="G15" i="4"/>
  <c r="F12" i="1" s="1"/>
  <c r="F15" i="4"/>
  <c r="D15" i="4"/>
  <c r="F7" i="1" s="1"/>
  <c r="C15" i="4"/>
  <c r="F6" i="1" s="1"/>
  <c r="G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s="1"/>
  <c r="C27" i="3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G13" i="3" s="1"/>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B52" i="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00" i="31"/>
  <c r="S384" i="31"/>
  <c r="S368" i="31"/>
  <c r="S352" i="31"/>
  <c r="S336" i="31"/>
  <c r="S424" i="31"/>
  <c r="S306" i="31"/>
  <c r="S290" i="31"/>
  <c r="S274" i="31"/>
  <c r="S258" i="31"/>
  <c r="S253" i="31"/>
  <c r="S251" i="31"/>
  <c r="S249" i="31"/>
  <c r="S247" i="31"/>
  <c r="S245" i="31"/>
  <c r="S243" i="31"/>
  <c r="S241" i="31"/>
  <c r="S239" i="31"/>
  <c r="S237" i="31"/>
  <c r="S235" i="31"/>
  <c r="S233" i="31"/>
  <c r="S231" i="31"/>
  <c r="S229" i="31"/>
  <c r="S227" i="31"/>
  <c r="S225" i="31"/>
  <c r="S223" i="31"/>
  <c r="S429" i="31"/>
  <c r="S427" i="31"/>
  <c r="S425" i="31"/>
  <c r="S221" i="31"/>
  <c r="S219" i="31"/>
  <c r="S217" i="31"/>
  <c r="S215" i="31"/>
  <c r="S213" i="31"/>
  <c r="S211" i="31"/>
  <c r="S209" i="31"/>
  <c r="S207" i="31"/>
  <c r="S205" i="31"/>
  <c r="S203" i="31"/>
  <c r="S201" i="31"/>
  <c r="S199" i="31"/>
  <c r="S197" i="31"/>
  <c r="S195" i="31"/>
  <c r="S193" i="31"/>
  <c r="S191" i="31"/>
  <c r="S189" i="31"/>
  <c r="S187" i="31"/>
  <c r="S185" i="31"/>
  <c r="S183" i="31"/>
  <c r="S181" i="31"/>
  <c r="S179" i="31"/>
  <c r="S177" i="31"/>
  <c r="S175" i="31"/>
  <c r="S173" i="31"/>
  <c r="S171" i="31"/>
  <c r="S169" i="31"/>
  <c r="S167" i="31"/>
  <c r="S165" i="31"/>
  <c r="S163" i="31"/>
  <c r="S161" i="31"/>
  <c r="S159" i="31"/>
  <c r="S157" i="31"/>
  <c r="S155" i="31"/>
  <c r="S153" i="31"/>
  <c r="S151" i="31"/>
  <c r="S149" i="31"/>
  <c r="S147" i="31"/>
  <c r="S145" i="31"/>
  <c r="S143" i="31"/>
  <c r="S142" i="31"/>
  <c r="S141" i="31"/>
  <c r="S140" i="31"/>
  <c r="S139" i="31"/>
  <c r="S138" i="31"/>
  <c r="S137" i="31"/>
  <c r="S136" i="31"/>
  <c r="S135" i="31"/>
  <c r="S134" i="31"/>
  <c r="S133" i="31"/>
  <c r="S132" i="31"/>
  <c r="S131" i="31"/>
  <c r="S130" i="31"/>
  <c r="S129" i="31"/>
  <c r="S128" i="31"/>
  <c r="S127" i="31"/>
  <c r="S126" i="31"/>
  <c r="S125" i="31"/>
  <c r="S124" i="31"/>
  <c r="S123" i="31"/>
  <c r="S497" i="31"/>
  <c r="S495" i="31"/>
  <c r="S493" i="31"/>
  <c r="S491" i="31"/>
  <c r="S489" i="31"/>
  <c r="S487" i="31"/>
  <c r="S485" i="31"/>
  <c r="S483" i="31"/>
  <c r="S481" i="31"/>
  <c r="S479" i="31"/>
  <c r="S477" i="31"/>
  <c r="S475" i="31"/>
  <c r="S473" i="31"/>
  <c r="S471" i="31"/>
  <c r="S469" i="31"/>
  <c r="S443" i="31"/>
  <c r="S441" i="31"/>
  <c r="S439" i="31"/>
  <c r="S437" i="31"/>
  <c r="S435" i="31"/>
  <c r="S433" i="31"/>
  <c r="S431" i="31"/>
  <c r="S121" i="31"/>
  <c r="S119" i="31"/>
  <c r="S117" i="31"/>
  <c r="S115" i="31"/>
  <c r="S113" i="31"/>
  <c r="S502" i="31"/>
  <c r="S467" i="31"/>
  <c r="S465" i="31"/>
  <c r="S463" i="31"/>
  <c r="S461" i="31"/>
  <c r="S459" i="31"/>
  <c r="S457" i="31"/>
  <c r="S455" i="31"/>
  <c r="S453" i="31"/>
  <c r="S451" i="31"/>
  <c r="S53" i="31"/>
  <c r="S51" i="31"/>
  <c r="S49" i="31"/>
  <c r="S47" i="31"/>
  <c r="S45" i="31"/>
  <c r="S43" i="31"/>
  <c r="S41" i="31"/>
  <c r="S39" i="31"/>
  <c r="S37" i="31"/>
  <c r="S35" i="31"/>
  <c r="S33" i="31"/>
  <c r="S77" i="31"/>
  <c r="S75" i="31"/>
  <c r="S73" i="31"/>
  <c r="S71" i="31"/>
  <c r="S69" i="31"/>
  <c r="S67" i="31"/>
  <c r="S65" i="31"/>
  <c r="S63" i="31"/>
  <c r="S61" i="31"/>
  <c r="S59" i="31"/>
  <c r="S57" i="31"/>
  <c r="S55"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7"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H35" i="39" s="1"/>
  <c r="AB35" i="39" s="1"/>
  <c r="B111" i="39"/>
  <c r="F36" i="39" s="1"/>
  <c r="J30" i="36"/>
  <c r="H30" i="36"/>
  <c r="F30" i="36"/>
  <c r="AA30" i="36" s="1"/>
  <c r="C26" i="35"/>
  <c r="C79" i="35" s="1"/>
  <c r="J31" i="35"/>
  <c r="W31" i="35" s="1"/>
  <c r="H31" i="35"/>
  <c r="AB31" i="35" s="1"/>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AA40" i="33" s="1"/>
  <c r="J41" i="33"/>
  <c r="D113" i="33"/>
  <c r="F37" i="33"/>
  <c r="D111" i="33"/>
  <c r="E111" i="33" s="1"/>
  <c r="F111" i="33" s="1"/>
  <c r="S515" i="31"/>
  <c r="S517" i="31"/>
  <c r="S518" i="31"/>
  <c r="S519" i="31"/>
  <c r="S520" i="31"/>
  <c r="S521" i="31"/>
  <c r="S522" i="31"/>
  <c r="S523" i="31"/>
  <c r="S524" i="31"/>
  <c r="F41" i="21"/>
  <c r="J41" i="21"/>
  <c r="AC41" i="21" s="1"/>
  <c r="H41" i="21"/>
  <c r="U41" i="21" s="1"/>
  <c r="D80" i="39"/>
  <c r="E80" i="39" s="1"/>
  <c r="F80" i="39" s="1"/>
  <c r="G80" i="39" s="1"/>
  <c r="H80" i="39" s="1"/>
  <c r="I80" i="39" s="1"/>
  <c r="J80" i="39" s="1"/>
  <c r="K80" i="39" s="1"/>
  <c r="L80" i="39" s="1"/>
  <c r="M80" i="39" s="1"/>
  <c r="D76" i="40"/>
  <c r="E76" i="40"/>
  <c r="F76" i="40" s="1"/>
  <c r="G76" i="40" s="1"/>
  <c r="H76" i="40" s="1"/>
  <c r="I76" i="40" s="1"/>
  <c r="J76" i="40" s="1"/>
  <c r="K76" i="40" s="1"/>
  <c r="L76" i="40" s="1"/>
  <c r="M76" i="40" s="1"/>
  <c r="B120" i="40"/>
  <c r="B118" i="40"/>
  <c r="J39" i="40" s="1"/>
  <c r="B116" i="40"/>
  <c r="F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s="1"/>
  <c r="B103" i="40"/>
  <c r="J32" i="40" s="1"/>
  <c r="B101" i="40"/>
  <c r="J31" i="40"/>
  <c r="AC31" i="40" s="1"/>
  <c r="D100" i="40"/>
  <c r="E100" i="40" s="1"/>
  <c r="F100" i="40" s="1"/>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F88" i="40" s="1"/>
  <c r="D86" i="40"/>
  <c r="E86" i="40" s="1"/>
  <c r="F86" i="40" s="1"/>
  <c r="G86" i="40" s="1"/>
  <c r="D84" i="40"/>
  <c r="E84" i="40" s="1"/>
  <c r="F84" i="40" s="1"/>
  <c r="G84" i="40" s="1"/>
  <c r="B81" i="40"/>
  <c r="B79" i="40"/>
  <c r="B77" i="40"/>
  <c r="J12" i="40" s="1"/>
  <c r="AC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D106" i="39"/>
  <c r="E106" i="39" s="1"/>
  <c r="D104" i="39"/>
  <c r="E104" i="39" s="1"/>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H31" i="39" s="1"/>
  <c r="AB31" i="39" s="1"/>
  <c r="D96" i="39"/>
  <c r="J23" i="39"/>
  <c r="AC23" i="39" s="1"/>
  <c r="D94" i="39"/>
  <c r="E94" i="39" s="1"/>
  <c r="F94" i="39" s="1"/>
  <c r="G94" i="39" s="1"/>
  <c r="D92" i="39"/>
  <c r="E92" i="39" s="1"/>
  <c r="F92" i="39" s="1"/>
  <c r="G92" i="39" s="1"/>
  <c r="D90" i="39"/>
  <c r="E90" i="39" s="1"/>
  <c r="D88" i="39"/>
  <c r="E88" i="39" s="1"/>
  <c r="F88" i="39" s="1"/>
  <c r="G88" i="39" s="1"/>
  <c r="B85" i="39"/>
  <c r="B83" i="39"/>
  <c r="B81" i="39"/>
  <c r="J12" i="39" s="1"/>
  <c r="M78" i="39"/>
  <c r="L78" i="39"/>
  <c r="K78" i="39"/>
  <c r="J78" i="39"/>
  <c r="I78" i="39"/>
  <c r="H78" i="39"/>
  <c r="G78" i="39"/>
  <c r="F78" i="39"/>
  <c r="E78" i="39"/>
  <c r="D78" i="39"/>
  <c r="C78" i="39"/>
  <c r="P48" i="39"/>
  <c r="P47" i="39"/>
  <c r="P46" i="39"/>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F105" i="37" s="1"/>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s="1"/>
  <c r="B82" i="37"/>
  <c r="J26" i="37" s="1"/>
  <c r="AC26" i="37" s="1"/>
  <c r="D79" i="37"/>
  <c r="E79" i="37"/>
  <c r="D75" i="37"/>
  <c r="E75" i="37"/>
  <c r="D73" i="37"/>
  <c r="E73" i="37"/>
  <c r="F73" i="37" s="1"/>
  <c r="D71" i="37"/>
  <c r="H15" i="37"/>
  <c r="AB15" i="37" s="1"/>
  <c r="B68" i="37"/>
  <c r="H14" i="37" s="1"/>
  <c r="AB14" i="37" s="1"/>
  <c r="B66" i="37"/>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J24" i="36" s="1"/>
  <c r="AC24" i="36" s="1"/>
  <c r="B71" i="36"/>
  <c r="D70" i="36"/>
  <c r="H22" i="36"/>
  <c r="AB22" i="36"/>
  <c r="D68" i="36"/>
  <c r="E68" i="36"/>
  <c r="F68" i="36" s="1"/>
  <c r="G68" i="36" s="1"/>
  <c r="D64" i="36"/>
  <c r="E64" i="36"/>
  <c r="F64" i="36" s="1"/>
  <c r="G64" i="36" s="1"/>
  <c r="J16" i="36"/>
  <c r="W16" i="36"/>
  <c r="D62" i="36"/>
  <c r="E62" i="36"/>
  <c r="F62" i="36" s="1"/>
  <c r="G62" i="36" s="1"/>
  <c r="B59" i="36"/>
  <c r="B57" i="36"/>
  <c r="J12" i="36" s="1"/>
  <c r="B55" i="36"/>
  <c r="C51" i="36"/>
  <c r="J9" i="36" s="1"/>
  <c r="AC9" i="36" s="1"/>
  <c r="P37" i="36"/>
  <c r="P36" i="36"/>
  <c r="V35" i="36"/>
  <c r="T35" i="36"/>
  <c r="R35" i="36"/>
  <c r="P35" i="36"/>
  <c r="Q34" i="36"/>
  <c r="Z34" i="36" s="1"/>
  <c r="Q33" i="36"/>
  <c r="Z33" i="36" s="1"/>
  <c r="Q32" i="36"/>
  <c r="Z32" i="36" s="1"/>
  <c r="Q31" i="36"/>
  <c r="Z31" i="36" s="1"/>
  <c r="Q30" i="36"/>
  <c r="Z30" i="36" s="1"/>
  <c r="AC30" i="36"/>
  <c r="Q29" i="36"/>
  <c r="Z29" i="36"/>
  <c r="Q28" i="36"/>
  <c r="Z28" i="36"/>
  <c r="J28" i="36"/>
  <c r="AC28" i="36" s="1"/>
  <c r="Q27" i="36"/>
  <c r="Z27" i="36" s="1"/>
  <c r="Q26" i="36"/>
  <c r="Z26" i="36" s="1"/>
  <c r="H26" i="36"/>
  <c r="AB26" i="36" s="1"/>
  <c r="Q25" i="36"/>
  <c r="Z25" i="36" s="1"/>
  <c r="Q24" i="36"/>
  <c r="Z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c r="H9" i="36"/>
  <c r="AB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s="1"/>
  <c r="AC24" i="35" s="1"/>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J36" i="35"/>
  <c r="AC36" i="35" s="1"/>
  <c r="Q35" i="35"/>
  <c r="Z35" i="35" s="1"/>
  <c r="Q34" i="35"/>
  <c r="Z34" i="35" s="1"/>
  <c r="H34" i="35"/>
  <c r="AB34" i="35" s="1"/>
  <c r="Q33" i="35"/>
  <c r="Z33" i="35" s="1"/>
  <c r="Q32" i="35"/>
  <c r="Z32" i="35" s="1"/>
  <c r="H32" i="35"/>
  <c r="AB32" i="35" s="1"/>
  <c r="F32" i="35"/>
  <c r="AA32" i="35" s="1"/>
  <c r="Q31" i="35"/>
  <c r="Z31" i="35" s="1"/>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E126" i="34" s="1"/>
  <c r="F126" i="34" s="1"/>
  <c r="G126" i="34" s="1"/>
  <c r="D124" i="34"/>
  <c r="E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F9" i="34"/>
  <c r="AA9" i="34" s="1"/>
  <c r="J8" i="34"/>
  <c r="AC8" i="34" s="1"/>
  <c r="H8" i="34"/>
  <c r="U8" i="34" s="1"/>
  <c r="F8" i="34"/>
  <c r="D121" i="33"/>
  <c r="E121" i="33" s="1"/>
  <c r="F109" i="33"/>
  <c r="E109" i="33"/>
  <c r="D109" i="33"/>
  <c r="C109" i="33"/>
  <c r="D91" i="33"/>
  <c r="E91" i="33" s="1"/>
  <c r="B88" i="33"/>
  <c r="J26" i="33" s="1"/>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H9" i="33" s="1"/>
  <c r="AB9" i="33" s="1"/>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Q39" i="33"/>
  <c r="Z39" i="33" s="1"/>
  <c r="J39" i="33"/>
  <c r="AC39" i="33" s="1"/>
  <c r="Q38" i="33"/>
  <c r="Z38" i="33" s="1"/>
  <c r="J38" i="33"/>
  <c r="AC38" i="33" s="1"/>
  <c r="H38" i="33"/>
  <c r="AB38" i="33" s="1"/>
  <c r="F38" i="33"/>
  <c r="AA38" i="33" s="1"/>
  <c r="Q37" i="33"/>
  <c r="Z37" i="33" s="1"/>
  <c r="Q36" i="33"/>
  <c r="Z36" i="33" s="1"/>
  <c r="Q35" i="33"/>
  <c r="Z35" i="33" s="1"/>
  <c r="H35" i="33"/>
  <c r="AB35" i="33" s="1"/>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Q14" i="33"/>
  <c r="Z14" i="33" s="1"/>
  <c r="Q13" i="33"/>
  <c r="Z13" i="33" s="1"/>
  <c r="Q12" i="33"/>
  <c r="Z12" i="33" s="1"/>
  <c r="Q11" i="33"/>
  <c r="Z11" i="33" s="1"/>
  <c r="Q10" i="33"/>
  <c r="Z10" i="33" s="1"/>
  <c r="Q9" i="33"/>
  <c r="Z9" i="33" s="1"/>
  <c r="J9" i="33"/>
  <c r="AC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97" i="43" s="1"/>
  <c r="B75" i="43"/>
  <c r="C21" i="20"/>
  <c r="B99" i="43" s="1"/>
  <c r="B76" i="43"/>
  <c r="C20" i="20"/>
  <c r="B101" i="43" s="1"/>
  <c r="B79" i="43"/>
  <c r="C18" i="20"/>
  <c r="B94" i="43" s="1"/>
  <c r="B73" i="43"/>
  <c r="C17" i="20"/>
  <c r="B61" i="43"/>
  <c r="C16" i="20"/>
  <c r="C17" i="39"/>
  <c r="C15" i="20"/>
  <c r="B72"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111" i="21"/>
  <c r="E111" i="21"/>
  <c r="F111" i="21"/>
  <c r="C111" i="21"/>
  <c r="D79" i="21"/>
  <c r="E79" i="21"/>
  <c r="F79" i="21" s="1"/>
  <c r="G79" i="21" s="1"/>
  <c r="D85" i="21"/>
  <c r="F19" i="21"/>
  <c r="AA19" i="21" s="1"/>
  <c r="E81" i="21"/>
  <c r="F81" i="21" s="1"/>
  <c r="G81" i="21" s="1"/>
  <c r="D77" i="21"/>
  <c r="E77" i="21" s="1"/>
  <c r="B130" i="21"/>
  <c r="B128" i="21"/>
  <c r="J45" i="21" s="1"/>
  <c r="W45" i="21" s="1"/>
  <c r="B126" i="21"/>
  <c r="B98" i="21"/>
  <c r="H31" i="21" s="1"/>
  <c r="B96" i="21"/>
  <c r="B94" i="21"/>
  <c r="J29" i="21"/>
  <c r="AC29" i="21" s="1"/>
  <c r="B92" i="21"/>
  <c r="B90" i="21"/>
  <c r="J27" i="21" s="1"/>
  <c r="W27" i="21" s="1"/>
  <c r="B74" i="21"/>
  <c r="B72" i="21"/>
  <c r="H13" i="2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c r="J45" i="39"/>
  <c r="W45" i="39"/>
  <c r="J35" i="39"/>
  <c r="AC35" i="39"/>
  <c r="F35" i="39"/>
  <c r="AA35" i="39"/>
  <c r="W40" i="39"/>
  <c r="U30" i="37"/>
  <c r="E103" i="37"/>
  <c r="F103" i="37" s="1"/>
  <c r="G103" i="37" s="1"/>
  <c r="H103" i="37" s="1"/>
  <c r="I103" i="37" s="1"/>
  <c r="J103" i="37" s="1"/>
  <c r="K103" i="37" s="1"/>
  <c r="L103" i="37" s="1"/>
  <c r="M103" i="37" s="1"/>
  <c r="F39" i="37"/>
  <c r="S39" i="37" s="1"/>
  <c r="F29" i="36"/>
  <c r="AA29" i="36" s="1"/>
  <c r="F16" i="36"/>
  <c r="AA16" i="36"/>
  <c r="W28" i="36"/>
  <c r="J33" i="36"/>
  <c r="AC33" i="36" s="1"/>
  <c r="H22" i="35"/>
  <c r="AB22" i="35"/>
  <c r="AC27" i="35"/>
  <c r="W28" i="35"/>
  <c r="W36" i="35"/>
  <c r="W22" i="35"/>
  <c r="S31" i="35"/>
  <c r="F36" i="34"/>
  <c r="J35" i="34"/>
  <c r="U34" i="34"/>
  <c r="H39" i="33"/>
  <c r="AB39" i="33" s="1"/>
  <c r="F26" i="33"/>
  <c r="AA26" i="33" s="1"/>
  <c r="U33" i="33"/>
  <c r="S40" i="33"/>
  <c r="W39" i="33"/>
  <c r="H39" i="37"/>
  <c r="AB39" i="37"/>
  <c r="S27" i="35"/>
  <c r="F11" i="40"/>
  <c r="AA11" i="40" s="1"/>
  <c r="H11" i="40"/>
  <c r="AB11" i="40" s="1"/>
  <c r="W8" i="40"/>
  <c r="AC40" i="40"/>
  <c r="AA9" i="40"/>
  <c r="AC9" i="40"/>
  <c r="U9" i="40"/>
  <c r="S34" i="40"/>
  <c r="S40" i="40"/>
  <c r="U34" i="40"/>
  <c r="U40" i="40"/>
  <c r="F42" i="39"/>
  <c r="AA42" i="39" s="1"/>
  <c r="F41" i="39"/>
  <c r="S41" i="39" s="1"/>
  <c r="H40" i="39"/>
  <c r="AB40" i="39" s="1"/>
  <c r="H39" i="39"/>
  <c r="U39" i="39" s="1"/>
  <c r="S38" i="39"/>
  <c r="E108" i="39"/>
  <c r="E100" i="39"/>
  <c r="H19" i="39"/>
  <c r="AB19" i="39" s="1"/>
  <c r="F19" i="39"/>
  <c r="AA19" i="39" s="1"/>
  <c r="J23" i="40"/>
  <c r="AC23" i="40" s="1"/>
  <c r="F21" i="40"/>
  <c r="AA21" i="40" s="1"/>
  <c r="J21" i="40"/>
  <c r="W21" i="40" s="1"/>
  <c r="H42" i="39"/>
  <c r="AB42" i="39" s="1"/>
  <c r="F108" i="39"/>
  <c r="G108" i="39" s="1"/>
  <c r="H108" i="39" s="1"/>
  <c r="I108" i="39" s="1"/>
  <c r="J108" i="39" s="1"/>
  <c r="K108" i="39" s="1"/>
  <c r="L108" i="39" s="1"/>
  <c r="M108" i="39" s="1"/>
  <c r="F100" i="39"/>
  <c r="H27" i="39"/>
  <c r="U27" i="39" s="1"/>
  <c r="J19" i="39"/>
  <c r="AC19" i="39" s="1"/>
  <c r="J27" i="39"/>
  <c r="AC27" i="39" s="1"/>
  <c r="F27" i="39"/>
  <c r="F11" i="21"/>
  <c r="S11" i="21" s="1"/>
  <c r="S40" i="21"/>
  <c r="U34" i="21"/>
  <c r="S34" i="21"/>
  <c r="C25" i="39"/>
  <c r="C27" i="39"/>
  <c r="C21" i="39"/>
  <c r="H11" i="39"/>
  <c r="S40" i="39"/>
  <c r="C15" i="39"/>
  <c r="H32" i="33"/>
  <c r="AB32" i="33" s="1"/>
  <c r="H11" i="21"/>
  <c r="U11" i="21" s="1"/>
  <c r="J11" i="21"/>
  <c r="W11" i="21" s="1"/>
  <c r="H37" i="40"/>
  <c r="U37" i="40"/>
  <c r="H36" i="40"/>
  <c r="AB36" i="40"/>
  <c r="F35" i="40"/>
  <c r="AA35" i="40"/>
  <c r="H23" i="40"/>
  <c r="AB23" i="40" s="1"/>
  <c r="H17" i="40"/>
  <c r="U17" i="40" s="1"/>
  <c r="J15" i="40"/>
  <c r="W15" i="40" s="1"/>
  <c r="J11" i="40"/>
  <c r="W11" i="40" s="1"/>
  <c r="AB8" i="39"/>
  <c r="AA12" i="34"/>
  <c r="F37" i="39"/>
  <c r="AA37" i="39"/>
  <c r="J34" i="36"/>
  <c r="W34" i="36" s="1"/>
  <c r="U30" i="36"/>
  <c r="J30" i="35"/>
  <c r="W30" i="35" s="1"/>
  <c r="H30" i="35"/>
  <c r="AB30" i="35" s="1"/>
  <c r="F22" i="35"/>
  <c r="AA22" i="35"/>
  <c r="H10" i="35"/>
  <c r="U10" i="35" s="1"/>
  <c r="AC16" i="36"/>
  <c r="F33" i="36"/>
  <c r="AA33" i="36"/>
  <c r="W30" i="36"/>
  <c r="H16" i="36"/>
  <c r="AB16" i="36" s="1"/>
  <c r="E85" i="36"/>
  <c r="F85" i="36" s="1"/>
  <c r="G85" i="36" s="1"/>
  <c r="H85" i="36" s="1"/>
  <c r="I85" i="36" s="1"/>
  <c r="J85" i="36" s="1"/>
  <c r="K85" i="36" s="1"/>
  <c r="L85" i="36" s="1"/>
  <c r="M85" i="36" s="1"/>
  <c r="J29" i="36"/>
  <c r="AC29" i="36" s="1"/>
  <c r="F12" i="36"/>
  <c r="S12" i="36" s="1"/>
  <c r="F24" i="36"/>
  <c r="AA24" i="36" s="1"/>
  <c r="F34" i="36"/>
  <c r="S34" i="36" s="1"/>
  <c r="F14" i="35"/>
  <c r="AA14" i="35" s="1"/>
  <c r="J32" i="35"/>
  <c r="AC32" i="35" s="1"/>
  <c r="J16" i="35"/>
  <c r="AC16" i="35" s="1"/>
  <c r="H16" i="35"/>
  <c r="U16" i="35" s="1"/>
  <c r="F16" i="35"/>
  <c r="S16" i="35" s="1"/>
  <c r="H14" i="35"/>
  <c r="AB14" i="35" s="1"/>
  <c r="J29" i="35"/>
  <c r="H33" i="35"/>
  <c r="AB33" i="35" s="1"/>
  <c r="J20" i="35"/>
  <c r="W20" i="35" s="1"/>
  <c r="F35" i="37"/>
  <c r="S35" i="37" s="1"/>
  <c r="E101" i="37"/>
  <c r="F101" i="37" s="1"/>
  <c r="G101" i="37" s="1"/>
  <c r="H101" i="37" s="1"/>
  <c r="I101" i="37" s="1"/>
  <c r="J101" i="37" s="1"/>
  <c r="K101" i="37" s="1"/>
  <c r="L101" i="37" s="1"/>
  <c r="M101" i="37" s="1"/>
  <c r="J34" i="37"/>
  <c r="W34" i="37" s="1"/>
  <c r="AA39" i="37"/>
  <c r="AB34" i="37"/>
  <c r="J33" i="37"/>
  <c r="AC33" i="37" s="1"/>
  <c r="U42" i="34"/>
  <c r="H40" i="34"/>
  <c r="U40" i="34" s="1"/>
  <c r="E114" i="34"/>
  <c r="F114" i="34" s="1"/>
  <c r="G114" i="34" s="1"/>
  <c r="H114" i="34" s="1"/>
  <c r="I114" i="34" s="1"/>
  <c r="J114" i="34" s="1"/>
  <c r="K114" i="34" s="1"/>
  <c r="L114" i="34" s="1"/>
  <c r="M114" i="34" s="1"/>
  <c r="H36" i="34"/>
  <c r="U36" i="34" s="1"/>
  <c r="F37" i="34"/>
  <c r="AA37" i="34" s="1"/>
  <c r="F28" i="34"/>
  <c r="AA28" i="34"/>
  <c r="F25" i="34"/>
  <c r="S25" i="34" s="1"/>
  <c r="H23" i="34"/>
  <c r="U23" i="34" s="1"/>
  <c r="J23" i="34"/>
  <c r="W23" i="34" s="1"/>
  <c r="F19" i="34"/>
  <c r="H17" i="34"/>
  <c r="U17" i="34" s="1"/>
  <c r="F15" i="34"/>
  <c r="AA15" i="34" s="1"/>
  <c r="J15" i="34"/>
  <c r="AC15" i="34" s="1"/>
  <c r="H15" i="34"/>
  <c r="AB15" i="34" s="1"/>
  <c r="W8" i="34"/>
  <c r="J28" i="34"/>
  <c r="W28" i="34" s="1"/>
  <c r="F41" i="33"/>
  <c r="AA41" i="33" s="1"/>
  <c r="S38" i="33"/>
  <c r="E113" i="33"/>
  <c r="F32" i="33"/>
  <c r="AA32" i="33" s="1"/>
  <c r="J19" i="33"/>
  <c r="AC19" i="33" s="1"/>
  <c r="J15" i="33"/>
  <c r="AC15" i="33" s="1"/>
  <c r="F11" i="33"/>
  <c r="AA11" i="33" s="1"/>
  <c r="U40" i="33"/>
  <c r="W40" i="33"/>
  <c r="F37" i="40"/>
  <c r="AA37" i="40" s="1"/>
  <c r="F36" i="40"/>
  <c r="AA36" i="40" s="1"/>
  <c r="H28" i="40"/>
  <c r="U28" i="40" s="1"/>
  <c r="F23" i="40"/>
  <c r="AA23" i="40" s="1"/>
  <c r="F17" i="40"/>
  <c r="AA17" i="40" s="1"/>
  <c r="J17" i="40"/>
  <c r="W17" i="40" s="1"/>
  <c r="F15" i="40"/>
  <c r="S15" i="40" s="1"/>
  <c r="H15" i="40"/>
  <c r="AB15" i="40" s="1"/>
  <c r="AC11" i="40"/>
  <c r="AA12" i="36"/>
  <c r="AB30" i="36"/>
  <c r="U33" i="35"/>
  <c r="F29" i="35"/>
  <c r="S29" i="35" s="1"/>
  <c r="H29" i="35"/>
  <c r="AB29" i="35" s="1"/>
  <c r="H33" i="37"/>
  <c r="AB33" i="37" s="1"/>
  <c r="F33" i="37"/>
  <c r="AA33" i="37" s="1"/>
  <c r="U34" i="37"/>
  <c r="S34" i="37"/>
  <c r="AA34" i="37"/>
  <c r="J43" i="34"/>
  <c r="AB42" i="34"/>
  <c r="J40" i="34"/>
  <c r="H38" i="34"/>
  <c r="AB38" i="34" s="1"/>
  <c r="J36" i="34"/>
  <c r="W36" i="34" s="1"/>
  <c r="H37" i="34"/>
  <c r="U37" i="34" s="1"/>
  <c r="H25" i="34"/>
  <c r="AB25" i="34" s="1"/>
  <c r="J25" i="34"/>
  <c r="AC25" i="34" s="1"/>
  <c r="F23" i="34"/>
  <c r="AA23" i="34" s="1"/>
  <c r="J19" i="34"/>
  <c r="AC19" i="34" s="1"/>
  <c r="F17" i="34"/>
  <c r="AA17" i="34" s="1"/>
  <c r="J17" i="34"/>
  <c r="W17" i="34" s="1"/>
  <c r="S15" i="34"/>
  <c r="S41" i="33"/>
  <c r="F113" i="33"/>
  <c r="G113" i="33" s="1"/>
  <c r="H113" i="33" s="1"/>
  <c r="I113" i="33" s="1"/>
  <c r="J113" i="33" s="1"/>
  <c r="K113" i="33" s="1"/>
  <c r="L113" i="33" s="1"/>
  <c r="M113" i="33" s="1"/>
  <c r="H37" i="33"/>
  <c r="AB37" i="33" s="1"/>
  <c r="H15" i="33"/>
  <c r="AB15" i="33" s="1"/>
  <c r="H11" i="33"/>
  <c r="AB11" i="33" s="1"/>
  <c r="F28" i="40"/>
  <c r="AA28" i="40" s="1"/>
  <c r="AA42" i="34"/>
  <c r="S42" i="34"/>
  <c r="AC38" i="34"/>
  <c r="AA38" i="34"/>
  <c r="J37" i="34"/>
  <c r="AC37" i="34" s="1"/>
  <c r="J11" i="33"/>
  <c r="W11" i="33" s="1"/>
  <c r="S28" i="34"/>
  <c r="U23" i="40"/>
  <c r="J42" i="21"/>
  <c r="AC42" i="21" s="1"/>
  <c r="H42" i="21"/>
  <c r="U42" i="21" s="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J13" i="33"/>
  <c r="H13" i="33"/>
  <c r="U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AB11" i="35" s="1"/>
  <c r="J11" i="35"/>
  <c r="F11" i="35"/>
  <c r="S11" i="35" s="1"/>
  <c r="J26" i="36"/>
  <c r="W26" i="36"/>
  <c r="H28" i="36"/>
  <c r="U28" i="36" s="1"/>
  <c r="H32" i="36"/>
  <c r="AB32" i="36" s="1"/>
  <c r="J32" i="36"/>
  <c r="W32" i="36" s="1"/>
  <c r="J11" i="36"/>
  <c r="AC11" i="36" s="1"/>
  <c r="H11" i="36"/>
  <c r="U11" i="36" s="1"/>
  <c r="F11" i="36"/>
  <c r="AA11" i="36" s="1"/>
  <c r="H13" i="36"/>
  <c r="AB13" i="36"/>
  <c r="J13" i="36"/>
  <c r="F13" i="36"/>
  <c r="S13" i="36" s="1"/>
  <c r="E89" i="37"/>
  <c r="F89" i="37" s="1"/>
  <c r="G89" i="37" s="1"/>
  <c r="H89" i="37" s="1"/>
  <c r="I89" i="37" s="1"/>
  <c r="J89" i="37" s="1"/>
  <c r="K89" i="37" s="1"/>
  <c r="L89" i="37" s="1"/>
  <c r="M89" i="37" s="1"/>
  <c r="J29" i="37"/>
  <c r="W29" i="37" s="1"/>
  <c r="F29" i="37"/>
  <c r="S29" i="37" s="1"/>
  <c r="H36" i="37"/>
  <c r="AB36" i="37" s="1"/>
  <c r="F107" i="37"/>
  <c r="J37" i="37"/>
  <c r="AC37" i="37" s="1"/>
  <c r="H37" i="37"/>
  <c r="U37" i="37" s="1"/>
  <c r="H40" i="37"/>
  <c r="U40" i="37" s="1"/>
  <c r="J40" i="37"/>
  <c r="AC40" i="37" s="1"/>
  <c r="F40" i="37"/>
  <c r="AA40" i="37" s="1"/>
  <c r="W12" i="40"/>
  <c r="H14" i="33"/>
  <c r="U14" i="33"/>
  <c r="F14" i="33"/>
  <c r="S14" i="33"/>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J35" i="40"/>
  <c r="J37" i="40"/>
  <c r="AC37" i="40" s="1"/>
  <c r="H13" i="40"/>
  <c r="U13" i="40" s="1"/>
  <c r="J13" i="40"/>
  <c r="W13" i="40" s="1"/>
  <c r="F13" i="40"/>
  <c r="AA13" i="40" s="1"/>
  <c r="F14" i="37"/>
  <c r="S14" i="37" s="1"/>
  <c r="F27" i="37"/>
  <c r="AA27" i="37" s="1"/>
  <c r="F13" i="39"/>
  <c r="J13" i="39"/>
  <c r="W13" i="39" s="1"/>
  <c r="H13" i="39"/>
  <c r="H14" i="40"/>
  <c r="AB14" i="40"/>
  <c r="J14" i="40"/>
  <c r="W14" i="40"/>
  <c r="F14" i="40"/>
  <c r="AA14" i="40"/>
  <c r="J14" i="37"/>
  <c r="AC14" i="37"/>
  <c r="J27" i="37"/>
  <c r="AC27" i="37"/>
  <c r="AA13" i="35"/>
  <c r="U46" i="33"/>
  <c r="AA14" i="33"/>
  <c r="J36" i="37"/>
  <c r="AC36" i="37" s="1"/>
  <c r="G105" i="37"/>
  <c r="J10" i="36"/>
  <c r="AC10" i="36" s="1"/>
  <c r="AB30" i="21"/>
  <c r="AC13" i="36"/>
  <c r="W13" i="36"/>
  <c r="S11" i="36"/>
  <c r="AC30" i="34"/>
  <c r="S45" i="33"/>
  <c r="AB31" i="33"/>
  <c r="W29" i="33"/>
  <c r="AC28" i="21"/>
  <c r="S44" i="34"/>
  <c r="BA586" i="3"/>
  <c r="BA585" i="3"/>
  <c r="F17" i="21"/>
  <c r="AA17" i="21"/>
  <c r="H17" i="21"/>
  <c r="AB17" i="21"/>
  <c r="F15" i="21"/>
  <c r="S15" i="21"/>
  <c r="J41" i="39"/>
  <c r="W41" i="39" s="1"/>
  <c r="AC45" i="39"/>
  <c r="W35"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BA556" i="3"/>
  <c r="BA554" i="3"/>
  <c r="AZ554" i="3" s="1"/>
  <c r="BA552" i="3"/>
  <c r="AZ552" i="3" s="1"/>
  <c r="BA548" i="3"/>
  <c r="BA546" i="3"/>
  <c r="BA544" i="3"/>
  <c r="AZ544" i="3" s="1"/>
  <c r="BA542" i="3"/>
  <c r="BA540" i="3"/>
  <c r="BA538" i="3"/>
  <c r="AZ538" i="3" s="1"/>
  <c r="BA536" i="3"/>
  <c r="AZ536" i="3" s="1"/>
  <c r="BA534" i="3"/>
  <c r="BA532" i="3"/>
  <c r="AZ532" i="3" s="1"/>
  <c r="BA530" i="3"/>
  <c r="AZ530" i="3" s="1"/>
  <c r="BA528" i="3"/>
  <c r="BA526" i="3"/>
  <c r="BA524" i="3"/>
  <c r="BA522" i="3"/>
  <c r="BA520" i="3"/>
  <c r="BA518" i="3"/>
  <c r="AZ518" i="3" s="1"/>
  <c r="BA516" i="3"/>
  <c r="BA514" i="3"/>
  <c r="BA512" i="3"/>
  <c r="AZ512" i="3" s="1"/>
  <c r="BA510" i="3"/>
  <c r="BA508" i="3"/>
  <c r="BA506" i="3"/>
  <c r="BA504" i="3"/>
  <c r="BA502" i="3"/>
  <c r="BA500" i="3"/>
  <c r="BA498" i="3"/>
  <c r="AZ498" i="3" s="1"/>
  <c r="BA496" i="3"/>
  <c r="BA494" i="3"/>
  <c r="BA587" i="3"/>
  <c r="AZ587" i="3" s="1"/>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C557" i="3"/>
  <c r="G557" i="3"/>
  <c r="BQ557" i="3"/>
  <c r="BL557" i="3"/>
  <c r="AZ557" i="3" s="1"/>
  <c r="BQ583" i="3"/>
  <c r="BL583" i="3"/>
  <c r="BQ581" i="3"/>
  <c r="BL581" i="3" s="1"/>
  <c r="BQ579" i="3"/>
  <c r="BL579" i="3" s="1"/>
  <c r="AZ579" i="3" s="1"/>
  <c r="BQ577" i="3"/>
  <c r="BL577" i="3"/>
  <c r="BQ575" i="3"/>
  <c r="BL575" i="3" s="1"/>
  <c r="BQ573" i="3"/>
  <c r="BL573" i="3" s="1"/>
  <c r="BQ571" i="3"/>
  <c r="BL571" i="3" s="1"/>
  <c r="AZ571" i="3" s="1"/>
  <c r="BQ569" i="3"/>
  <c r="BL569" i="3"/>
  <c r="BQ567" i="3"/>
  <c r="BL567" i="3" s="1"/>
  <c r="BQ565" i="3"/>
  <c r="BL565" i="3" s="1"/>
  <c r="BQ563" i="3"/>
  <c r="BL563" i="3" s="1"/>
  <c r="BQ561" i="3"/>
  <c r="BL561" i="3" s="1"/>
  <c r="AZ561" i="3"/>
  <c r="BQ559" i="3"/>
  <c r="BL559" i="3"/>
  <c r="AZ559" i="3" s="1"/>
  <c r="G559" i="3"/>
  <c r="G555" i="3"/>
  <c r="G553" i="3"/>
  <c r="G549" i="3"/>
  <c r="G547" i="3"/>
  <c r="G545" i="3"/>
  <c r="G543" i="3"/>
  <c r="G541" i="3"/>
  <c r="G539" i="3"/>
  <c r="G537" i="3"/>
  <c r="BQ555" i="3"/>
  <c r="BL555" i="3" s="1"/>
  <c r="AZ555" i="3"/>
  <c r="BQ553" i="3"/>
  <c r="BL553" i="3"/>
  <c r="AZ553" i="3" s="1"/>
  <c r="BQ551" i="3"/>
  <c r="BL551" i="3" s="1"/>
  <c r="BQ549" i="3"/>
  <c r="BQ547" i="3"/>
  <c r="BL547" i="3"/>
  <c r="AZ547" i="3" s="1"/>
  <c r="BQ545" i="3"/>
  <c r="BL545" i="3" s="1"/>
  <c r="AZ545" i="3"/>
  <c r="BQ543" i="3"/>
  <c r="BL543" i="3"/>
  <c r="AZ543" i="3" s="1"/>
  <c r="BQ541" i="3"/>
  <c r="BL541" i="3" s="1"/>
  <c r="AZ541" i="3"/>
  <c r="BQ539" i="3"/>
  <c r="BL539" i="3"/>
  <c r="AZ539" i="3" s="1"/>
  <c r="BQ537" i="3"/>
  <c r="BL537" i="3" s="1"/>
  <c r="AZ537" i="3"/>
  <c r="BQ535" i="3"/>
  <c r="BL535" i="3"/>
  <c r="AZ535" i="3" s="1"/>
  <c r="BQ533" i="3"/>
  <c r="BL533" i="3" s="1"/>
  <c r="AZ533" i="3"/>
  <c r="BQ531" i="3"/>
  <c r="BL531" i="3"/>
  <c r="AZ531" i="3" s="1"/>
  <c r="BQ529" i="3"/>
  <c r="BL529" i="3" s="1"/>
  <c r="AZ529" i="3"/>
  <c r="BQ527" i="3"/>
  <c r="BL527" i="3"/>
  <c r="AZ527" i="3" s="1"/>
  <c r="BQ525" i="3"/>
  <c r="BL525" i="3" s="1"/>
  <c r="AZ525" i="3"/>
  <c r="BQ523" i="3"/>
  <c r="BL523" i="3"/>
  <c r="AZ523" i="3" s="1"/>
  <c r="BA521" i="3"/>
  <c r="AC521" i="3"/>
  <c r="BQ521" i="3"/>
  <c r="BL521" i="3" s="1"/>
  <c r="BL520" i="3"/>
  <c r="G519" i="3"/>
  <c r="G517" i="3"/>
  <c r="G515" i="3"/>
  <c r="G513" i="3"/>
  <c r="G511" i="3"/>
  <c r="BQ519" i="3"/>
  <c r="BL519" i="3" s="1"/>
  <c r="BQ517" i="3"/>
  <c r="BL517" i="3" s="1"/>
  <c r="AZ517" i="3" s="1"/>
  <c r="BQ515" i="3"/>
  <c r="BL515" i="3"/>
  <c r="BQ513" i="3"/>
  <c r="BL513" i="3" s="1"/>
  <c r="BQ511" i="3"/>
  <c r="BL511" i="3" s="1"/>
  <c r="BA509" i="3"/>
  <c r="AC509" i="3"/>
  <c r="BQ509" i="3"/>
  <c r="BL509" i="3" s="1"/>
  <c r="BL508" i="3"/>
  <c r="G507" i="3"/>
  <c r="G505" i="3"/>
  <c r="G503" i="3"/>
  <c r="G501" i="3"/>
  <c r="G499" i="3"/>
  <c r="G497" i="3"/>
  <c r="G495" i="3"/>
  <c r="BQ507" i="3"/>
  <c r="BL507" i="3"/>
  <c r="AZ507" i="3" s="1"/>
  <c r="BQ505" i="3"/>
  <c r="BL505" i="3" s="1"/>
  <c r="AZ505" i="3"/>
  <c r="BQ503" i="3"/>
  <c r="BL503" i="3"/>
  <c r="AZ503" i="3" s="1"/>
  <c r="BQ501" i="3"/>
  <c r="BL501" i="3" s="1"/>
  <c r="BQ499" i="3"/>
  <c r="BL499" i="3" s="1"/>
  <c r="BQ497" i="3"/>
  <c r="BL497" i="3" s="1"/>
  <c r="BQ495" i="3"/>
  <c r="BL495" i="3" s="1"/>
  <c r="AZ495" i="3" s="1"/>
  <c r="BQ493" i="3"/>
  <c r="S505" i="31"/>
  <c r="S503" i="31"/>
  <c r="S501" i="31"/>
  <c r="S499" i="31"/>
  <c r="O27" i="31"/>
  <c r="O28" i="31"/>
  <c r="O26" i="31"/>
  <c r="M27" i="31"/>
  <c r="M28" i="31"/>
  <c r="M26" i="31"/>
  <c r="I26" i="31"/>
  <c r="I25" i="31"/>
  <c r="Q26" i="31"/>
  <c r="K26" i="31"/>
  <c r="I27" i="31"/>
  <c r="Q27" i="31"/>
  <c r="K27" i="31"/>
  <c r="I28" i="31"/>
  <c r="Q28" i="31"/>
  <c r="K28" i="31"/>
  <c r="AC28" i="34"/>
  <c r="S21" i="40"/>
  <c r="AA12" i="21"/>
  <c r="H25" i="21"/>
  <c r="U25" i="21"/>
  <c r="F25" i="21"/>
  <c r="S25" i="21"/>
  <c r="J25" i="21"/>
  <c r="AC25" i="21"/>
  <c r="E125" i="33"/>
  <c r="F125" i="33"/>
  <c r="G125" i="33" s="1"/>
  <c r="H43" i="33"/>
  <c r="AB43" i="33"/>
  <c r="H17" i="37"/>
  <c r="U17" i="37"/>
  <c r="AB27" i="37"/>
  <c r="F39" i="33"/>
  <c r="AA39" i="33" s="1"/>
  <c r="E123" i="33"/>
  <c r="F123" i="33" s="1"/>
  <c r="F42" i="33"/>
  <c r="AA42" i="33" s="1"/>
  <c r="H28" i="34"/>
  <c r="AB28" i="34" s="1"/>
  <c r="F14" i="36"/>
  <c r="AA14" i="36" s="1"/>
  <c r="F22" i="36"/>
  <c r="S22" i="36" s="1"/>
  <c r="F26" i="36"/>
  <c r="S26" i="36" s="1"/>
  <c r="H27" i="34"/>
  <c r="AB27" i="34" s="1"/>
  <c r="H35" i="34"/>
  <c r="U35" i="34" s="1"/>
  <c r="F41" i="34"/>
  <c r="S41" i="34"/>
  <c r="H41" i="34"/>
  <c r="U41" i="34"/>
  <c r="J41" i="34"/>
  <c r="AC41" i="34"/>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s="1"/>
  <c r="G123" i="33"/>
  <c r="H123" i="33" s="1"/>
  <c r="I123" i="33" s="1"/>
  <c r="J123" i="33" s="1"/>
  <c r="K123" i="33" s="1"/>
  <c r="L123" i="33" s="1"/>
  <c r="M123" i="33" s="1"/>
  <c r="H42" i="33"/>
  <c r="AB42" i="33"/>
  <c r="J43" i="33"/>
  <c r="AC43" i="33" s="1"/>
  <c r="U43" i="33"/>
  <c r="U14" i="40"/>
  <c r="U35" i="35"/>
  <c r="AA12" i="35"/>
  <c r="W14" i="37"/>
  <c r="AB28" i="37"/>
  <c r="U33" i="37"/>
  <c r="U39" i="37"/>
  <c r="W26" i="37"/>
  <c r="W47" i="34"/>
  <c r="AB13" i="34"/>
  <c r="AC36" i="34"/>
  <c r="AA13" i="33"/>
  <c r="AC31" i="33"/>
  <c r="AC45" i="33"/>
  <c r="W44" i="33"/>
  <c r="U11" i="33"/>
  <c r="U19" i="21"/>
  <c r="W44" i="21"/>
  <c r="U26" i="21"/>
  <c r="AC46" i="21"/>
  <c r="U12" i="21"/>
  <c r="AB38" i="21"/>
  <c r="F43" i="33"/>
  <c r="AA43" i="33" s="1"/>
  <c r="W15" i="34"/>
  <c r="W16" i="35"/>
  <c r="W40" i="37"/>
  <c r="G107" i="37"/>
  <c r="H107" i="37" s="1"/>
  <c r="I107" i="37"/>
  <c r="J107" i="37" s="1"/>
  <c r="K107" i="37" s="1"/>
  <c r="L107" i="37" s="1"/>
  <c r="M107" i="37" s="1"/>
  <c r="H37" i="21"/>
  <c r="U37" i="21" s="1"/>
  <c r="S42" i="21"/>
  <c r="H19" i="34"/>
  <c r="AB19" i="34" s="1"/>
  <c r="F36" i="35"/>
  <c r="S36" i="35" s="1"/>
  <c r="J9" i="37"/>
  <c r="W9" i="37" s="1"/>
  <c r="H9" i="37"/>
  <c r="U9" i="37" s="1"/>
  <c r="F9" i="37"/>
  <c r="S9" i="37" s="1"/>
  <c r="J12" i="37"/>
  <c r="H12" i="37"/>
  <c r="AB12" i="37" s="1"/>
  <c r="F12" i="37"/>
  <c r="S12" i="37" s="1"/>
  <c r="E71" i="37"/>
  <c r="F71" i="37" s="1"/>
  <c r="G71" i="37" s="1"/>
  <c r="F15" i="37"/>
  <c r="AA15" i="37" s="1"/>
  <c r="E94" i="37"/>
  <c r="F94" i="37" s="1"/>
  <c r="G94" i="37" s="1"/>
  <c r="H94" i="37" s="1"/>
  <c r="I94" i="37" s="1"/>
  <c r="J94" i="37" s="1"/>
  <c r="K94" i="37" s="1"/>
  <c r="L94" i="37" s="1"/>
  <c r="M94" i="37" s="1"/>
  <c r="F31" i="37"/>
  <c r="S31" i="37"/>
  <c r="F12" i="39"/>
  <c r="S12" i="39" s="1"/>
  <c r="J42" i="39"/>
  <c r="AC42" i="39" s="1"/>
  <c r="H21" i="40"/>
  <c r="AB21" i="40"/>
  <c r="H31" i="37"/>
  <c r="U31" i="37" s="1"/>
  <c r="J15" i="37"/>
  <c r="W15" i="37" s="1"/>
  <c r="AT6" i="3"/>
  <c r="H5" i="3"/>
  <c r="AA25" i="21"/>
  <c r="H19" i="40"/>
  <c r="U19" i="40" s="1"/>
  <c r="G88" i="40"/>
  <c r="F19" i="40"/>
  <c r="S19" i="40"/>
  <c r="S14" i="40"/>
  <c r="AC13" i="40"/>
  <c r="W23" i="39"/>
  <c r="AC43" i="39"/>
  <c r="W43" i="39"/>
  <c r="U45" i="39"/>
  <c r="AB45" i="39"/>
  <c r="AB44" i="39"/>
  <c r="U44" i="39"/>
  <c r="G100" i="39"/>
  <c r="H37" i="39"/>
  <c r="AB37" i="39" s="1"/>
  <c r="AC37" i="39"/>
  <c r="W37" i="39"/>
  <c r="H25" i="39"/>
  <c r="AB25" i="39" s="1"/>
  <c r="J25" i="39"/>
  <c r="W25" i="39" s="1"/>
  <c r="F25" i="39"/>
  <c r="AA25" i="39" s="1"/>
  <c r="F15" i="39"/>
  <c r="AA15" i="39" s="1"/>
  <c r="H15" i="39"/>
  <c r="U15" i="39" s="1"/>
  <c r="J15" i="39"/>
  <c r="W15" i="39" s="1"/>
  <c r="H41" i="39"/>
  <c r="AB41" i="39" s="1"/>
  <c r="W27" i="39"/>
  <c r="U40" i="39"/>
  <c r="S42" i="39"/>
  <c r="AA41" i="39"/>
  <c r="W9" i="39"/>
  <c r="W8" i="39"/>
  <c r="J19" i="40"/>
  <c r="AC19" i="40"/>
  <c r="J50" i="40"/>
  <c r="H103" i="9"/>
  <c r="D8" i="53" s="1"/>
  <c r="B16" i="53"/>
  <c r="B33" i="72" s="1"/>
  <c r="C7" i="37"/>
  <c r="C7" i="34"/>
  <c r="C7" i="36"/>
  <c r="A118" i="9"/>
  <c r="A4" i="52"/>
  <c r="B41" i="72" s="1"/>
  <c r="J11" i="39"/>
  <c r="W11" i="39" s="1"/>
  <c r="F11" i="39"/>
  <c r="AA11" i="39" s="1"/>
  <c r="G4" i="4"/>
  <c r="I4" i="4"/>
  <c r="A2" i="9"/>
  <c r="F61" i="43"/>
  <c r="H64" i="43" s="1"/>
  <c r="AZ20" i="3"/>
  <c r="AZ24" i="3"/>
  <c r="AZ32" i="3"/>
  <c r="BL549" i="3"/>
  <c r="AZ494" i="3"/>
  <c r="AZ502" i="3"/>
  <c r="AZ522" i="3"/>
  <c r="AZ546" i="3"/>
  <c r="G546" i="3"/>
  <c r="G524" i="3"/>
  <c r="G303" i="3"/>
  <c r="BL304" i="3"/>
  <c r="G305" i="3"/>
  <c r="BL306" i="3"/>
  <c r="BA308" i="3"/>
  <c r="AZ308" i="3" s="1"/>
  <c r="BA309" i="3"/>
  <c r="BL309" i="3"/>
  <c r="G310" i="3"/>
  <c r="BA311" i="3"/>
  <c r="G319" i="3"/>
  <c r="BL320" i="3"/>
  <c r="G321" i="3"/>
  <c r="BL322" i="3"/>
  <c r="BA324" i="3"/>
  <c r="BA325" i="3"/>
  <c r="BL325" i="3"/>
  <c r="G326" i="3"/>
  <c r="BA327" i="3"/>
  <c r="G335" i="3"/>
  <c r="BL336" i="3"/>
  <c r="G337" i="3"/>
  <c r="BL338" i="3"/>
  <c r="BA340" i="3"/>
  <c r="AZ340" i="3" s="1"/>
  <c r="BA341" i="3"/>
  <c r="BL341" i="3"/>
  <c r="BA343" i="3"/>
  <c r="AZ343" i="3" s="1"/>
  <c r="BA345" i="3"/>
  <c r="BL355" i="3"/>
  <c r="G356" i="3"/>
  <c r="BL357" i="3"/>
  <c r="BA359" i="3"/>
  <c r="AZ359" i="3" s="1"/>
  <c r="BA360" i="3"/>
  <c r="AZ360" i="3" s="1"/>
  <c r="BL360" i="3"/>
  <c r="G361" i="3"/>
  <c r="BA362" i="3"/>
  <c r="G370" i="3"/>
  <c r="BL371" i="3"/>
  <c r="G372" i="3"/>
  <c r="BL373" i="3"/>
  <c r="AZ373" i="3" s="1"/>
  <c r="BA375" i="3"/>
  <c r="AZ375" i="3"/>
  <c r="BA376" i="3"/>
  <c r="BL376" i="3"/>
  <c r="AZ376" i="3" s="1"/>
  <c r="G377" i="3"/>
  <c r="BA378" i="3"/>
  <c r="AZ378" i="3" s="1"/>
  <c r="BL378" i="3"/>
  <c r="G379" i="3"/>
  <c r="BA380" i="3"/>
  <c r="G388" i="3"/>
  <c r="BL389" i="3"/>
  <c r="G390" i="3"/>
  <c r="BL391" i="3"/>
  <c r="BA393" i="3"/>
  <c r="BA394" i="3"/>
  <c r="BL394" i="3"/>
  <c r="G113" i="3"/>
  <c r="BA115" i="3"/>
  <c r="AZ115" i="3" s="1"/>
  <c r="BL116" i="3"/>
  <c r="AZ116" i="3" s="1"/>
  <c r="G117" i="3"/>
  <c r="BA119" i="3"/>
  <c r="BL120" i="3"/>
  <c r="AZ120" i="3" s="1"/>
  <c r="G121" i="3"/>
  <c r="BA123" i="3"/>
  <c r="AZ123" i="3" s="1"/>
  <c r="BL124" i="3"/>
  <c r="AZ124" i="3" s="1"/>
  <c r="G125" i="3"/>
  <c r="BA127" i="3"/>
  <c r="AZ127" i="3" s="1"/>
  <c r="BL128" i="3"/>
  <c r="AZ128" i="3" s="1"/>
  <c r="G129" i="3"/>
  <c r="BA131" i="3"/>
  <c r="AZ131" i="3" s="1"/>
  <c r="BL132" i="3"/>
  <c r="AZ132" i="3" s="1"/>
  <c r="G133" i="3"/>
  <c r="BA135" i="3"/>
  <c r="BL136" i="3"/>
  <c r="G137" i="3"/>
  <c r="BA139" i="3"/>
  <c r="BL140" i="3"/>
  <c r="AZ140" i="3"/>
  <c r="G141" i="3"/>
  <c r="BA143" i="3"/>
  <c r="BL144" i="3"/>
  <c r="G145" i="3"/>
  <c r="BA147" i="3"/>
  <c r="BL148" i="3"/>
  <c r="AZ148" i="3" s="1"/>
  <c r="G149" i="3"/>
  <c r="BA151" i="3"/>
  <c r="AZ151" i="3" s="1"/>
  <c r="BL152" i="3"/>
  <c r="G153" i="3"/>
  <c r="BA155" i="3"/>
  <c r="AZ155" i="3" s="1"/>
  <c r="BL156" i="3"/>
  <c r="AZ156" i="3" s="1"/>
  <c r="G157" i="3"/>
  <c r="BA159" i="3"/>
  <c r="BL160" i="3"/>
  <c r="G161" i="3"/>
  <c r="BA163" i="3"/>
  <c r="BL164" i="3"/>
  <c r="AZ164" i="3" s="1"/>
  <c r="G165" i="3"/>
  <c r="BA167" i="3"/>
  <c r="AZ167" i="3"/>
  <c r="BL168" i="3"/>
  <c r="G169" i="3"/>
  <c r="BA171" i="3"/>
  <c r="AZ171" i="3"/>
  <c r="BL172" i="3"/>
  <c r="AZ172" i="3"/>
  <c r="G173" i="3"/>
  <c r="BA175" i="3"/>
  <c r="BL176" i="3"/>
  <c r="G177" i="3"/>
  <c r="BA179" i="3"/>
  <c r="BL180" i="3"/>
  <c r="AZ180" i="3" s="1"/>
  <c r="G181" i="3"/>
  <c r="BA183" i="3"/>
  <c r="AZ183" i="3" s="1"/>
  <c r="BL184" i="3"/>
  <c r="AZ184" i="3" s="1"/>
  <c r="G185" i="3"/>
  <c r="BA187" i="3"/>
  <c r="AZ187" i="3" s="1"/>
  <c r="BL188" i="3"/>
  <c r="G189" i="3"/>
  <c r="BA191" i="3"/>
  <c r="AZ191" i="3" s="1"/>
  <c r="BL192" i="3"/>
  <c r="G193" i="3"/>
  <c r="BA195" i="3"/>
  <c r="AZ195" i="3" s="1"/>
  <c r="BL196" i="3"/>
  <c r="AZ196" i="3" s="1"/>
  <c r="G197" i="3"/>
  <c r="BA199" i="3"/>
  <c r="AZ199" i="3"/>
  <c r="BL200" i="3"/>
  <c r="G201" i="3"/>
  <c r="BA203" i="3"/>
  <c r="AZ203" i="3"/>
  <c r="BL204" i="3"/>
  <c r="AZ47" i="3"/>
  <c r="AZ59" i="3"/>
  <c r="AZ63" i="3"/>
  <c r="AZ75" i="3"/>
  <c r="AZ79" i="3"/>
  <c r="AZ136" i="3"/>
  <c r="AZ144" i="3"/>
  <c r="AZ160" i="3"/>
  <c r="AZ176" i="3"/>
  <c r="AZ192" i="3"/>
  <c r="AZ200" i="3"/>
  <c r="AZ89" i="3"/>
  <c r="AZ97" i="3"/>
  <c r="AZ105" i="3"/>
  <c r="AZ109" i="3"/>
  <c r="G534" i="3"/>
  <c r="G530" i="3"/>
  <c r="G522" i="3"/>
  <c r="G516" i="3"/>
  <c r="G512" i="3"/>
  <c r="G506" i="3"/>
  <c r="G498" i="3"/>
  <c r="G494" i="3"/>
  <c r="G16" i="3"/>
  <c r="G15" i="3"/>
  <c r="BA304" i="3"/>
  <c r="AZ304" i="3"/>
  <c r="BA305" i="3"/>
  <c r="AZ305" i="3"/>
  <c r="BL305" i="3"/>
  <c r="G306" i="3"/>
  <c r="G309" i="3"/>
  <c r="BL310" i="3"/>
  <c r="BA312" i="3"/>
  <c r="BA313" i="3"/>
  <c r="BL313" i="3"/>
  <c r="AZ313" i="3" s="1"/>
  <c r="G314" i="3"/>
  <c r="G317" i="3"/>
  <c r="BL318" i="3"/>
  <c r="BA320" i="3"/>
  <c r="AZ320" i="3" s="1"/>
  <c r="BA321" i="3"/>
  <c r="AZ321" i="3" s="1"/>
  <c r="BL321" i="3"/>
  <c r="G322" i="3"/>
  <c r="G325" i="3"/>
  <c r="BL326" i="3"/>
  <c r="BA328" i="3"/>
  <c r="AZ328" i="3" s="1"/>
  <c r="BA329" i="3"/>
  <c r="BL329" i="3"/>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BL351" i="3"/>
  <c r="G352" i="3"/>
  <c r="G354" i="3"/>
  <c r="BA355" i="3"/>
  <c r="AZ355" i="3"/>
  <c r="BA356" i="3"/>
  <c r="BL356" i="3"/>
  <c r="G357" i="3"/>
  <c r="G360" i="3"/>
  <c r="BL361" i="3"/>
  <c r="BA363" i="3"/>
  <c r="BA364" i="3"/>
  <c r="BL364" i="3"/>
  <c r="AZ364" i="3" s="1"/>
  <c r="G365" i="3"/>
  <c r="G368" i="3"/>
  <c r="BL369" i="3"/>
  <c r="BA371" i="3"/>
  <c r="BA372" i="3"/>
  <c r="AZ372" i="3"/>
  <c r="BL372" i="3"/>
  <c r="G373" i="3"/>
  <c r="G376" i="3"/>
  <c r="BL377" i="3"/>
  <c r="BL379" i="3"/>
  <c r="BA381" i="3"/>
  <c r="BA382" i="3"/>
  <c r="BL382" i="3"/>
  <c r="G383" i="3"/>
  <c r="G386" i="3"/>
  <c r="BL387" i="3"/>
  <c r="BA389" i="3"/>
  <c r="AZ389" i="3" s="1"/>
  <c r="BA390" i="3"/>
  <c r="BL390" i="3"/>
  <c r="G391" i="3"/>
  <c r="G394" i="3"/>
  <c r="AZ154" i="3"/>
  <c r="AZ170" i="3"/>
  <c r="AZ182" i="3"/>
  <c r="AZ190" i="3"/>
  <c r="AZ194" i="3"/>
  <c r="AZ198" i="3"/>
  <c r="AZ500" i="3"/>
  <c r="BA16" i="3"/>
  <c r="AZ16" i="3" s="1"/>
  <c r="BL303" i="3"/>
  <c r="G304" i="3"/>
  <c r="BA306" i="3"/>
  <c r="AZ306" i="3" s="1"/>
  <c r="BL307" i="3"/>
  <c r="G308" i="3"/>
  <c r="BA310" i="3"/>
  <c r="BL311" i="3"/>
  <c r="AZ311" i="3"/>
  <c r="G312" i="3"/>
  <c r="BA314" i="3"/>
  <c r="AZ314" i="3" s="1"/>
  <c r="BL315" i="3"/>
  <c r="AZ315" i="3" s="1"/>
  <c r="G316" i="3"/>
  <c r="BA318" i="3"/>
  <c r="AZ318" i="3"/>
  <c r="BL319" i="3"/>
  <c r="G320" i="3"/>
  <c r="BA322" i="3"/>
  <c r="AZ322" i="3"/>
  <c r="BL323" i="3"/>
  <c r="AZ323" i="3"/>
  <c r="G324" i="3"/>
  <c r="BA326" i="3"/>
  <c r="AZ326" i="3" s="1"/>
  <c r="BL327" i="3"/>
  <c r="G328" i="3"/>
  <c r="BA330" i="3"/>
  <c r="BL331" i="3"/>
  <c r="AZ331" i="3"/>
  <c r="G332" i="3"/>
  <c r="BA334" i="3"/>
  <c r="BL335" i="3"/>
  <c r="G336" i="3"/>
  <c r="BA338" i="3"/>
  <c r="AZ338" i="3" s="1"/>
  <c r="BL339" i="3"/>
  <c r="G340" i="3"/>
  <c r="BL343" i="3"/>
  <c r="G344" i="3"/>
  <c r="G348" i="3"/>
  <c r="G355" i="3"/>
  <c r="AZ214" i="3"/>
  <c r="AZ222" i="3"/>
  <c r="AZ319" i="3"/>
  <c r="G342" i="3"/>
  <c r="BL345" i="3"/>
  <c r="AZ345" i="3" s="1"/>
  <c r="G346" i="3"/>
  <c r="BL349" i="3"/>
  <c r="AZ349" i="3" s="1"/>
  <c r="BL352" i="3"/>
  <c r="G353" i="3"/>
  <c r="BA357" i="3"/>
  <c r="AZ357" i="3" s="1"/>
  <c r="BL358" i="3"/>
  <c r="G359" i="3"/>
  <c r="BA361" i="3"/>
  <c r="AZ361" i="3" s="1"/>
  <c r="BL362" i="3"/>
  <c r="AZ362" i="3" s="1"/>
  <c r="G363" i="3"/>
  <c r="BA365" i="3"/>
  <c r="AZ365" i="3" s="1"/>
  <c r="BL366" i="3"/>
  <c r="AZ366" i="3" s="1"/>
  <c r="G367" i="3"/>
  <c r="BA369" i="3"/>
  <c r="AZ369" i="3"/>
  <c r="BL370" i="3"/>
  <c r="G371" i="3"/>
  <c r="BA373" i="3"/>
  <c r="BL374" i="3"/>
  <c r="AZ374" i="3" s="1"/>
  <c r="G375" i="3"/>
  <c r="BA377" i="3"/>
  <c r="AZ229" i="3"/>
  <c r="AZ241" i="3"/>
  <c r="AZ245" i="3"/>
  <c r="AZ269" i="3"/>
  <c r="AZ273" i="3"/>
  <c r="AZ370" i="3"/>
  <c r="BA379" i="3"/>
  <c r="AZ379" i="3"/>
  <c r="BL380" i="3"/>
  <c r="G381" i="3"/>
  <c r="BA383" i="3"/>
  <c r="AZ383" i="3"/>
  <c r="BL384" i="3"/>
  <c r="G385" i="3"/>
  <c r="BA387" i="3"/>
  <c r="AZ387" i="3"/>
  <c r="BL388" i="3"/>
  <c r="G389" i="3"/>
  <c r="BA391" i="3"/>
  <c r="AZ391" i="3"/>
  <c r="BL392" i="3"/>
  <c r="G393" i="3"/>
  <c r="AZ275" i="3"/>
  <c r="AZ291" i="3"/>
  <c r="BO5" i="3"/>
  <c r="BM5" i="3"/>
  <c r="BJ5" i="3"/>
  <c r="BH5" i="3"/>
  <c r="BF5" i="3"/>
  <c r="BD5" i="3"/>
  <c r="AZ333" i="3"/>
  <c r="BQ5" i="3"/>
  <c r="AZ549" i="3"/>
  <c r="AZ496" i="3"/>
  <c r="G548" i="3"/>
  <c r="G538" i="3"/>
  <c r="G520" i="3"/>
  <c r="G502" i="3"/>
  <c r="BS5" i="3"/>
  <c r="BP5" i="3"/>
  <c r="BN5" i="3"/>
  <c r="BK5" i="3"/>
  <c r="BI5" i="3"/>
  <c r="BG5" i="3"/>
  <c r="BE5" i="3"/>
  <c r="BC5" i="3"/>
  <c r="G17" i="3"/>
  <c r="BA17" i="3"/>
  <c r="BT5" i="3"/>
  <c r="AZ350" i="3"/>
  <c r="AZ356" i="3"/>
  <c r="AZ368" i="3"/>
  <c r="BA15" i="3"/>
  <c r="BB5" i="3"/>
  <c r="BR5" i="3"/>
  <c r="AZ380" i="3"/>
  <c r="AZ384" i="3"/>
  <c r="AZ388" i="3"/>
  <c r="AZ392" i="3"/>
  <c r="AZ394" i="3"/>
  <c r="AZ499" i="3"/>
  <c r="AZ509" i="3"/>
  <c r="G509" i="3"/>
  <c r="BL493" i="3"/>
  <c r="AZ390" i="3"/>
  <c r="AZ493" i="3"/>
  <c r="U36" i="40"/>
  <c r="F83" i="43"/>
  <c r="H85" i="43" s="1"/>
  <c r="F50" i="43"/>
  <c r="H54" i="43" s="1"/>
  <c r="G54" i="43" s="1"/>
  <c r="F72" i="43"/>
  <c r="H75" i="43" s="1"/>
  <c r="S14" i="35"/>
  <c r="U43" i="21"/>
  <c r="U35" i="21"/>
  <c r="AC35" i="21"/>
  <c r="G10" i="1"/>
  <c r="AZ563" i="3"/>
  <c r="AZ501" i="3"/>
  <c r="W37" i="37"/>
  <c r="W44" i="34"/>
  <c r="AC44" i="34"/>
  <c r="S15" i="37"/>
  <c r="U13" i="37"/>
  <c r="U12" i="40"/>
  <c r="AA12" i="40"/>
  <c r="J37" i="33"/>
  <c r="W37" i="33" s="1"/>
  <c r="F106" i="33"/>
  <c r="G106" i="33" s="1"/>
  <c r="H106" i="33" s="1"/>
  <c r="I106" i="33" s="1"/>
  <c r="J106" i="33" s="1"/>
  <c r="K106" i="33" s="1"/>
  <c r="L106" i="33" s="1"/>
  <c r="M106" i="33" s="1"/>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11" i="40"/>
  <c r="E98" i="40"/>
  <c r="F98" i="40" s="1"/>
  <c r="G98" i="40" s="1"/>
  <c r="H98" i="40" s="1"/>
  <c r="I98" i="40" s="1"/>
  <c r="J98" i="40" s="1"/>
  <c r="K98" i="40" s="1"/>
  <c r="L98" i="40" s="1"/>
  <c r="M98" i="40" s="1"/>
  <c r="F10" i="33"/>
  <c r="S10" i="33" s="1"/>
  <c r="F34" i="33"/>
  <c r="S34" i="33" s="1"/>
  <c r="H34" i="33"/>
  <c r="U34" i="33" s="1"/>
  <c r="F35" i="33"/>
  <c r="S35" i="33"/>
  <c r="F39" i="34"/>
  <c r="S39" i="34"/>
  <c r="J39" i="34"/>
  <c r="W39" i="34"/>
  <c r="F40" i="34"/>
  <c r="S40" i="34"/>
  <c r="F43" i="34"/>
  <c r="AA43" i="34" s="1"/>
  <c r="H44" i="34"/>
  <c r="AB44" i="34" s="1"/>
  <c r="AC38" i="39"/>
  <c r="F39" i="39"/>
  <c r="S39" i="39" s="1"/>
  <c r="J39" i="39"/>
  <c r="AC39" i="39" s="1"/>
  <c r="E96" i="39"/>
  <c r="F96" i="39" s="1"/>
  <c r="G96" i="39" s="1"/>
  <c r="AZ353" i="3"/>
  <c r="C40" i="11"/>
  <c r="AZ215" i="3"/>
  <c r="AZ227" i="3"/>
  <c r="AZ240" i="3"/>
  <c r="AZ243" i="3"/>
  <c r="AZ271" i="3"/>
  <c r="AZ280" i="3"/>
  <c r="AZ288" i="3"/>
  <c r="AZ114" i="3"/>
  <c r="AZ130" i="3"/>
  <c r="AZ21" i="3"/>
  <c r="AZ37" i="3"/>
  <c r="AZ42" i="3"/>
  <c r="AZ45" i="3"/>
  <c r="AZ50" i="3"/>
  <c r="AZ61" i="3"/>
  <c r="AZ66" i="3"/>
  <c r="AZ72" i="3"/>
  <c r="AZ74" i="3"/>
  <c r="AZ77" i="3"/>
  <c r="AZ82" i="3"/>
  <c r="AZ86" i="3"/>
  <c r="AZ94" i="3"/>
  <c r="AZ110" i="3"/>
  <c r="F23" i="39"/>
  <c r="AA23" i="39" s="1"/>
  <c r="H27" i="36"/>
  <c r="U27" i="36" s="1"/>
  <c r="F27" i="36"/>
  <c r="AA27" i="36" s="1"/>
  <c r="H33" i="34"/>
  <c r="U33" i="34" s="1"/>
  <c r="F32" i="37"/>
  <c r="AA32" i="37" s="1"/>
  <c r="G96" i="37"/>
  <c r="H96" i="37" s="1"/>
  <c r="I96" i="37" s="1"/>
  <c r="J96" i="37" s="1"/>
  <c r="K96" i="37" s="1"/>
  <c r="L96" i="37" s="1"/>
  <c r="M96" i="37" s="1"/>
  <c r="F20" i="36"/>
  <c r="AA20" i="36"/>
  <c r="J33" i="34"/>
  <c r="AC33" i="34" s="1"/>
  <c r="H23" i="39"/>
  <c r="U23" i="39" s="1"/>
  <c r="D48" i="9"/>
  <c r="M52" i="9" s="1"/>
  <c r="K9" i="1"/>
  <c r="M9" i="1" s="1"/>
  <c r="D93" i="9"/>
  <c r="K6" i="1"/>
  <c r="G29" i="6"/>
  <c r="AC26" i="33"/>
  <c r="W26" i="33"/>
  <c r="W27" i="34"/>
  <c r="AC27" i="34"/>
  <c r="AB34" i="36"/>
  <c r="U34" i="36"/>
  <c r="AB33" i="36"/>
  <c r="U33" i="36"/>
  <c r="AC12" i="39"/>
  <c r="W12" i="39"/>
  <c r="AC39" i="40"/>
  <c r="W39" i="40"/>
  <c r="AZ417" i="3"/>
  <c r="AZ433" i="3"/>
  <c r="AZ465" i="3"/>
  <c r="W12" i="33"/>
  <c r="AC12" i="33"/>
  <c r="AA32" i="36"/>
  <c r="S32" i="36"/>
  <c r="AZ457" i="3"/>
  <c r="AZ473" i="3"/>
  <c r="AA39" i="34"/>
  <c r="F28" i="6"/>
  <c r="BL14" i="3"/>
  <c r="U30" i="33"/>
  <c r="AC13" i="34"/>
  <c r="AA47" i="34"/>
  <c r="W28" i="37"/>
  <c r="S19" i="39"/>
  <c r="F12" i="33"/>
  <c r="H12" i="39"/>
  <c r="AB12" i="39" s="1"/>
  <c r="F39" i="40"/>
  <c r="BA14" i="3"/>
  <c r="AZ14" i="3"/>
  <c r="AZ213" i="3"/>
  <c r="AZ224" i="3"/>
  <c r="AZ238" i="3"/>
  <c r="AZ286" i="3"/>
  <c r="AZ149" i="3"/>
  <c r="AZ165" i="3"/>
  <c r="AZ189" i="3"/>
  <c r="AZ19" i="3"/>
  <c r="AZ26" i="3"/>
  <c r="AZ35" i="3"/>
  <c r="B12" i="1"/>
  <c r="E12" i="1" s="1"/>
  <c r="B10" i="1"/>
  <c r="E10" i="1" s="1"/>
  <c r="AZ80" i="3"/>
  <c r="AZ84" i="3"/>
  <c r="AZ88" i="3"/>
  <c r="AZ107" i="3"/>
  <c r="AZ111" i="3"/>
  <c r="K12" i="1"/>
  <c r="M12" i="1" s="1"/>
  <c r="S13" i="1"/>
  <c r="AR13" i="1" s="1"/>
  <c r="R13" i="1"/>
  <c r="J51" i="67"/>
  <c r="C42" i="1"/>
  <c r="C24" i="12" s="1"/>
  <c r="AA34" i="33"/>
  <c r="B41" i="1"/>
  <c r="AB37" i="40"/>
  <c r="S35" i="40"/>
  <c r="U35" i="40"/>
  <c r="AC36"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AB27" i="39"/>
  <c r="U31" i="39"/>
  <c r="J21" i="39"/>
  <c r="W21" i="39" s="1"/>
  <c r="F21" i="39"/>
  <c r="AA21" i="39" s="1"/>
  <c r="H21" i="39"/>
  <c r="AB21" i="39" s="1"/>
  <c r="W19" i="39"/>
  <c r="U19" i="39"/>
  <c r="S15" i="39"/>
  <c r="AA12" i="39"/>
  <c r="U14" i="39"/>
  <c r="AC13" i="39"/>
  <c r="U12" i="39"/>
  <c r="S23" i="36"/>
  <c r="U13" i="36"/>
  <c r="U26" i="36"/>
  <c r="S33" i="36"/>
  <c r="AA26" i="36"/>
  <c r="AA34" i="36"/>
  <c r="AC26" i="36"/>
  <c r="AA22" i="36"/>
  <c r="W14" i="36"/>
  <c r="AB14" i="36"/>
  <c r="U22" i="36"/>
  <c r="S16" i="36"/>
  <c r="AA25" i="36"/>
  <c r="S24" i="36"/>
  <c r="U23" i="36"/>
  <c r="AB20" i="36"/>
  <c r="U16" i="36"/>
  <c r="S14" i="36"/>
  <c r="AA25"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W27"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AA13" i="37"/>
  <c r="H10" i="37"/>
  <c r="AB10" i="37" s="1"/>
  <c r="F63" i="37"/>
  <c r="F11" i="37"/>
  <c r="S11" i="37" s="1"/>
  <c r="AB8" i="34"/>
  <c r="AA33" i="34"/>
  <c r="U44" i="34"/>
  <c r="AC39" i="34"/>
  <c r="W41" i="34"/>
  <c r="AC42" i="34"/>
  <c r="U39" i="34"/>
  <c r="AB41" i="34"/>
  <c r="AA25" i="34"/>
  <c r="U28" i="34"/>
  <c r="S17" i="34"/>
  <c r="AA29" i="34"/>
  <c r="U27" i="34"/>
  <c r="S23" i="34"/>
  <c r="U15" i="34"/>
  <c r="S13" i="34"/>
  <c r="H10" i="34"/>
  <c r="AB10" i="34" s="1"/>
  <c r="F11" i="34"/>
  <c r="S11" i="34" s="1"/>
  <c r="F70" i="34"/>
  <c r="W42" i="33"/>
  <c r="AA35" i="33"/>
  <c r="AA29" i="33"/>
  <c r="AB29" i="33"/>
  <c r="W38" i="33"/>
  <c r="H41" i="33"/>
  <c r="F121" i="33"/>
  <c r="G121" i="33" s="1"/>
  <c r="H121" i="33" s="1"/>
  <c r="I121" i="33" s="1"/>
  <c r="J121" i="33" s="1"/>
  <c r="K121" i="33" s="1"/>
  <c r="L121" i="33" s="1"/>
  <c r="M121" i="33" s="1"/>
  <c r="U42" i="33"/>
  <c r="S42" i="33"/>
  <c r="G111" i="33"/>
  <c r="F36" i="33" s="1"/>
  <c r="G108" i="33"/>
  <c r="H108" i="33" s="1"/>
  <c r="I108" i="33" s="1"/>
  <c r="J108" i="33" s="1"/>
  <c r="K108" i="33" s="1"/>
  <c r="L108" i="33" s="1"/>
  <c r="M108" i="33" s="1"/>
  <c r="J35" i="33"/>
  <c r="S37" i="33"/>
  <c r="AA37" i="33"/>
  <c r="S39" i="33"/>
  <c r="J32" i="33"/>
  <c r="W32" i="33" s="1"/>
  <c r="S46" i="33"/>
  <c r="W43" i="33"/>
  <c r="S43" i="33"/>
  <c r="F91" i="33"/>
  <c r="F27" i="33" s="1"/>
  <c r="AA27" i="33" s="1"/>
  <c r="H25" i="33"/>
  <c r="U25" i="33" s="1"/>
  <c r="F25" i="33"/>
  <c r="AA25" i="33" s="1"/>
  <c r="J23" i="33"/>
  <c r="W23" i="33" s="1"/>
  <c r="H23" i="33"/>
  <c r="AB23" i="33" s="1"/>
  <c r="F19" i="33"/>
  <c r="S19" i="33" s="1"/>
  <c r="W19" i="33"/>
  <c r="U9" i="33"/>
  <c r="J10" i="33"/>
  <c r="W10" i="33" s="1"/>
  <c r="H10" i="33"/>
  <c r="U10" i="33" s="1"/>
  <c r="AC11" i="33"/>
  <c r="AB14" i="33"/>
  <c r="W43" i="21"/>
  <c r="W36" i="21"/>
  <c r="W41" i="21"/>
  <c r="AB39" i="21"/>
  <c r="AA43" i="21"/>
  <c r="S39" i="21"/>
  <c r="AA38" i="21"/>
  <c r="AA36" i="21"/>
  <c r="AC40" i="21"/>
  <c r="J15" i="21"/>
  <c r="W15" i="21" s="1"/>
  <c r="F77" i="21"/>
  <c r="G77" i="21" s="1"/>
  <c r="F23" i="21"/>
  <c r="S23" i="21" s="1"/>
  <c r="E85" i="21"/>
  <c r="AA14" i="21"/>
  <c r="D120" i="9"/>
  <c r="D121" i="9" s="1"/>
  <c r="D7" i="52" s="1"/>
  <c r="C18" i="9"/>
  <c r="D18" i="9" s="1"/>
  <c r="M20" i="67"/>
  <c r="BA13" i="3"/>
  <c r="BL17" i="3"/>
  <c r="AZ17" i="3" s="1"/>
  <c r="BL13" i="3"/>
  <c r="J56" i="9"/>
  <c r="J57" i="9" s="1"/>
  <c r="J59" i="9" s="1"/>
  <c r="J61" i="9" s="1"/>
  <c r="A24" i="51"/>
  <c r="B18" i="72" s="1"/>
  <c r="U29" i="34"/>
  <c r="E5" i="6"/>
  <c r="E32" i="6"/>
  <c r="G1" i="68"/>
  <c r="K1" i="12"/>
  <c r="E19" i="69"/>
  <c r="E19" i="68"/>
  <c r="E19" i="11"/>
  <c r="E1" i="73"/>
  <c r="G22" i="69"/>
  <c r="G22" i="68"/>
  <c r="G26" i="12"/>
  <c r="G22" i="11"/>
  <c r="C6" i="43"/>
  <c r="B19" i="53"/>
  <c r="B37" i="72" s="1"/>
  <c r="C7" i="39"/>
  <c r="C67" i="39" s="1"/>
  <c r="C7" i="35"/>
  <c r="C48" i="35" s="1"/>
  <c r="D48" i="35" s="1"/>
  <c r="C7" i="33"/>
  <c r="C7" i="21"/>
  <c r="C7" i="40"/>
  <c r="C63" i="40" s="1"/>
  <c r="M47" i="9"/>
  <c r="G23" i="43"/>
  <c r="C46" i="36"/>
  <c r="D46" i="36" s="1"/>
  <c r="E46" i="36" s="1"/>
  <c r="F46" i="36" s="1"/>
  <c r="G46" i="36" s="1"/>
  <c r="H46" i="36" s="1"/>
  <c r="I46" i="36" s="1"/>
  <c r="C52" i="37"/>
  <c r="D52" i="37" s="1"/>
  <c r="A4" i="51"/>
  <c r="B6" i="72" s="1"/>
  <c r="H67" i="43"/>
  <c r="L20" i="6"/>
  <c r="B6" i="1"/>
  <c r="E6" i="1" s="1"/>
  <c r="K11" i="1"/>
  <c r="M11" i="1" s="1"/>
  <c r="O11" i="1" s="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U13" i="39"/>
  <c r="AB13" i="39"/>
  <c r="AA13" i="39"/>
  <c r="S13" i="39"/>
  <c r="S14" i="39"/>
  <c r="AA14" i="39"/>
  <c r="U43" i="39"/>
  <c r="AB43" i="39"/>
  <c r="AB11" i="39"/>
  <c r="U11" i="39"/>
  <c r="AA27" i="39"/>
  <c r="S27" i="39"/>
  <c r="AA45" i="39"/>
  <c r="AB39" i="39"/>
  <c r="S8" i="39"/>
  <c r="S20" i="36"/>
  <c r="AC25" i="36"/>
  <c r="U32" i="36"/>
  <c r="W29" i="36"/>
  <c r="AC20" i="36"/>
  <c r="U25" i="36"/>
  <c r="AB28" i="36"/>
  <c r="AA13" i="36"/>
  <c r="W9" i="36"/>
  <c r="W22" i="36"/>
  <c r="W23"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C23" i="34"/>
  <c r="AC35" i="34"/>
  <c r="W35" i="34"/>
  <c r="U12" i="34"/>
  <c r="AB12" i="34"/>
  <c r="AB28" i="33"/>
  <c r="AC37" i="33"/>
  <c r="W46" i="33"/>
  <c r="U39" i="33"/>
  <c r="U38" i="33"/>
  <c r="U44" i="33"/>
  <c r="AB44" i="33"/>
  <c r="S30" i="33"/>
  <c r="AA30" i="33"/>
  <c r="AC14" i="33"/>
  <c r="W14" i="33"/>
  <c r="AC30" i="33"/>
  <c r="W30" i="33"/>
  <c r="S31" i="33"/>
  <c r="AA31" i="33"/>
  <c r="W13" i="33"/>
  <c r="AC13" i="33"/>
  <c r="S11" i="33"/>
  <c r="U37" i="33"/>
  <c r="AC28" i="33"/>
  <c r="S28" i="33"/>
  <c r="W8" i="33"/>
  <c r="S44" i="21"/>
  <c r="AB42" i="21"/>
  <c r="U28" i="21"/>
  <c r="S45" i="21"/>
  <c r="I101" i="21"/>
  <c r="J101" i="21" s="1"/>
  <c r="K101" i="21" s="1"/>
  <c r="L101" i="21" s="1"/>
  <c r="M101" i="21" s="1"/>
  <c r="F33" i="21"/>
  <c r="AA33" i="21" s="1"/>
  <c r="J33" i="21"/>
  <c r="AC33" i="21" s="1"/>
  <c r="H33" i="21"/>
  <c r="AB33" i="21" s="1"/>
  <c r="F37" i="21"/>
  <c r="AA37" i="21" s="1"/>
  <c r="AA26" i="21"/>
  <c r="AB14" i="21"/>
  <c r="AB46" i="21"/>
  <c r="U40" i="21"/>
  <c r="AB31" i="21"/>
  <c r="U31" i="21"/>
  <c r="AC15" i="21"/>
  <c r="U13" i="21"/>
  <c r="AB13" i="21"/>
  <c r="S35" i="21"/>
  <c r="J37" i="21"/>
  <c r="W37" i="21" s="1"/>
  <c r="H15" i="21"/>
  <c r="U15" i="21"/>
  <c r="J17" i="21"/>
  <c r="AC17" i="21" s="1"/>
  <c r="AC19" i="21"/>
  <c r="W39" i="21"/>
  <c r="AC14" i="21"/>
  <c r="W30" i="21"/>
  <c r="S46" i="21"/>
  <c r="H45" i="21"/>
  <c r="U45" i="21" s="1"/>
  <c r="F29" i="21"/>
  <c r="S29" i="21" s="1"/>
  <c r="F13" i="21"/>
  <c r="AA13" i="21" s="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S21" i="39"/>
  <c r="AC17" i="37"/>
  <c r="S17" i="37"/>
  <c r="J19" i="37"/>
  <c r="W19" i="37" s="1"/>
  <c r="G75" i="37"/>
  <c r="S19" i="37"/>
  <c r="AA19" i="37"/>
  <c r="AA23" i="37"/>
  <c r="J23" i="37"/>
  <c r="G79" i="37"/>
  <c r="J10" i="37"/>
  <c r="W10" i="37" s="1"/>
  <c r="G63" i="37"/>
  <c r="H63" i="37" s="1"/>
  <c r="I63" i="37" s="1"/>
  <c r="J63" i="37" s="1"/>
  <c r="K63" i="37" s="1"/>
  <c r="L63" i="37" s="1"/>
  <c r="M63" i="37" s="1"/>
  <c r="H11" i="37"/>
  <c r="AB11" i="37" s="1"/>
  <c r="G70" i="34"/>
  <c r="H11" i="34"/>
  <c r="U11" i="34" s="1"/>
  <c r="J10" i="34"/>
  <c r="AC10" i="34" s="1"/>
  <c r="AB41" i="33"/>
  <c r="U41" i="33"/>
  <c r="W35" i="33"/>
  <c r="AC35" i="33"/>
  <c r="J36" i="33"/>
  <c r="W36" i="33" s="1"/>
  <c r="H36" i="33"/>
  <c r="U36" i="33" s="1"/>
  <c r="S25" i="33"/>
  <c r="J25" i="33"/>
  <c r="W25" i="33" s="1"/>
  <c r="F23" i="33"/>
  <c r="AA23" i="33" s="1"/>
  <c r="H19" i="33"/>
  <c r="AB19" i="33" s="1"/>
  <c r="S37" i="21"/>
  <c r="AA23" i="21"/>
  <c r="AB15" i="21"/>
  <c r="J23" i="21"/>
  <c r="W23" i="21" s="1"/>
  <c r="F85" i="21"/>
  <c r="G85" i="21"/>
  <c r="H23" i="21"/>
  <c r="S13" i="21"/>
  <c r="D6" i="52"/>
  <c r="AP7" i="1"/>
  <c r="AB45" i="21"/>
  <c r="AB9" i="21"/>
  <c r="U9" i="21"/>
  <c r="AA32" i="21"/>
  <c r="S32" i="21"/>
  <c r="W9" i="21"/>
  <c r="AC9" i="21"/>
  <c r="AB32" i="21"/>
  <c r="U32" i="21"/>
  <c r="U32" i="39"/>
  <c r="AC32" i="39"/>
  <c r="W32" i="39"/>
  <c r="AC19" i="37"/>
  <c r="W23" i="37"/>
  <c r="AC23" i="37"/>
  <c r="J11" i="37"/>
  <c r="AC11" i="37" s="1"/>
  <c r="H70" i="34"/>
  <c r="I70" i="34" s="1"/>
  <c r="J70" i="34" s="1"/>
  <c r="K70" i="34" s="1"/>
  <c r="L70" i="34" s="1"/>
  <c r="M70" i="34" s="1"/>
  <c r="J11" i="34"/>
  <c r="W11" i="34" s="1"/>
  <c r="AB36" i="33"/>
  <c r="U23" i="21"/>
  <c r="AB23" i="21"/>
  <c r="H109" i="9"/>
  <c r="H112" i="9"/>
  <c r="D21" i="53" s="1"/>
  <c r="B39" i="72" s="1"/>
  <c r="H111" i="9"/>
  <c r="D126" i="9" s="1"/>
  <c r="AD3" i="71"/>
  <c r="J1" i="73"/>
  <c r="H69" i="43"/>
  <c r="H50" i="43"/>
  <c r="G50" i="43" s="1"/>
  <c r="C22" i="71"/>
  <c r="D22" i="71"/>
  <c r="D23" i="71"/>
  <c r="D24" i="71"/>
  <c r="U24" i="71" s="1"/>
  <c r="S24" i="71"/>
  <c r="T24" i="71"/>
  <c r="AB22" i="71"/>
  <c r="X20" i="71"/>
  <c r="X19" i="71"/>
  <c r="AA20" i="71"/>
  <c r="AA19" i="71"/>
  <c r="X23" i="71"/>
  <c r="Y19" i="71"/>
  <c r="Z19" i="71" s="1"/>
  <c r="AB20" i="71"/>
  <c r="AB19" i="71"/>
  <c r="S20" i="71"/>
  <c r="F21" i="71"/>
  <c r="F20" i="71"/>
  <c r="F19" i="71" s="1"/>
  <c r="F18" i="71" s="1"/>
  <c r="F17" i="71" s="1"/>
  <c r="Y20" i="71"/>
  <c r="Z20" i="71" s="1"/>
  <c r="X3" i="71"/>
  <c r="C21" i="71"/>
  <c r="C20" i="71"/>
  <c r="C19" i="71" s="1"/>
  <c r="C18" i="71" s="1"/>
  <c r="C17" i="71" s="1"/>
  <c r="D21" i="71"/>
  <c r="D18" i="71"/>
  <c r="T20" i="71"/>
  <c r="D19" i="71"/>
  <c r="D20" i="71"/>
  <c r="U20" i="71" s="1"/>
  <c r="F8" i="15"/>
  <c r="M29" i="15"/>
  <c r="F3" i="73"/>
  <c r="F4" i="73"/>
  <c r="M23" i="15"/>
  <c r="L48" i="15"/>
  <c r="F38" i="67"/>
  <c r="E2" i="69"/>
  <c r="D3" i="73"/>
  <c r="E12" i="76"/>
  <c r="E7" i="76"/>
  <c r="F6" i="67"/>
  <c r="E2" i="68"/>
  <c r="B9" i="76"/>
  <c r="F43" i="67"/>
  <c r="F38" i="15"/>
  <c r="F40" i="15"/>
  <c r="M9" i="67"/>
  <c r="F37" i="15"/>
  <c r="F5" i="73"/>
  <c r="F42" i="67"/>
  <c r="M28" i="15"/>
  <c r="M24" i="15"/>
  <c r="D5" i="73"/>
  <c r="F36" i="15"/>
  <c r="F26" i="15"/>
  <c r="E9" i="76"/>
  <c r="J15" i="67"/>
  <c r="E11" i="76"/>
  <c r="M26" i="15"/>
  <c r="F7" i="67"/>
  <c r="F8" i="67"/>
  <c r="F6" i="15"/>
  <c r="M8" i="15"/>
  <c r="F9" i="67"/>
  <c r="M28" i="67"/>
  <c r="D34" i="9"/>
  <c r="M9" i="15"/>
  <c r="F16" i="67"/>
  <c r="E13" i="76"/>
  <c r="F13" i="15"/>
  <c r="E10" i="76"/>
  <c r="F9" i="15"/>
  <c r="C76" i="15"/>
  <c r="F37" i="67"/>
  <c r="F40" i="67"/>
  <c r="M29" i="67"/>
  <c r="M8" i="67"/>
  <c r="F16" i="15"/>
  <c r="C76" i="67"/>
  <c r="B12" i="76"/>
  <c r="F42" i="15"/>
  <c r="F43" i="15"/>
  <c r="M22" i="67"/>
  <c r="M26" i="67"/>
  <c r="B7" i="76"/>
  <c r="M22" i="15"/>
  <c r="B13" i="76"/>
  <c r="L47" i="67"/>
  <c r="J15" i="15"/>
  <c r="L47" i="15"/>
  <c r="AO13" i="1"/>
  <c r="M6" i="15"/>
  <c r="L48" i="67"/>
  <c r="D35" i="9"/>
  <c r="F7" i="15"/>
  <c r="B8" i="76"/>
  <c r="M23" i="67"/>
  <c r="M24" i="67"/>
  <c r="F26" i="67"/>
  <c r="F36" i="67"/>
  <c r="F6" i="73"/>
  <c r="F7" i="73"/>
  <c r="M6" i="67"/>
  <c r="E8" i="76"/>
  <c r="B11" i="76"/>
  <c r="F20" i="31"/>
  <c r="B10" i="76"/>
  <c r="F13" i="67"/>
  <c r="D4" i="73"/>
  <c r="AC23" i="21" l="1"/>
  <c r="AZ371" i="3"/>
  <c r="M50" i="43"/>
  <c r="N50" i="43" s="1"/>
  <c r="K50" i="43"/>
  <c r="J50" i="43" s="1"/>
  <c r="I7" i="33"/>
  <c r="E7" i="33"/>
  <c r="G7" i="33"/>
  <c r="F48" i="9"/>
  <c r="O52" i="9" s="1"/>
  <c r="F32" i="81"/>
  <c r="F60" i="81" s="1"/>
  <c r="F28" i="81"/>
  <c r="C28" i="81" s="1"/>
  <c r="M18" i="81"/>
  <c r="F32" i="80"/>
  <c r="F60" i="80" s="1"/>
  <c r="F28" i="80"/>
  <c r="C28" i="80" s="1"/>
  <c r="M18" i="80"/>
  <c r="M54" i="43"/>
  <c r="N54" i="43" s="1"/>
  <c r="K54" i="43"/>
  <c r="J54" i="43" s="1"/>
  <c r="AZ377" i="3"/>
  <c r="AZ310" i="3"/>
  <c r="AZ382" i="3"/>
  <c r="AZ329" i="3"/>
  <c r="AZ341" i="3"/>
  <c r="AZ325" i="3"/>
  <c r="AZ309" i="3"/>
  <c r="I7" i="34"/>
  <c r="E7" i="34"/>
  <c r="G7" i="34"/>
  <c r="AZ513" i="3"/>
  <c r="AZ567" i="3"/>
  <c r="AZ575" i="3"/>
  <c r="AZ497" i="3"/>
  <c r="AZ511" i="3"/>
  <c r="AZ515" i="3"/>
  <c r="AZ519" i="3"/>
  <c r="AZ565" i="3"/>
  <c r="AZ569" i="3"/>
  <c r="AZ573" i="3"/>
  <c r="AZ577" i="3"/>
  <c r="AZ510" i="3"/>
  <c r="AZ540" i="3"/>
  <c r="AZ584" i="3"/>
  <c r="AZ514" i="3"/>
  <c r="AZ524" i="3"/>
  <c r="AZ528" i="3"/>
  <c r="AZ506" i="3"/>
  <c r="AZ516" i="3"/>
  <c r="AZ526" i="3"/>
  <c r="AB45" i="33"/>
  <c r="AA14" i="34"/>
  <c r="AB46" i="34"/>
  <c r="W31" i="34"/>
  <c r="AB26" i="33"/>
  <c r="U31" i="34"/>
  <c r="AA44" i="33"/>
  <c r="AA29" i="35"/>
  <c r="BL586" i="3"/>
  <c r="AZ586" i="3" s="1"/>
  <c r="BL585" i="3"/>
  <c r="AZ585" i="3" s="1"/>
  <c r="F124" i="34"/>
  <c r="G124" i="34" s="1"/>
  <c r="H124" i="34" s="1"/>
  <c r="I124" i="34" s="1"/>
  <c r="J124" i="34" s="1"/>
  <c r="K124" i="34" s="1"/>
  <c r="L124" i="34" s="1"/>
  <c r="M124" i="34" s="1"/>
  <c r="H43" i="34"/>
  <c r="J34" i="35"/>
  <c r="AC34" i="35" s="1"/>
  <c r="F34" i="35"/>
  <c r="BA551" i="3"/>
  <c r="AZ551" i="3" s="1"/>
  <c r="BL548" i="3"/>
  <c r="AZ548" i="3" s="1"/>
  <c r="M20" i="15"/>
  <c r="F34" i="81"/>
  <c r="F62" i="81" s="1"/>
  <c r="F34" i="80"/>
  <c r="F62" i="80" s="1"/>
  <c r="M20" i="81"/>
  <c r="M20" i="80"/>
  <c r="A15" i="62"/>
  <c r="B61" i="72" s="1"/>
  <c r="AZ418" i="3"/>
  <c r="AZ422" i="3"/>
  <c r="AZ434" i="3"/>
  <c r="AZ450" i="3"/>
  <c r="AZ454" i="3"/>
  <c r="AZ459" i="3"/>
  <c r="AZ477" i="3"/>
  <c r="F9" i="36"/>
  <c r="H12" i="36"/>
  <c r="H24" i="36"/>
  <c r="G570" i="3"/>
  <c r="G556" i="3"/>
  <c r="BL550" i="3"/>
  <c r="BA550" i="3"/>
  <c r="AZ550" i="3" s="1"/>
  <c r="G526" i="3"/>
  <c r="BL15" i="3"/>
  <c r="AZ15" i="3" s="1"/>
  <c r="G399" i="3"/>
  <c r="BL399" i="3"/>
  <c r="BA400" i="3"/>
  <c r="AZ400" i="3" s="1"/>
  <c r="BA401" i="3"/>
  <c r="AZ401" i="3" s="1"/>
  <c r="BA402" i="3"/>
  <c r="BL402" i="3"/>
  <c r="G404" i="3"/>
  <c r="BL404" i="3"/>
  <c r="BA405" i="3"/>
  <c r="AZ405" i="3" s="1"/>
  <c r="BA406" i="3"/>
  <c r="AZ406" i="3" s="1"/>
  <c r="BL406" i="3"/>
  <c r="BA407" i="3"/>
  <c r="AZ407" i="3" s="1"/>
  <c r="BA408" i="3"/>
  <c r="AZ408" i="3" s="1"/>
  <c r="G411" i="3"/>
  <c r="BL412" i="3"/>
  <c r="AZ412" i="3" s="1"/>
  <c r="BA413" i="3"/>
  <c r="AZ413" i="3" s="1"/>
  <c r="G416" i="3"/>
  <c r="BL416" i="3"/>
  <c r="BA419" i="3"/>
  <c r="BL419" i="3"/>
  <c r="BA420" i="3"/>
  <c r="AZ420" i="3" s="1"/>
  <c r="G425" i="3"/>
  <c r="BL425" i="3"/>
  <c r="BA426" i="3"/>
  <c r="AZ426" i="3" s="1"/>
  <c r="BL428" i="3"/>
  <c r="AZ428" i="3" s="1"/>
  <c r="BA429" i="3"/>
  <c r="AZ429" i="3" s="1"/>
  <c r="G432" i="3"/>
  <c r="BL432" i="3"/>
  <c r="BA435" i="3"/>
  <c r="BL435" i="3"/>
  <c r="BA436" i="3"/>
  <c r="AZ436" i="3" s="1"/>
  <c r="BA437" i="3"/>
  <c r="AZ437" i="3" s="1"/>
  <c r="BA438" i="3"/>
  <c r="BL438" i="3"/>
  <c r="BA439" i="3"/>
  <c r="AZ439" i="3" s="1"/>
  <c r="BL441" i="3"/>
  <c r="AZ441" i="3" s="1"/>
  <c r="G443" i="3"/>
  <c r="G445" i="3"/>
  <c r="BL445" i="3"/>
  <c r="G447" i="3"/>
  <c r="BL447" i="3"/>
  <c r="BA448" i="3"/>
  <c r="AZ448" i="3" s="1"/>
  <c r="BA451" i="3"/>
  <c r="BL451" i="3"/>
  <c r="BA452" i="3"/>
  <c r="AZ452" i="3" s="1"/>
  <c r="G457" i="3"/>
  <c r="G458" i="3"/>
  <c r="G462" i="3"/>
  <c r="G464" i="3"/>
  <c r="BL464" i="3"/>
  <c r="G467" i="3"/>
  <c r="BL467" i="3"/>
  <c r="BA468" i="3"/>
  <c r="AZ468" i="3" s="1"/>
  <c r="BA469" i="3"/>
  <c r="AZ469" i="3" s="1"/>
  <c r="BL469" i="3"/>
  <c r="BA470" i="3"/>
  <c r="AZ470" i="3" s="1"/>
  <c r="G473" i="3"/>
  <c r="G474" i="3"/>
  <c r="BL474" i="3"/>
  <c r="BA475" i="3"/>
  <c r="AZ475" i="3" s="1"/>
  <c r="G480" i="3"/>
  <c r="BL480" i="3"/>
  <c r="G482" i="3"/>
  <c r="BL482" i="3"/>
  <c r="BA483" i="3"/>
  <c r="AZ483" i="3" s="1"/>
  <c r="G486" i="3"/>
  <c r="BL486" i="3"/>
  <c r="G488" i="3"/>
  <c r="BL488" i="3"/>
  <c r="BA489" i="3"/>
  <c r="AZ489" i="3" s="1"/>
  <c r="BA490" i="3"/>
  <c r="AZ490" i="3" s="1"/>
  <c r="BA491" i="3"/>
  <c r="AZ491" i="3" s="1"/>
  <c r="BA303" i="3"/>
  <c r="AZ303" i="3" s="1"/>
  <c r="BA307" i="3"/>
  <c r="AZ307" i="3" s="1"/>
  <c r="BL312" i="3"/>
  <c r="AZ312" i="3" s="1"/>
  <c r="BL317" i="3"/>
  <c r="AZ317" i="3" s="1"/>
  <c r="G323" i="3"/>
  <c r="BL324" i="3"/>
  <c r="AZ324" i="3" s="1"/>
  <c r="BL330" i="3"/>
  <c r="AZ330" i="3" s="1"/>
  <c r="BA332" i="3"/>
  <c r="AZ332" i="3" s="1"/>
  <c r="BA335" i="3"/>
  <c r="AZ335" i="3" s="1"/>
  <c r="BA339" i="3"/>
  <c r="AZ339" i="3" s="1"/>
  <c r="G345" i="3"/>
  <c r="BL348" i="3"/>
  <c r="AZ348" i="3" s="1"/>
  <c r="BA352" i="3"/>
  <c r="AZ352" i="3" s="1"/>
  <c r="BL354" i="3"/>
  <c r="AZ354" i="3" s="1"/>
  <c r="BA358" i="3"/>
  <c r="AZ358" i="3" s="1"/>
  <c r="BL363" i="3"/>
  <c r="AZ363" i="3" s="1"/>
  <c r="BL367" i="3"/>
  <c r="AZ367" i="3" s="1"/>
  <c r="G369" i="3"/>
  <c r="BL381" i="3"/>
  <c r="AZ381" i="3" s="1"/>
  <c r="BL386" i="3"/>
  <c r="AZ386" i="3" s="1"/>
  <c r="G392" i="3"/>
  <c r="BL393" i="3"/>
  <c r="AZ393" i="3" s="1"/>
  <c r="BL396" i="3"/>
  <c r="AZ396" i="3" s="1"/>
  <c r="BA397" i="3"/>
  <c r="AZ397" i="3" s="1"/>
  <c r="BL209" i="3"/>
  <c r="AZ209" i="3" s="1"/>
  <c r="BA210" i="3"/>
  <c r="AZ210" i="3" s="1"/>
  <c r="G213" i="3"/>
  <c r="G214" i="3"/>
  <c r="G215" i="3"/>
  <c r="G216" i="3"/>
  <c r="BL216" i="3"/>
  <c r="BA217" i="3"/>
  <c r="AZ217" i="3" s="1"/>
  <c r="BA218" i="3"/>
  <c r="AZ218" i="3" s="1"/>
  <c r="G221" i="3"/>
  <c r="BL221" i="3"/>
  <c r="BL223" i="3"/>
  <c r="AZ223" i="3" s="1"/>
  <c r="G226" i="3"/>
  <c r="BL226" i="3"/>
  <c r="G229" i="3"/>
  <c r="G230" i="3"/>
  <c r="BL230" i="3"/>
  <c r="BA231" i="3"/>
  <c r="AZ231" i="3" s="1"/>
  <c r="BA232" i="3"/>
  <c r="AZ232" i="3" s="1"/>
  <c r="BA233" i="3"/>
  <c r="AZ233" i="3" s="1"/>
  <c r="BA234" i="3"/>
  <c r="AZ234" i="3" s="1"/>
  <c r="BA235" i="3"/>
  <c r="AZ235" i="3" s="1"/>
  <c r="BL237" i="3"/>
  <c r="AZ237" i="3" s="1"/>
  <c r="G240" i="3"/>
  <c r="G241" i="3"/>
  <c r="G242" i="3"/>
  <c r="BL242" i="3"/>
  <c r="G245" i="3"/>
  <c r="G246" i="3"/>
  <c r="BL246" i="3"/>
  <c r="BA247" i="3"/>
  <c r="AZ247" i="3" s="1"/>
  <c r="BA248" i="3"/>
  <c r="AZ248" i="3" s="1"/>
  <c r="BA249" i="3"/>
  <c r="AZ249" i="3" s="1"/>
  <c r="BA250" i="3"/>
  <c r="AZ250" i="3" s="1"/>
  <c r="BA251" i="3"/>
  <c r="AZ251" i="3" s="1"/>
  <c r="BL253" i="3"/>
  <c r="AZ253" i="3" s="1"/>
  <c r="BL181" i="3"/>
  <c r="AZ181" i="3" s="1"/>
  <c r="G184" i="3"/>
  <c r="BL186" i="3"/>
  <c r="AZ186" i="3" s="1"/>
  <c r="BA188" i="3"/>
  <c r="AZ188" i="3" s="1"/>
  <c r="G190" i="3"/>
  <c r="G191" i="3"/>
  <c r="G194" i="3"/>
  <c r="G195" i="3"/>
  <c r="BL197" i="3"/>
  <c r="AZ197" i="3" s="1"/>
  <c r="G200" i="3"/>
  <c r="BL202" i="3"/>
  <c r="AZ202" i="3" s="1"/>
  <c r="BA204" i="3"/>
  <c r="AZ204" i="3" s="1"/>
  <c r="BA205" i="3"/>
  <c r="AZ205" i="3" s="1"/>
  <c r="BA206" i="3"/>
  <c r="AZ206" i="3" s="1"/>
  <c r="G19" i="3"/>
  <c r="G20" i="3"/>
  <c r="G21" i="3"/>
  <c r="G22" i="3"/>
  <c r="BL254" i="3"/>
  <c r="AZ254" i="3" s="1"/>
  <c r="BA255" i="3"/>
  <c r="AZ255" i="3" s="1"/>
  <c r="BA256" i="3"/>
  <c r="AZ256" i="3" s="1"/>
  <c r="BA257" i="3"/>
  <c r="AZ257" i="3" s="1"/>
  <c r="BL259" i="3"/>
  <c r="AZ259" i="3" s="1"/>
  <c r="BA260" i="3"/>
  <c r="AZ260" i="3" s="1"/>
  <c r="BA261" i="3"/>
  <c r="AZ261" i="3" s="1"/>
  <c r="BL263" i="3"/>
  <c r="AZ263" i="3" s="1"/>
  <c r="BA264" i="3"/>
  <c r="AZ264" i="3" s="1"/>
  <c r="BA265" i="3"/>
  <c r="AZ265" i="3" s="1"/>
  <c r="BA266" i="3"/>
  <c r="AZ266" i="3" s="1"/>
  <c r="BL268" i="3"/>
  <c r="AZ268" i="3" s="1"/>
  <c r="G271" i="3"/>
  <c r="G272" i="3"/>
  <c r="BL272" i="3"/>
  <c r="AZ272" i="3" s="1"/>
  <c r="G275" i="3"/>
  <c r="G276" i="3"/>
  <c r="BL276" i="3"/>
  <c r="BA277" i="3"/>
  <c r="AZ277" i="3" s="1"/>
  <c r="BL279" i="3"/>
  <c r="AZ279" i="3" s="1"/>
  <c r="BL281" i="3"/>
  <c r="AZ281" i="3" s="1"/>
  <c r="BA282" i="3"/>
  <c r="AZ282" i="3" s="1"/>
  <c r="BA283" i="3"/>
  <c r="AZ283" i="3" s="1"/>
  <c r="BL283" i="3"/>
  <c r="G285" i="3"/>
  <c r="BL285" i="3"/>
  <c r="BL287" i="3"/>
  <c r="AZ287" i="3" s="1"/>
  <c r="G290" i="3"/>
  <c r="BL290" i="3"/>
  <c r="AZ290" i="3" s="1"/>
  <c r="G293" i="3"/>
  <c r="BL293" i="3"/>
  <c r="AZ293" i="3" s="1"/>
  <c r="BA294" i="3"/>
  <c r="AZ294" i="3" s="1"/>
  <c r="BA295" i="3"/>
  <c r="AZ295" i="3" s="1"/>
  <c r="BA296" i="3"/>
  <c r="AZ296" i="3" s="1"/>
  <c r="BA297" i="3"/>
  <c r="AZ297" i="3" s="1"/>
  <c r="BL299" i="3"/>
  <c r="AZ299" i="3" s="1"/>
  <c r="BA300" i="3"/>
  <c r="AZ300" i="3" s="1"/>
  <c r="G114" i="3"/>
  <c r="G115" i="3"/>
  <c r="BL117" i="3"/>
  <c r="AZ117" i="3" s="1"/>
  <c r="BA118" i="3"/>
  <c r="AZ118" i="3" s="1"/>
  <c r="BL119" i="3"/>
  <c r="AZ119" i="3" s="1"/>
  <c r="BA121" i="3"/>
  <c r="AZ121" i="3" s="1"/>
  <c r="G124" i="3"/>
  <c r="G127" i="3"/>
  <c r="G130" i="3"/>
  <c r="G131" i="3"/>
  <c r="BL133" i="3"/>
  <c r="AZ133" i="3" s="1"/>
  <c r="BA134" i="3"/>
  <c r="AZ134" i="3" s="1"/>
  <c r="BL135" i="3"/>
  <c r="AZ135" i="3" s="1"/>
  <c r="BA137" i="3"/>
  <c r="AZ137" i="3" s="1"/>
  <c r="BA138" i="3"/>
  <c r="AZ138" i="3" s="1"/>
  <c r="BL139" i="3"/>
  <c r="AZ139" i="3" s="1"/>
  <c r="BA141" i="3"/>
  <c r="AZ141" i="3" s="1"/>
  <c r="BA142" i="3"/>
  <c r="AZ142" i="3" s="1"/>
  <c r="BL143" i="3"/>
  <c r="AZ143" i="3" s="1"/>
  <c r="BA145" i="3"/>
  <c r="AZ145" i="3" s="1"/>
  <c r="BA146" i="3"/>
  <c r="AZ146" i="3" s="1"/>
  <c r="BL147" i="3"/>
  <c r="AZ147" i="3" s="1"/>
  <c r="BL150" i="3"/>
  <c r="AZ150" i="3" s="1"/>
  <c r="BA152" i="3"/>
  <c r="AZ152" i="3" s="1"/>
  <c r="BL153" i="3"/>
  <c r="AZ153" i="3" s="1"/>
  <c r="G156" i="3"/>
  <c r="BA157" i="3"/>
  <c r="AZ157" i="3" s="1"/>
  <c r="BA158" i="3"/>
  <c r="AZ158" i="3" s="1"/>
  <c r="BL159" i="3"/>
  <c r="AZ159" i="3" s="1"/>
  <c r="BA161" i="3"/>
  <c r="AZ161" i="3" s="1"/>
  <c r="BA162" i="3"/>
  <c r="AZ162" i="3" s="1"/>
  <c r="BL163" i="3"/>
  <c r="AZ163" i="3" s="1"/>
  <c r="BL166" i="3"/>
  <c r="AZ166" i="3" s="1"/>
  <c r="BA168" i="3"/>
  <c r="AZ168" i="3" s="1"/>
  <c r="BL169" i="3"/>
  <c r="AZ169" i="3" s="1"/>
  <c r="G172" i="3"/>
  <c r="BA173" i="3"/>
  <c r="AZ173" i="3" s="1"/>
  <c r="BA174" i="3"/>
  <c r="AZ174" i="3" s="1"/>
  <c r="BL175" i="3"/>
  <c r="AZ175" i="3" s="1"/>
  <c r="BA177" i="3"/>
  <c r="AZ177" i="3" s="1"/>
  <c r="BA178" i="3"/>
  <c r="AZ178" i="3" s="1"/>
  <c r="BL179" i="3"/>
  <c r="AZ179" i="3" s="1"/>
  <c r="G24" i="3"/>
  <c r="G25" i="3"/>
  <c r="BL25" i="3"/>
  <c r="BA27" i="3"/>
  <c r="AZ27" i="3" s="1"/>
  <c r="BA28" i="3"/>
  <c r="AZ28" i="3" s="1"/>
  <c r="BA29" i="3"/>
  <c r="AZ29" i="3" s="1"/>
  <c r="BL31" i="3"/>
  <c r="AZ31" i="3" s="1"/>
  <c r="BL33" i="3"/>
  <c r="AZ33" i="3" s="1"/>
  <c r="G35" i="3"/>
  <c r="G36" i="3"/>
  <c r="BL36" i="3"/>
  <c r="BA38" i="3"/>
  <c r="AZ38" i="3" s="1"/>
  <c r="BA39" i="3"/>
  <c r="AZ39" i="3" s="1"/>
  <c r="BL41" i="3"/>
  <c r="AZ41" i="3" s="1"/>
  <c r="BL43" i="3"/>
  <c r="AZ43" i="3" s="1"/>
  <c r="G45" i="3"/>
  <c r="G46" i="3"/>
  <c r="BL46" i="3"/>
  <c r="G49" i="3"/>
  <c r="BL49" i="3"/>
  <c r="BL51" i="3"/>
  <c r="AZ51" i="3" s="1"/>
  <c r="BA52" i="3"/>
  <c r="AZ52" i="3" s="1"/>
  <c r="BA53" i="3"/>
  <c r="AZ53" i="3" s="1"/>
  <c r="BL55" i="3"/>
  <c r="AZ55" i="3" s="1"/>
  <c r="BA56" i="3"/>
  <c r="AZ56" i="3" s="1"/>
  <c r="BL58" i="3"/>
  <c r="AZ58" i="3" s="1"/>
  <c r="G61" i="3"/>
  <c r="G62" i="3"/>
  <c r="BL62" i="3"/>
  <c r="G65" i="3"/>
  <c r="BL65" i="3"/>
  <c r="BL67" i="3"/>
  <c r="AZ67" i="3" s="1"/>
  <c r="BA68" i="3"/>
  <c r="AZ68" i="3" s="1"/>
  <c r="BA69" i="3"/>
  <c r="AZ69" i="3" s="1"/>
  <c r="BL71" i="3"/>
  <c r="AZ71" i="3" s="1"/>
  <c r="G74" i="3"/>
  <c r="G75" i="3"/>
  <c r="G76" i="3"/>
  <c r="BL76" i="3"/>
  <c r="G79" i="3"/>
  <c r="D50" i="71"/>
  <c r="C51" i="71"/>
  <c r="AZ25" i="3"/>
  <c r="AZ36" i="3"/>
  <c r="AZ46" i="3"/>
  <c r="AZ49" i="3"/>
  <c r="AZ62" i="3"/>
  <c r="AZ65" i="3"/>
  <c r="AZ76" i="3"/>
  <c r="E23" i="71"/>
  <c r="E22" i="71" s="1"/>
  <c r="E21" i="71" s="1"/>
  <c r="E20" i="71" s="1"/>
  <c r="V24" i="71"/>
  <c r="O66" i="71"/>
  <c r="AB27" i="71"/>
  <c r="AB25" i="71"/>
  <c r="T28" i="71"/>
  <c r="D34" i="71"/>
  <c r="Y27" i="71"/>
  <c r="Z27" i="71" s="1"/>
  <c r="Y26" i="71"/>
  <c r="Z26" i="71" s="1"/>
  <c r="Y25" i="71"/>
  <c r="Z25" i="71" s="1"/>
  <c r="X31" i="71"/>
  <c r="C30" i="71"/>
  <c r="AA30" i="71"/>
  <c r="AA33" i="71"/>
  <c r="B43" i="71"/>
  <c r="B44" i="71" s="1"/>
  <c r="S44" i="71" s="1"/>
  <c r="B47" i="71"/>
  <c r="B48" i="71" s="1"/>
  <c r="S48" i="71" s="1"/>
  <c r="G80" i="3"/>
  <c r="G81" i="3"/>
  <c r="BL81" i="3"/>
  <c r="AZ81" i="3" s="1"/>
  <c r="BL83" i="3"/>
  <c r="AZ83" i="3" s="1"/>
  <c r="BL85" i="3"/>
  <c r="AZ85" i="3" s="1"/>
  <c r="G88" i="3"/>
  <c r="G89" i="3"/>
  <c r="G90" i="3"/>
  <c r="BL90" i="3"/>
  <c r="AZ90" i="3" s="1"/>
  <c r="BA91" i="3"/>
  <c r="AZ91" i="3" s="1"/>
  <c r="BL93" i="3"/>
  <c r="AZ93" i="3" s="1"/>
  <c r="G96" i="3"/>
  <c r="BL96" i="3"/>
  <c r="AZ96" i="3" s="1"/>
  <c r="G99" i="3"/>
  <c r="BL99" i="3"/>
  <c r="AZ99" i="3" s="1"/>
  <c r="BA100" i="3"/>
  <c r="AZ100" i="3" s="1"/>
  <c r="BA101" i="3"/>
  <c r="AZ101" i="3" s="1"/>
  <c r="BA102" i="3"/>
  <c r="AZ102" i="3" s="1"/>
  <c r="G105" i="3"/>
  <c r="G106" i="3"/>
  <c r="BL106" i="3"/>
  <c r="AZ106" i="3" s="1"/>
  <c r="G109" i="3"/>
  <c r="G110" i="3"/>
  <c r="G111" i="3"/>
  <c r="G112" i="3"/>
  <c r="BL112" i="3"/>
  <c r="AZ112" i="3" s="1"/>
  <c r="J51" i="80"/>
  <c r="J51" i="81"/>
  <c r="J51" i="15"/>
  <c r="C29" i="39"/>
  <c r="B68" i="43"/>
  <c r="B77" i="43"/>
  <c r="U25" i="39"/>
  <c r="S9" i="39"/>
  <c r="U9" i="39"/>
  <c r="J34" i="39"/>
  <c r="AC34" i="39" s="1"/>
  <c r="H34" i="39"/>
  <c r="U34" i="39" s="1"/>
  <c r="F34" i="39"/>
  <c r="AA34" i="39" s="1"/>
  <c r="AB34" i="39"/>
  <c r="S23" i="39"/>
  <c r="F90" i="39"/>
  <c r="G90" i="39" s="1"/>
  <c r="F17" i="39"/>
  <c r="AA17" i="39" s="1"/>
  <c r="J17" i="39"/>
  <c r="H17" i="39"/>
  <c r="AB23" i="34"/>
  <c r="S21" i="34"/>
  <c r="AB17" i="34"/>
  <c r="W19" i="34"/>
  <c r="U19" i="34"/>
  <c r="AC17" i="34"/>
  <c r="AB35" i="34"/>
  <c r="S35" i="34"/>
  <c r="W25" i="34"/>
  <c r="S43" i="34"/>
  <c r="AA45" i="34"/>
  <c r="W9" i="34"/>
  <c r="J27" i="33"/>
  <c r="G91" i="33"/>
  <c r="H91" i="33" s="1"/>
  <c r="I91" i="33" s="1"/>
  <c r="J91" i="33" s="1"/>
  <c r="K91" i="33" s="1"/>
  <c r="L91" i="33" s="1"/>
  <c r="M91" i="33" s="1"/>
  <c r="H27" i="33"/>
  <c r="U27" i="33" s="1"/>
  <c r="AC32" i="33"/>
  <c r="U32" i="33"/>
  <c r="S32" i="33"/>
  <c r="AB27" i="33"/>
  <c r="S27" i="33"/>
  <c r="B22" i="31"/>
  <c r="B7" i="1"/>
  <c r="E7" i="1" s="1"/>
  <c r="G1" i="80"/>
  <c r="G1" i="81"/>
  <c r="W15" i="33"/>
  <c r="F15" i="33"/>
  <c r="M7" i="1"/>
  <c r="AP6" i="1"/>
  <c r="M8" i="1"/>
  <c r="W9" i="33"/>
  <c r="AB25" i="33"/>
  <c r="AA19" i="33"/>
  <c r="AC23" i="33"/>
  <c r="AC34" i="33"/>
  <c r="AB34" i="33"/>
  <c r="AA36" i="33"/>
  <c r="S36" i="33"/>
  <c r="H111" i="33"/>
  <c r="I111" i="33" s="1"/>
  <c r="J111" i="33" s="1"/>
  <c r="K111" i="33" s="1"/>
  <c r="L111" i="33" s="1"/>
  <c r="M111" i="33" s="1"/>
  <c r="S33" i="33"/>
  <c r="S23" i="33"/>
  <c r="AC25" i="33"/>
  <c r="U23" i="33"/>
  <c r="J17" i="33"/>
  <c r="H17" i="33"/>
  <c r="F79" i="33"/>
  <c r="G79" i="33" s="1"/>
  <c r="F17" i="33"/>
  <c r="AA17" i="33" s="1"/>
  <c r="U19" i="33"/>
  <c r="S17" i="33"/>
  <c r="U15" i="33"/>
  <c r="U38" i="39"/>
  <c r="AC11" i="39"/>
  <c r="U29" i="39"/>
  <c r="W29" i="39"/>
  <c r="AC25" i="39"/>
  <c r="U21" i="39"/>
  <c r="S17" i="39"/>
  <c r="S11" i="39"/>
  <c r="F11" i="1"/>
  <c r="G11" i="1" s="1"/>
  <c r="G44" i="43"/>
  <c r="G7" i="1"/>
  <c r="I24" i="43"/>
  <c r="C24" i="43" s="1"/>
  <c r="V4" i="86" s="1"/>
  <c r="F34" i="15"/>
  <c r="F62" i="15" s="1"/>
  <c r="F34" i="67"/>
  <c r="F62" i="67" s="1"/>
  <c r="C28" i="67"/>
  <c r="C21" i="68"/>
  <c r="C40" i="69"/>
  <c r="F8" i="1"/>
  <c r="F3" i="35"/>
  <c r="F29" i="6"/>
  <c r="E19" i="71"/>
  <c r="E18" i="71" s="1"/>
  <c r="E17" i="71" s="1"/>
  <c r="E16" i="71" s="1"/>
  <c r="V20" i="71"/>
  <c r="W12" i="37"/>
  <c r="AC12" i="37"/>
  <c r="AZ521" i="3"/>
  <c r="AZ504" i="3"/>
  <c r="AZ508" i="3"/>
  <c r="AZ520" i="3"/>
  <c r="AZ534" i="3"/>
  <c r="AZ542" i="3"/>
  <c r="AZ556" i="3"/>
  <c r="AA14" i="37"/>
  <c r="AC35" i="40"/>
  <c r="W35" i="40"/>
  <c r="S38" i="40"/>
  <c r="AA38" i="40"/>
  <c r="AZ399" i="3"/>
  <c r="AZ404" i="3"/>
  <c r="C16" i="71"/>
  <c r="M23" i="43" s="1"/>
  <c r="D17" i="71"/>
  <c r="D19" i="53"/>
  <c r="B38" i="72" s="1"/>
  <c r="D16" i="53"/>
  <c r="B34" i="72" s="1"/>
  <c r="G28" i="6"/>
  <c r="AZ334" i="3"/>
  <c r="AZ351" i="3"/>
  <c r="AZ327" i="3"/>
  <c r="G521" i="3"/>
  <c r="G5" i="3" s="1"/>
  <c r="B3" i="3" s="1"/>
  <c r="AC5" i="3"/>
  <c r="AZ583" i="3"/>
  <c r="AZ558" i="3"/>
  <c r="U33" i="40"/>
  <c r="AB33" i="40"/>
  <c r="W11" i="35"/>
  <c r="AC11" i="35"/>
  <c r="W32" i="40"/>
  <c r="AC32" i="40"/>
  <c r="AA36" i="39"/>
  <c r="S36" i="39"/>
  <c r="AZ409" i="3"/>
  <c r="AZ416" i="3"/>
  <c r="AZ425" i="3"/>
  <c r="AZ432" i="3"/>
  <c r="AZ445" i="3"/>
  <c r="AZ447" i="3"/>
  <c r="AZ464" i="3"/>
  <c r="AZ467" i="3"/>
  <c r="AZ474" i="3"/>
  <c r="AZ480" i="3"/>
  <c r="AZ482" i="3"/>
  <c r="AZ486" i="3"/>
  <c r="AZ488" i="3"/>
  <c r="AZ216" i="3"/>
  <c r="AZ221" i="3"/>
  <c r="AZ226" i="3"/>
  <c r="AZ230" i="3"/>
  <c r="AZ242" i="3"/>
  <c r="AZ246" i="3"/>
  <c r="AZ258" i="3"/>
  <c r="AZ262" i="3"/>
  <c r="AZ267" i="3"/>
  <c r="S26" i="33"/>
  <c r="F27" i="34"/>
  <c r="F23" i="35"/>
  <c r="AB12" i="35"/>
  <c r="AC12" i="34"/>
  <c r="J31" i="39"/>
  <c r="F31" i="39"/>
  <c r="W31" i="40"/>
  <c r="W33" i="33"/>
  <c r="U35" i="33"/>
  <c r="U34" i="35"/>
  <c r="W34" i="35"/>
  <c r="U31" i="35"/>
  <c r="U31" i="36"/>
  <c r="U9" i="36"/>
  <c r="U14" i="37"/>
  <c r="W31" i="37"/>
  <c r="J36" i="39"/>
  <c r="H36" i="39"/>
  <c r="J44" i="39"/>
  <c r="H12" i="33"/>
  <c r="J23" i="35"/>
  <c r="F25" i="37"/>
  <c r="J25" i="37"/>
  <c r="F26" i="37"/>
  <c r="H26" i="37"/>
  <c r="F44" i="39"/>
  <c r="H38" i="40"/>
  <c r="J38" i="40"/>
  <c r="H39" i="40"/>
  <c r="AZ276" i="3"/>
  <c r="AZ298" i="3"/>
  <c r="AZ301" i="3"/>
  <c r="AZ122" i="3"/>
  <c r="AZ125" i="3"/>
  <c r="AZ22" i="3"/>
  <c r="AZ285" i="3"/>
  <c r="AZ30" i="3"/>
  <c r="AZ54" i="3"/>
  <c r="AZ57" i="3"/>
  <c r="AZ70" i="3"/>
  <c r="AZ92" i="3"/>
  <c r="AZ103" i="3"/>
  <c r="C26" i="71"/>
  <c r="D26" i="71" s="1"/>
  <c r="D27" i="71"/>
  <c r="C36" i="71"/>
  <c r="D35" i="71"/>
  <c r="AB21" i="21"/>
  <c r="AC21" i="34"/>
  <c r="D64" i="71"/>
  <c r="T64" i="71"/>
  <c r="V28" i="71"/>
  <c r="AA26" i="71"/>
  <c r="AA31" i="71"/>
  <c r="AB29" i="71"/>
  <c r="X9" i="71"/>
  <c r="X10" i="71"/>
  <c r="AB9" i="71"/>
  <c r="X24" i="71"/>
  <c r="AA24" i="71"/>
  <c r="Y24" i="71"/>
  <c r="Z24" i="71" s="1"/>
  <c r="AB23" i="71"/>
  <c r="AB21" i="71"/>
  <c r="AA21" i="71"/>
  <c r="Y18" i="71"/>
  <c r="Z18" i="71" s="1"/>
  <c r="X17" i="71"/>
  <c r="Y17" i="71"/>
  <c r="Z17" i="71" s="1"/>
  <c r="AA17" i="71"/>
  <c r="AB18" i="71"/>
  <c r="Y14" i="71"/>
  <c r="Z14" i="71" s="1"/>
  <c r="AB14" i="71"/>
  <c r="U18" i="36"/>
  <c r="Y9" i="71"/>
  <c r="Z9" i="71" s="1"/>
  <c r="AA9" i="71"/>
  <c r="AB24" i="71"/>
  <c r="AA23" i="71"/>
  <c r="AA22" i="71"/>
  <c r="X21" i="71"/>
  <c r="X18" i="71"/>
  <c r="AA18" i="71"/>
  <c r="B67" i="71"/>
  <c r="Y23" i="71"/>
  <c r="Z23" i="71" s="1"/>
  <c r="Y22" i="71"/>
  <c r="Z22" i="71" s="1"/>
  <c r="X22" i="71"/>
  <c r="Y21" i="71"/>
  <c r="Z21" i="71" s="1"/>
  <c r="X15" i="71"/>
  <c r="AA15" i="71"/>
  <c r="AB12" i="71"/>
  <c r="AB11" i="71"/>
  <c r="AA11" i="71"/>
  <c r="AA13" i="71"/>
  <c r="X11" i="71"/>
  <c r="X14" i="71"/>
  <c r="Y10" i="71"/>
  <c r="Z10" i="71" s="1"/>
  <c r="Y13" i="71"/>
  <c r="Z13" i="71" s="1"/>
  <c r="AB15" i="71"/>
  <c r="AB17" i="71"/>
  <c r="AB13" i="71"/>
  <c r="AB10" i="71"/>
  <c r="AA10" i="71"/>
  <c r="AA12" i="71"/>
  <c r="AA14" i="71"/>
  <c r="X13" i="71"/>
  <c r="X12" i="71"/>
  <c r="Y12" i="71"/>
  <c r="Z12" i="71" s="1"/>
  <c r="Y11" i="71"/>
  <c r="Z11" i="71" s="1"/>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E14" i="6"/>
  <c r="E63" i="39" s="1"/>
  <c r="I4" i="6"/>
  <c r="G3" i="43" s="1"/>
  <c r="H26"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G58" i="43" s="1"/>
  <c r="H51" i="43"/>
  <c r="G51" i="43" s="1"/>
  <c r="H56" i="43"/>
  <c r="G56" i="43" s="1"/>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F27" i="69" s="1"/>
  <c r="E8" i="6"/>
  <c r="F27" i="6" s="1"/>
  <c r="E12" i="6"/>
  <c r="E57" i="40" s="1"/>
  <c r="E15" i="6"/>
  <c r="E64" i="39" s="1"/>
  <c r="E11" i="6"/>
  <c r="E60" i="39" s="1"/>
  <c r="E10" i="6"/>
  <c r="E13" i="6"/>
  <c r="H16" i="1"/>
  <c r="P6" i="1"/>
  <c r="C13" i="12" s="1"/>
  <c r="P11" i="1"/>
  <c r="E59" i="40"/>
  <c r="K14" i="1"/>
  <c r="K16" i="1" s="1"/>
  <c r="D9" i="11"/>
  <c r="C9" i="11" s="1"/>
  <c r="D19" i="12"/>
  <c r="C19" i="12" s="1"/>
  <c r="AZ13" i="3"/>
  <c r="O9" i="1"/>
  <c r="P9" i="1" s="1"/>
  <c r="O12" i="1"/>
  <c r="P12" i="1" s="1"/>
  <c r="O8" i="1"/>
  <c r="P8" i="1" s="1"/>
  <c r="H73" i="43"/>
  <c r="H90" i="43"/>
  <c r="C23" i="43"/>
  <c r="O23" i="43"/>
  <c r="I18" i="43"/>
  <c r="E17" i="43" s="1"/>
  <c r="C17" i="43" s="1"/>
  <c r="F26" i="43"/>
  <c r="G26" i="43"/>
  <c r="A1" i="79"/>
  <c r="H55" i="43"/>
  <c r="G55" i="43" s="1"/>
  <c r="H86" i="43"/>
  <c r="H87" i="43"/>
  <c r="N370" i="46"/>
  <c r="H89" i="43"/>
  <c r="H88" i="43"/>
  <c r="H84" i="43"/>
  <c r="C69" i="39"/>
  <c r="D67" i="39"/>
  <c r="D69" i="39" s="1"/>
  <c r="A19" i="51"/>
  <c r="B14" i="72" s="1"/>
  <c r="T35" i="4"/>
  <c r="H110" i="9"/>
  <c r="D18" i="53" s="1"/>
  <c r="B35" i="72" s="1"/>
  <c r="H52" i="43"/>
  <c r="G52" i="43" s="1"/>
  <c r="K5" i="4"/>
  <c r="B47" i="48" s="1"/>
  <c r="Y8" i="71"/>
  <c r="Z8" i="71" s="1"/>
  <c r="X8" i="71"/>
  <c r="AB8" i="71"/>
  <c r="AA8" i="71"/>
  <c r="B8" i="74"/>
  <c r="C8" i="74" s="1"/>
  <c r="D127" i="9"/>
  <c r="D13" i="52" s="1"/>
  <c r="D12" i="52"/>
  <c r="D20" i="53"/>
  <c r="B40" i="72" s="1"/>
  <c r="H76" i="43"/>
  <c r="H72" i="43"/>
  <c r="H63" i="43"/>
  <c r="H61" i="43"/>
  <c r="H53" i="43"/>
  <c r="G53" i="43" s="1"/>
  <c r="H79" i="43"/>
  <c r="D17" i="53"/>
  <c r="B36" i="72" s="1"/>
  <c r="D124" i="9"/>
  <c r="H74" i="43"/>
  <c r="H57" i="43"/>
  <c r="G57" i="43" s="1"/>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P58" i="33" s="1"/>
  <c r="Q58" i="33" s="1"/>
  <c r="R58" i="33" s="1"/>
  <c r="S58" i="33" s="1"/>
  <c r="T58" i="33" s="1"/>
  <c r="U58" i="33" s="1"/>
  <c r="V58" i="33" s="1"/>
  <c r="W58" i="33" s="1"/>
  <c r="X58" i="33" s="1"/>
  <c r="Y58" i="33" s="1"/>
  <c r="Z58" i="33" s="1"/>
  <c r="AA58" i="33" s="1"/>
  <c r="AB58" i="33" s="1"/>
  <c r="AC58" i="33" s="1"/>
  <c r="AD58" i="33" s="1"/>
  <c r="AE58" i="33" s="1"/>
  <c r="AF58" i="33" s="1"/>
  <c r="K4" i="4"/>
  <c r="B46" i="48" s="1"/>
  <c r="B4" i="72" s="1"/>
  <c r="B4" i="62"/>
  <c r="B71" i="72" s="1"/>
  <c r="D9" i="53"/>
  <c r="B25" i="72" s="1"/>
  <c r="B24" i="72"/>
  <c r="K120" i="9"/>
  <c r="A18" i="62" s="1"/>
  <c r="B64" i="72" s="1"/>
  <c r="Y16" i="71"/>
  <c r="Z16" i="71" s="1"/>
  <c r="Y15" i="71"/>
  <c r="Z15" i="71" s="1"/>
  <c r="AA16" i="71"/>
  <c r="AB3" i="71"/>
  <c r="B16" i="71"/>
  <c r="X16" i="71"/>
  <c r="AB16" i="71"/>
  <c r="Y3" i="71"/>
  <c r="Z3" i="71" s="1"/>
  <c r="D16" i="71"/>
  <c r="U16" i="71" s="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9"/>
  <c r="C36" i="69"/>
  <c r="D9" i="68"/>
  <c r="D7" i="73"/>
  <c r="C16" i="67"/>
  <c r="C76" i="81"/>
  <c r="J15" i="81"/>
  <c r="F8" i="81"/>
  <c r="M9" i="81"/>
  <c r="M26" i="81"/>
  <c r="F9" i="81"/>
  <c r="F6" i="81"/>
  <c r="F26" i="81"/>
  <c r="M28" i="81"/>
  <c r="M23" i="81"/>
  <c r="M22" i="81"/>
  <c r="L47" i="81"/>
  <c r="F43" i="81"/>
  <c r="F40" i="80"/>
  <c r="M8" i="80"/>
  <c r="M28" i="80"/>
  <c r="F38" i="80"/>
  <c r="M6" i="80"/>
  <c r="M24" i="80"/>
  <c r="F26" i="80"/>
  <c r="F42" i="80"/>
  <c r="F36" i="80"/>
  <c r="J15" i="80"/>
  <c r="L47" i="80"/>
  <c r="F43" i="80"/>
  <c r="L48" i="80"/>
  <c r="D6" i="73"/>
  <c r="C16" i="15"/>
  <c r="M8" i="81"/>
  <c r="M27" i="81"/>
  <c r="L48" i="81"/>
  <c r="F16" i="81"/>
  <c r="F38" i="81"/>
  <c r="M24" i="81"/>
  <c r="F42" i="81"/>
  <c r="F37" i="81"/>
  <c r="M6" i="81"/>
  <c r="F36" i="81"/>
  <c r="F13" i="81"/>
  <c r="F7" i="81"/>
  <c r="M29" i="81"/>
  <c r="F8" i="80"/>
  <c r="F40" i="81"/>
  <c r="C76" i="80"/>
  <c r="F9" i="80"/>
  <c r="M23" i="80"/>
  <c r="F16" i="80"/>
  <c r="F37" i="80"/>
  <c r="M9" i="80"/>
  <c r="M22" i="80"/>
  <c r="F6" i="80"/>
  <c r="F13" i="80"/>
  <c r="F7" i="80"/>
  <c r="M29" i="80"/>
  <c r="M26" i="80"/>
  <c r="G1" i="73"/>
  <c r="E253" i="3" l="1"/>
  <c r="E128" i="3"/>
  <c r="E330" i="3"/>
  <c r="E424" i="3"/>
  <c r="E496" i="3"/>
  <c r="E256" i="3"/>
  <c r="E32" i="3"/>
  <c r="E164" i="3"/>
  <c r="E448" i="3"/>
  <c r="P6" i="3"/>
  <c r="E443" i="3"/>
  <c r="E558" i="3"/>
  <c r="E581" i="3"/>
  <c r="E444" i="3"/>
  <c r="E404" i="3"/>
  <c r="E88" i="3"/>
  <c r="E121" i="3"/>
  <c r="E166" i="3"/>
  <c r="E295" i="3"/>
  <c r="E316" i="3"/>
  <c r="E334" i="3"/>
  <c r="E30" i="3"/>
  <c r="E480" i="3"/>
  <c r="E53" i="3"/>
  <c r="E175" i="3"/>
  <c r="E319" i="3"/>
  <c r="E530" i="3"/>
  <c r="E501" i="3"/>
  <c r="E343" i="3"/>
  <c r="E153" i="3"/>
  <c r="E305" i="3"/>
  <c r="E426" i="3"/>
  <c r="E508" i="3"/>
  <c r="E328" i="3"/>
  <c r="E388" i="3"/>
  <c r="O6" i="3"/>
  <c r="E555" i="3"/>
  <c r="E574" i="3"/>
  <c r="E410" i="3"/>
  <c r="E359" i="3"/>
  <c r="E337" i="3"/>
  <c r="E285" i="3"/>
  <c r="E143" i="3"/>
  <c r="E97" i="3"/>
  <c r="E270" i="3"/>
  <c r="E390" i="3"/>
  <c r="E533" i="3"/>
  <c r="S6" i="3"/>
  <c r="AR6" i="3"/>
  <c r="E523" i="3"/>
  <c r="E561" i="3"/>
  <c r="E506" i="3"/>
  <c r="E538" i="3"/>
  <c r="E418" i="3"/>
  <c r="E439" i="3"/>
  <c r="E338" i="3"/>
  <c r="E380" i="3"/>
  <c r="E321" i="3"/>
  <c r="E231" i="3"/>
  <c r="E298" i="3"/>
  <c r="E216" i="3"/>
  <c r="E169" i="3"/>
  <c r="E185" i="3"/>
  <c r="E237" i="3"/>
  <c r="E261" i="3"/>
  <c r="E304" i="3"/>
  <c r="E528" i="3"/>
  <c r="E565" i="3"/>
  <c r="E183" i="3"/>
  <c r="E213" i="3"/>
  <c r="E361" i="3"/>
  <c r="E17" i="3"/>
  <c r="E503" i="3"/>
  <c r="E302" i="3"/>
  <c r="E180" i="3"/>
  <c r="E221" i="3"/>
  <c r="E91" i="3"/>
  <c r="E254" i="3"/>
  <c r="E134" i="3"/>
  <c r="E159" i="3"/>
  <c r="E301" i="3"/>
  <c r="E303" i="3"/>
  <c r="E350" i="3"/>
  <c r="E402" i="3"/>
  <c r="E586" i="3"/>
  <c r="AN6" i="3"/>
  <c r="E495" i="3"/>
  <c r="E353" i="3"/>
  <c r="E124" i="3"/>
  <c r="E280" i="3"/>
  <c r="E399" i="3"/>
  <c r="AA6" i="3"/>
  <c r="E347" i="3"/>
  <c r="E238" i="3"/>
  <c r="E120" i="3"/>
  <c r="E437" i="3"/>
  <c r="AE6" i="3"/>
  <c r="E73" i="3"/>
  <c r="E394" i="3"/>
  <c r="E236" i="3"/>
  <c r="AG6" i="3"/>
  <c r="E485" i="3"/>
  <c r="E400" i="3"/>
  <c r="E345" i="3"/>
  <c r="E557" i="3"/>
  <c r="E531" i="3"/>
  <c r="E489" i="3"/>
  <c r="E28" i="3"/>
  <c r="E70" i="3"/>
  <c r="E182" i="3"/>
  <c r="E211" i="3"/>
  <c r="E273" i="3"/>
  <c r="E377" i="3"/>
  <c r="E572" i="3"/>
  <c r="E109" i="3"/>
  <c r="E125" i="3"/>
  <c r="E217" i="3"/>
  <c r="E366" i="3"/>
  <c r="E526" i="3"/>
  <c r="E553" i="3"/>
  <c r="E268" i="3"/>
  <c r="E282" i="3"/>
  <c r="E322" i="3"/>
  <c r="N6" i="3"/>
  <c r="AJ6" i="3"/>
  <c r="E239" i="3"/>
  <c r="E509" i="3"/>
  <c r="E516" i="3"/>
  <c r="E579" i="3"/>
  <c r="E569" i="3"/>
  <c r="E431" i="3"/>
  <c r="E396" i="3"/>
  <c r="E247" i="3"/>
  <c r="E229" i="3"/>
  <c r="E201" i="3"/>
  <c r="E151" i="3"/>
  <c r="E311" i="3"/>
  <c r="E358" i="3"/>
  <c r="E514" i="3"/>
  <c r="E559" i="3"/>
  <c r="E570" i="3"/>
  <c r="E551" i="3"/>
  <c r="M6" i="3"/>
  <c r="V6" i="3"/>
  <c r="AB6" i="3"/>
  <c r="E407" i="3"/>
  <c r="E387" i="3"/>
  <c r="E320" i="3"/>
  <c r="E335" i="3"/>
  <c r="E294" i="3"/>
  <c r="E215" i="3"/>
  <c r="E230" i="3"/>
  <c r="E189" i="3"/>
  <c r="E130" i="3"/>
  <c r="E69" i="3"/>
  <c r="E114" i="3"/>
  <c r="E278" i="3"/>
  <c r="E415" i="3"/>
  <c r="E563" i="3"/>
  <c r="E395" i="3"/>
  <c r="E172" i="3"/>
  <c r="E260" i="3"/>
  <c r="E445" i="3"/>
  <c r="E550" i="3"/>
  <c r="E535" i="3"/>
  <c r="E117" i="3"/>
  <c r="E161" i="3"/>
  <c r="E290" i="3"/>
  <c r="E135" i="3"/>
  <c r="E61" i="3"/>
  <c r="E191" i="3"/>
  <c r="E245" i="3"/>
  <c r="E263" i="3"/>
  <c r="E382" i="3"/>
  <c r="E423" i="3"/>
  <c r="E578" i="3"/>
  <c r="AI6" i="3"/>
  <c r="E518" i="3"/>
  <c r="E385" i="3"/>
  <c r="E293" i="3"/>
  <c r="E246" i="3"/>
  <c r="E336" i="3"/>
  <c r="X6" i="3"/>
  <c r="E583" i="3"/>
  <c r="M57" i="43"/>
  <c r="N57" i="43" s="1"/>
  <c r="K57" i="43"/>
  <c r="J57" i="43" s="1"/>
  <c r="D57" i="43" s="1"/>
  <c r="M56" i="43"/>
  <c r="N56" i="43" s="1"/>
  <c r="K56" i="43"/>
  <c r="K58" i="43"/>
  <c r="M58" i="43"/>
  <c r="N58" i="43" s="1"/>
  <c r="V10" i="86"/>
  <c r="W10" i="86" s="1"/>
  <c r="E46" i="39" s="1"/>
  <c r="V14" i="86"/>
  <c r="W14" i="86" s="1"/>
  <c r="I46" i="39" s="1"/>
  <c r="V8" i="86"/>
  <c r="W8" i="86" s="1"/>
  <c r="G46" i="39" s="1"/>
  <c r="W4" i="86"/>
  <c r="D51" i="71"/>
  <c r="C52" i="71"/>
  <c r="AB24" i="36"/>
  <c r="U24" i="36"/>
  <c r="AA9" i="36"/>
  <c r="S9" i="36"/>
  <c r="AA34" i="35"/>
  <c r="S34" i="35"/>
  <c r="BL5" i="3"/>
  <c r="F7" i="36"/>
  <c r="J7" i="37"/>
  <c r="H7" i="36"/>
  <c r="K53" i="43"/>
  <c r="M53" i="43"/>
  <c r="N53" i="43" s="1"/>
  <c r="M52" i="43"/>
  <c r="N52" i="43" s="1"/>
  <c r="K52" i="43"/>
  <c r="K55" i="43"/>
  <c r="M55" i="43"/>
  <c r="N55" i="43" s="1"/>
  <c r="M51" i="43"/>
  <c r="N51" i="43" s="1"/>
  <c r="K51" i="43"/>
  <c r="J51" i="43" s="1"/>
  <c r="D30" i="71"/>
  <c r="C31" i="71"/>
  <c r="AZ451" i="3"/>
  <c r="AZ438" i="3"/>
  <c r="AZ435" i="3"/>
  <c r="AZ419" i="3"/>
  <c r="AZ402" i="3"/>
  <c r="AZ5" i="3" s="1"/>
  <c r="U12" i="36"/>
  <c r="AB12" i="36"/>
  <c r="AB43" i="34"/>
  <c r="U43" i="34"/>
  <c r="BA5" i="3"/>
  <c r="S34" i="39"/>
  <c r="W34" i="39"/>
  <c r="AB17" i="39"/>
  <c r="U17" i="39"/>
  <c r="AC17" i="39"/>
  <c r="W17" i="39"/>
  <c r="AC27" i="33"/>
  <c r="W27" i="33"/>
  <c r="Q71" i="81"/>
  <c r="F51" i="81"/>
  <c r="F66" i="81"/>
  <c r="C6" i="81"/>
  <c r="C32" i="81" s="1"/>
  <c r="C27" i="81"/>
  <c r="F65" i="81"/>
  <c r="F64" i="81"/>
  <c r="F68" i="81"/>
  <c r="L59" i="81"/>
  <c r="M59" i="81"/>
  <c r="N59" i="81"/>
  <c r="M7" i="81"/>
  <c r="J6" i="81" s="1"/>
  <c r="J19" i="81" s="1"/>
  <c r="F50" i="81"/>
  <c r="F71" i="81"/>
  <c r="F68" i="80"/>
  <c r="F51" i="80"/>
  <c r="Q71" i="80"/>
  <c r="F66" i="80"/>
  <c r="C6" i="80"/>
  <c r="C32" i="80" s="1"/>
  <c r="F65" i="80"/>
  <c r="C27" i="80"/>
  <c r="F64" i="80"/>
  <c r="L59" i="80"/>
  <c r="N59" i="80"/>
  <c r="M59" i="80"/>
  <c r="L58" i="80"/>
  <c r="Q60" i="80" s="1"/>
  <c r="F50" i="80"/>
  <c r="M7" i="80"/>
  <c r="J6" i="80" s="1"/>
  <c r="J18" i="80" s="1"/>
  <c r="F71" i="80"/>
  <c r="L56" i="80"/>
  <c r="J53" i="80"/>
  <c r="F1" i="80" s="1"/>
  <c r="J57" i="80"/>
  <c r="J55" i="80" s="1"/>
  <c r="J58" i="80" s="1"/>
  <c r="Q50" i="80" s="1"/>
  <c r="I54" i="80"/>
  <c r="L57" i="80"/>
  <c r="L60" i="80"/>
  <c r="Q57" i="80" s="1"/>
  <c r="AA15" i="33"/>
  <c r="S15" i="33"/>
  <c r="E441" i="3"/>
  <c r="E29" i="3"/>
  <c r="E44" i="3"/>
  <c r="AM6" i="3"/>
  <c r="E384" i="3"/>
  <c r="E317" i="3"/>
  <c r="E331" i="3"/>
  <c r="E291" i="3"/>
  <c r="E210" i="3"/>
  <c r="E272" i="3"/>
  <c r="E186" i="3"/>
  <c r="E126" i="3"/>
  <c r="E162" i="3"/>
  <c r="E92" i="3"/>
  <c r="E27" i="3"/>
  <c r="E71" i="3"/>
  <c r="E447" i="3"/>
  <c r="E546" i="3"/>
  <c r="E476" i="3"/>
  <c r="E403" i="3"/>
  <c r="AS6" i="3"/>
  <c r="E547" i="3"/>
  <c r="E505" i="3"/>
  <c r="E367" i="3"/>
  <c r="E477" i="3"/>
  <c r="E432" i="3"/>
  <c r="E414" i="3"/>
  <c r="E548" i="3"/>
  <c r="E478" i="3"/>
  <c r="E411" i="3"/>
  <c r="E576" i="3"/>
  <c r="E252" i="3"/>
  <c r="I6" i="3"/>
  <c r="E580" i="3"/>
  <c r="E274" i="3"/>
  <c r="E203" i="3"/>
  <c r="E55" i="3"/>
  <c r="E429" i="3"/>
  <c r="E344" i="3"/>
  <c r="E481" i="3"/>
  <c r="Q6" i="3"/>
  <c r="E177" i="3"/>
  <c r="E262" i="3"/>
  <c r="E434" i="3"/>
  <c r="E156" i="3"/>
  <c r="AO6" i="3"/>
  <c r="Z6" i="3"/>
  <c r="E327" i="3"/>
  <c r="E204" i="3"/>
  <c r="E89" i="3"/>
  <c r="E368" i="3"/>
  <c r="E227" i="3"/>
  <c r="E74" i="3"/>
  <c r="E362" i="3"/>
  <c r="E315" i="3"/>
  <c r="E214" i="3"/>
  <c r="E171" i="3"/>
  <c r="E146" i="3"/>
  <c r="E106" i="3"/>
  <c r="E454" i="3"/>
  <c r="E468" i="3"/>
  <c r="E577" i="3"/>
  <c r="E587" i="3"/>
  <c r="E465" i="3"/>
  <c r="E406" i="3"/>
  <c r="E472" i="3"/>
  <c r="E560" i="3"/>
  <c r="K6" i="3"/>
  <c r="E133" i="3"/>
  <c r="E277" i="3"/>
  <c r="E228" i="3"/>
  <c r="AK6" i="3"/>
  <c r="E545" i="3"/>
  <c r="E181" i="3"/>
  <c r="E568" i="3"/>
  <c r="E77" i="3"/>
  <c r="J19" i="80"/>
  <c r="O7" i="1"/>
  <c r="P7" i="1" s="1"/>
  <c r="C33" i="81"/>
  <c r="U17" i="33"/>
  <c r="AB17" i="33"/>
  <c r="W17" i="33"/>
  <c r="AC17" i="33"/>
  <c r="N94" i="46"/>
  <c r="E26" i="43"/>
  <c r="J26" i="43"/>
  <c r="I54" i="81"/>
  <c r="L56" i="81"/>
  <c r="J57" i="81"/>
  <c r="J55" i="81" s="1"/>
  <c r="J58" i="81" s="1"/>
  <c r="Q50" i="81" s="1"/>
  <c r="L60" i="81"/>
  <c r="L58" i="81"/>
  <c r="L57" i="81"/>
  <c r="J53" i="81"/>
  <c r="G8" i="1"/>
  <c r="G16" i="1" s="1"/>
  <c r="AA10" i="39" s="1"/>
  <c r="Q73" i="80"/>
  <c r="F11" i="81"/>
  <c r="M11" i="81"/>
  <c r="J10" i="81" s="1"/>
  <c r="F11" i="80"/>
  <c r="M11" i="80"/>
  <c r="J10" i="80" s="1"/>
  <c r="E515" i="3"/>
  <c r="U6" i="3"/>
  <c r="E585" i="3"/>
  <c r="E379" i="3"/>
  <c r="E107" i="3"/>
  <c r="E145" i="3"/>
  <c r="E271" i="3"/>
  <c r="E207" i="3"/>
  <c r="E269" i="3"/>
  <c r="E196" i="3"/>
  <c r="E549" i="3"/>
  <c r="E397" i="3"/>
  <c r="E567" i="3"/>
  <c r="E93" i="3"/>
  <c r="E31" i="3"/>
  <c r="E14" i="3"/>
  <c r="E318" i="3"/>
  <c r="E357" i="3"/>
  <c r="E351" i="3"/>
  <c r="E257" i="3"/>
  <c r="E279" i="3"/>
  <c r="E208" i="3"/>
  <c r="E150" i="3"/>
  <c r="E168" i="3"/>
  <c r="E111" i="3"/>
  <c r="E54" i="3"/>
  <c r="E72" i="3"/>
  <c r="E475" i="3"/>
  <c r="E433" i="3"/>
  <c r="E471" i="3"/>
  <c r="E450" i="3"/>
  <c r="E537" i="3"/>
  <c r="E571" i="3"/>
  <c r="W6" i="3"/>
  <c r="E562" i="3"/>
  <c r="E288" i="3"/>
  <c r="E457" i="3"/>
  <c r="E438" i="3"/>
  <c r="E527" i="3"/>
  <c r="E474" i="3"/>
  <c r="E458" i="3"/>
  <c r="E529" i="3"/>
  <c r="E573" i="3"/>
  <c r="E532" i="3"/>
  <c r="E519" i="3"/>
  <c r="E313" i="3"/>
  <c r="E193" i="3"/>
  <c r="E224" i="3"/>
  <c r="E45" i="3"/>
  <c r="E157" i="3"/>
  <c r="E99" i="3"/>
  <c r="E306" i="3"/>
  <c r="E511" i="3"/>
  <c r="E352" i="3"/>
  <c r="E314" i="3"/>
  <c r="E136" i="3"/>
  <c r="E85" i="3"/>
  <c r="E461" i="3"/>
  <c r="E453" i="3"/>
  <c r="E122" i="3"/>
  <c r="N67" i="71"/>
  <c r="B66" i="71"/>
  <c r="AC38" i="40"/>
  <c r="W38" i="40"/>
  <c r="AA44" i="39"/>
  <c r="S44" i="39"/>
  <c r="AA26" i="37"/>
  <c r="S26" i="37"/>
  <c r="AA25" i="37"/>
  <c r="S25" i="37"/>
  <c r="U12" i="33"/>
  <c r="AB12" i="33"/>
  <c r="AB36" i="39"/>
  <c r="U36" i="39"/>
  <c r="AA31" i="39"/>
  <c r="S31" i="39"/>
  <c r="AA23" i="35"/>
  <c r="S23" i="35"/>
  <c r="E521" i="3"/>
  <c r="C15" i="71"/>
  <c r="T16" i="71"/>
  <c r="B15" i="71"/>
  <c r="B14" i="71" s="1"/>
  <c r="B13" i="71" s="1"/>
  <c r="B12" i="71" s="1"/>
  <c r="S16" i="71"/>
  <c r="D36" i="71"/>
  <c r="T36" i="71"/>
  <c r="AB39" i="40"/>
  <c r="U39" i="40"/>
  <c r="U38" i="40"/>
  <c r="AB38" i="40"/>
  <c r="U26" i="37"/>
  <c r="AB26" i="37"/>
  <c r="W25" i="37"/>
  <c r="AC25" i="37"/>
  <c r="W23" i="35"/>
  <c r="AC23" i="35"/>
  <c r="W44" i="39"/>
  <c r="AC44" i="39"/>
  <c r="AC36" i="39"/>
  <c r="W36" i="39"/>
  <c r="W31" i="39"/>
  <c r="AC31" i="39"/>
  <c r="AA27" i="34"/>
  <c r="S27" i="34"/>
  <c r="E510" i="3"/>
  <c r="E539" i="3"/>
  <c r="E165" i="3"/>
  <c r="E536" i="3"/>
  <c r="E244" i="3"/>
  <c r="E148" i="3"/>
  <c r="E149" i="3"/>
  <c r="E212" i="3"/>
  <c r="E167" i="3"/>
  <c r="E199" i="3"/>
  <c r="E141" i="3"/>
  <c r="E286" i="3"/>
  <c r="E312" i="3"/>
  <c r="E575" i="3"/>
  <c r="AD6" i="3"/>
  <c r="E499" i="3"/>
  <c r="E542" i="3"/>
  <c r="R6" i="3"/>
  <c r="E552" i="3"/>
  <c r="E502" i="3"/>
  <c r="E421" i="3"/>
  <c r="E442" i="3"/>
  <c r="E464" i="3"/>
  <c r="E466" i="3"/>
  <c r="E487" i="3"/>
  <c r="E541" i="3"/>
  <c r="E398" i="3"/>
  <c r="E430" i="3"/>
  <c r="E416" i="3"/>
  <c r="E449" i="3"/>
  <c r="E459" i="3"/>
  <c r="E255" i="3"/>
  <c r="E374" i="3"/>
  <c r="I3" i="6"/>
  <c r="E566" i="3"/>
  <c r="AP6" i="3"/>
  <c r="E500" i="3"/>
  <c r="E554" i="3"/>
  <c r="E582" i="3"/>
  <c r="E517" i="3"/>
  <c r="E413" i="3"/>
  <c r="E435" i="3"/>
  <c r="E460" i="3"/>
  <c r="E491" i="3"/>
  <c r="E520" i="3"/>
  <c r="E417" i="3"/>
  <c r="E436" i="3"/>
  <c r="E479" i="3"/>
  <c r="E39" i="3"/>
  <c r="E56" i="3"/>
  <c r="E90" i="3"/>
  <c r="E37" i="3"/>
  <c r="E57" i="3"/>
  <c r="E95" i="3"/>
  <c r="E131" i="3"/>
  <c r="E152" i="3"/>
  <c r="E187" i="3"/>
  <c r="E132" i="3"/>
  <c r="E155" i="3"/>
  <c r="E192" i="3"/>
  <c r="E240" i="3"/>
  <c r="E258" i="3"/>
  <c r="E297" i="3"/>
  <c r="E241" i="3"/>
  <c r="E259" i="3"/>
  <c r="E292" i="3"/>
  <c r="E348" i="3"/>
  <c r="E363" i="3"/>
  <c r="E378" i="3"/>
  <c r="E349" i="3"/>
  <c r="E375" i="3"/>
  <c r="E389" i="3"/>
  <c r="E504" i="3"/>
  <c r="E544" i="3"/>
  <c r="E58" i="3"/>
  <c r="E76" i="3"/>
  <c r="E110" i="3"/>
  <c r="E59" i="3"/>
  <c r="E488" i="3"/>
  <c r="E409" i="3"/>
  <c r="E462" i="3"/>
  <c r="E484" i="3"/>
  <c r="E425" i="3"/>
  <c r="E446"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38" i="3"/>
  <c r="E174" i="3"/>
  <c r="E234" i="3"/>
  <c r="E275" i="3"/>
  <c r="E235" i="3"/>
  <c r="E324" i="3"/>
  <c r="E383" i="3"/>
  <c r="E342" i="3"/>
  <c r="E522" i="3"/>
  <c r="E35" i="3"/>
  <c r="E86" i="3"/>
  <c r="E34" i="3"/>
  <c r="E49" i="3"/>
  <c r="E206" i="3"/>
  <c r="E232" i="3"/>
  <c r="E251" i="3"/>
  <c r="E340" i="3"/>
  <c r="E364" i="3"/>
  <c r="E50" i="3"/>
  <c r="E20" i="3"/>
  <c r="E62" i="3"/>
  <c r="E176" i="3"/>
  <c r="E218" i="3"/>
  <c r="E265" i="3"/>
  <c r="E308" i="3"/>
  <c r="E326" i="3"/>
  <c r="E22" i="3"/>
  <c r="E83"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13"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 i="3"/>
  <c r="E79" i="3"/>
  <c r="E96" i="3"/>
  <c r="E78" i="3"/>
  <c r="E100" i="3"/>
  <c r="E129" i="3"/>
  <c r="E170" i="3"/>
  <c r="E190" i="3"/>
  <c r="E137" i="3"/>
  <c r="E194" i="3"/>
  <c r="E220" i="3"/>
  <c r="E219" i="3"/>
  <c r="E299" i="3"/>
  <c r="E339" i="3"/>
  <c r="E325" i="3"/>
  <c r="E392" i="3"/>
  <c r="AQ6" i="3"/>
  <c r="E52" i="3"/>
  <c r="E36" i="3"/>
  <c r="E112" i="3"/>
  <c r="E123" i="3"/>
  <c r="E147" i="3"/>
  <c r="E289" i="3"/>
  <c r="E370" i="3"/>
  <c r="AF6" i="3"/>
  <c r="E102" i="3"/>
  <c r="E80" i="3"/>
  <c r="E113" i="3"/>
  <c r="E158" i="3"/>
  <c r="E287" i="3"/>
  <c r="E365" i="3"/>
  <c r="E524" i="3"/>
  <c r="E101" i="3"/>
  <c r="E15" i="71"/>
  <c r="E14" i="71" s="1"/>
  <c r="E13" i="71" s="1"/>
  <c r="E12" i="71" s="1"/>
  <c r="V16" i="71"/>
  <c r="E61" i="43"/>
  <c r="B59" i="43" s="1"/>
  <c r="B116" i="43"/>
  <c r="Z7" i="43"/>
  <c r="E30" i="6"/>
  <c r="E56" i="39"/>
  <c r="H7" i="34"/>
  <c r="AB7" i="34" s="1"/>
  <c r="T49" i="34" s="1"/>
  <c r="G49" i="34" s="1"/>
  <c r="E67" i="39"/>
  <c r="E69" i="39" s="1"/>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H6" i="3"/>
  <c r="E58" i="40"/>
  <c r="E62" i="39"/>
  <c r="M14" i="1"/>
  <c r="D5" i="43"/>
  <c r="D26" i="43"/>
  <c r="C25" i="43" s="1"/>
  <c r="C7" i="43"/>
  <c r="C5" i="43" s="1"/>
  <c r="D10" i="52"/>
  <c r="D125" i="9"/>
  <c r="D11" i="52" s="1"/>
  <c r="B7" i="74"/>
  <c r="C7" i="74" s="1"/>
  <c r="F67" i="39"/>
  <c r="F59" i="67"/>
  <c r="H7" i="37"/>
  <c r="AB7" i="37" s="1"/>
  <c r="T42" i="37" s="1"/>
  <c r="G42" i="37" s="1"/>
  <c r="B40" i="1"/>
  <c r="F24" i="81" s="1"/>
  <c r="H7" i="33"/>
  <c r="J7" i="33"/>
  <c r="D65" i="40"/>
  <c r="E63" i="40"/>
  <c r="F48" i="35"/>
  <c r="S7" i="36"/>
  <c r="AA7" i="36"/>
  <c r="R36" i="36" s="1"/>
  <c r="AC7" i="37"/>
  <c r="V42" i="37" s="1"/>
  <c r="I42" i="37" s="1"/>
  <c r="W7" i="37"/>
  <c r="AB7" i="36"/>
  <c r="T36" i="36" s="1"/>
  <c r="G36" i="36" s="1"/>
  <c r="U7" i="36"/>
  <c r="F7" i="33"/>
  <c r="E58" i="21"/>
  <c r="AC7" i="36"/>
  <c r="V36" i="36" s="1"/>
  <c r="I36" i="36" s="1"/>
  <c r="W7" i="36"/>
  <c r="F7" i="37"/>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F27" i="68"/>
  <c r="AE12" i="1"/>
  <c r="AE10" i="1"/>
  <c r="AE7" i="1"/>
  <c r="C16" i="80"/>
  <c r="F41" i="67"/>
  <c r="AE6" i="1"/>
  <c r="C16" i="81"/>
  <c r="F41" i="80"/>
  <c r="AY6" i="3" l="1"/>
  <c r="E3" i="6"/>
  <c r="J52" i="43"/>
  <c r="D52" i="43"/>
  <c r="T52" i="71"/>
  <c r="D52" i="71"/>
  <c r="I53" i="39"/>
  <c r="J53" i="39" s="1"/>
  <c r="V46" i="39"/>
  <c r="J56" i="43"/>
  <c r="D56" i="43"/>
  <c r="AC6" i="3"/>
  <c r="D31" i="71"/>
  <c r="C32" i="71"/>
  <c r="J55" i="43"/>
  <c r="D55" i="43"/>
  <c r="J53" i="43"/>
  <c r="D53" i="43"/>
  <c r="G53" i="39"/>
  <c r="H53" i="39" s="1"/>
  <c r="T46" i="39"/>
  <c r="E53" i="39"/>
  <c r="F53" i="39" s="1"/>
  <c r="R46" i="39"/>
  <c r="J58" i="43"/>
  <c r="D58" i="43"/>
  <c r="Q52" i="80"/>
  <c r="J18" i="81"/>
  <c r="J5" i="80"/>
  <c r="J26" i="80" s="1"/>
  <c r="J29" i="80" s="1"/>
  <c r="J5" i="81"/>
  <c r="J26" i="81" s="1"/>
  <c r="C49" i="80"/>
  <c r="C61" i="80" s="1"/>
  <c r="C49" i="81"/>
  <c r="C61" i="81" s="1"/>
  <c r="S10" i="39"/>
  <c r="H10" i="40"/>
  <c r="AB10" i="40" s="1"/>
  <c r="J10" i="40"/>
  <c r="AC10" i="40" s="1"/>
  <c r="Q66" i="80"/>
  <c r="C33" i="80"/>
  <c r="Q61" i="80"/>
  <c r="Q74" i="80"/>
  <c r="Q61" i="81"/>
  <c r="Q74" i="81"/>
  <c r="F10" i="40"/>
  <c r="S10" i="40" s="1"/>
  <c r="W10" i="39"/>
  <c r="U10" i="39"/>
  <c r="Q66" i="81"/>
  <c r="Q57" i="81"/>
  <c r="F1" i="81"/>
  <c r="Q52" i="81"/>
  <c r="Q73" i="81"/>
  <c r="Q60" i="81"/>
  <c r="C24" i="81"/>
  <c r="J24" i="81"/>
  <c r="C53" i="81"/>
  <c r="C10" i="81"/>
  <c r="C5" i="81" s="1"/>
  <c r="F69" i="80"/>
  <c r="L36" i="43"/>
  <c r="P36" i="43" s="1"/>
  <c r="F24" i="80"/>
  <c r="C53" i="80"/>
  <c r="C10" i="80"/>
  <c r="C5" i="80" s="1"/>
  <c r="B11" i="71"/>
  <c r="B10" i="71" s="1"/>
  <c r="B9" i="71" s="1"/>
  <c r="B8" i="71" s="1"/>
  <c r="B7" i="71" s="1"/>
  <c r="B6" i="71" s="1"/>
  <c r="B5" i="71" s="1"/>
  <c r="S12" i="71"/>
  <c r="D15" i="71"/>
  <c r="C14" i="71"/>
  <c r="N66" i="71"/>
  <c r="N65" i="71"/>
  <c r="E11" i="71"/>
  <c r="E10" i="71" s="1"/>
  <c r="E9" i="71" s="1"/>
  <c r="E8" i="71" s="1"/>
  <c r="E7" i="71" s="1"/>
  <c r="E6" i="71" s="1"/>
  <c r="E5" i="71" s="1"/>
  <c r="V12" i="71"/>
  <c r="AC7" i="34"/>
  <c r="V49" i="34" s="1"/>
  <c r="I49" i="34" s="1"/>
  <c r="I53" i="34" s="1"/>
  <c r="J53" i="34" s="1"/>
  <c r="U7" i="34"/>
  <c r="AA7" i="34"/>
  <c r="R49" i="34" s="1"/>
  <c r="E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F69" i="67"/>
  <c r="C47" i="11"/>
  <c r="D45" i="11" s="1"/>
  <c r="E6" i="3"/>
  <c r="K21" i="6"/>
  <c r="S8" i="1"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E65" i="39"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B4" i="52" s="1"/>
  <c r="B43" i="72" s="1"/>
  <c r="D3" i="37"/>
  <c r="AB10" i="39"/>
  <c r="W10" i="40"/>
  <c r="AC10" i="39"/>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J24" i="67"/>
  <c r="C53" i="67"/>
  <c r="C48" i="67" s="1"/>
  <c r="C10" i="67"/>
  <c r="C5" i="67" s="1"/>
  <c r="C38" i="67" s="1"/>
  <c r="C53" i="15"/>
  <c r="C48" i="15" s="1"/>
  <c r="C66" i="15" s="1"/>
  <c r="C10" i="15"/>
  <c r="C5" i="15" s="1"/>
  <c r="C38" i="15" s="1"/>
  <c r="F25" i="12"/>
  <c r="F22" i="69"/>
  <c r="F41" i="69" s="1"/>
  <c r="F24" i="67"/>
  <c r="C24" i="67" s="1"/>
  <c r="F22" i="11"/>
  <c r="F22" i="68"/>
  <c r="F24" i="15"/>
  <c r="C24" i="15" s="1"/>
  <c r="AE8" i="1"/>
  <c r="M27" i="67"/>
  <c r="F41" i="15"/>
  <c r="C17" i="81"/>
  <c r="M27" i="80"/>
  <c r="M27" i="15"/>
  <c r="T32" i="71" l="1"/>
  <c r="D32" i="71"/>
  <c r="E50" i="43"/>
  <c r="B48" i="43" s="1"/>
  <c r="C28" i="43" s="1"/>
  <c r="B14" i="74"/>
  <c r="B1" i="74" s="1"/>
  <c r="U10" i="40"/>
  <c r="R50" i="34"/>
  <c r="C49" i="34" s="1"/>
  <c r="G54" i="34"/>
  <c r="H54" i="34" s="1"/>
  <c r="C48" i="81"/>
  <c r="C66" i="81" s="1"/>
  <c r="J24" i="80"/>
  <c r="C48" i="80"/>
  <c r="C60" i="80" s="1"/>
  <c r="AA10" i="40"/>
  <c r="E8" i="70"/>
  <c r="N36" i="43"/>
  <c r="O36" i="43"/>
  <c r="L37" i="43"/>
  <c r="M37" i="43" s="1"/>
  <c r="C38" i="81"/>
  <c r="C38" i="80"/>
  <c r="M36" i="43"/>
  <c r="Q36" i="43"/>
  <c r="C24" i="80"/>
  <c r="D116" i="43"/>
  <c r="D14" i="71"/>
  <c r="C13" i="71"/>
  <c r="M21" i="6"/>
  <c r="I21" i="6" s="1"/>
  <c r="S21" i="6" s="1"/>
  <c r="E6" i="70"/>
  <c r="F69" i="15"/>
  <c r="M24" i="6"/>
  <c r="I24" i="6" s="1"/>
  <c r="S24" i="6" s="1"/>
  <c r="S11" i="1"/>
  <c r="E11" i="70" s="1"/>
  <c r="M22" i="6"/>
  <c r="I22" i="6" s="1"/>
  <c r="S22" i="6" s="1"/>
  <c r="S9" i="1"/>
  <c r="AQ8" i="1"/>
  <c r="T8" i="1"/>
  <c r="AR8" i="1"/>
  <c r="M20" i="6"/>
  <c r="I20" i="6" s="1"/>
  <c r="S20" i="6" s="1"/>
  <c r="S7" i="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D26" i="6"/>
  <c r="D8" i="6"/>
  <c r="D14" i="6"/>
  <c r="D6" i="6"/>
  <c r="D9" i="6"/>
  <c r="D10" i="6"/>
  <c r="L19" i="9"/>
  <c r="D29" i="6"/>
  <c r="H25" i="6"/>
  <c r="H22" i="6"/>
  <c r="H21" i="6"/>
  <c r="H24" i="6"/>
  <c r="D19" i="6"/>
  <c r="C18" i="4"/>
  <c r="D23" i="6"/>
  <c r="D5" i="6"/>
  <c r="D12" i="6"/>
  <c r="D11" i="6"/>
  <c r="D13" i="6"/>
  <c r="D28" i="6"/>
  <c r="D30" i="6" s="1"/>
  <c r="E61" i="40"/>
  <c r="H26" i="6"/>
  <c r="P14" i="1"/>
  <c r="P16" i="1" s="1"/>
  <c r="C11" i="12" s="1"/>
  <c r="N16" i="1"/>
  <c r="L16" i="1"/>
  <c r="H67" i="39"/>
  <c r="G69" i="39"/>
  <c r="E54" i="34"/>
  <c r="F54" i="34" s="1"/>
  <c r="E53" i="34"/>
  <c r="F53" i="34" s="1"/>
  <c r="R49" i="33"/>
  <c r="E48" i="33"/>
  <c r="I53" i="33" s="1"/>
  <c r="J53" i="33" s="1"/>
  <c r="I52" i="33"/>
  <c r="J52" i="33" s="1"/>
  <c r="E40" i="36"/>
  <c r="F40" i="36" s="1"/>
  <c r="E41" i="36"/>
  <c r="F41" i="36" s="1"/>
  <c r="I54" i="34"/>
  <c r="J54" i="34" s="1"/>
  <c r="G52" i="33"/>
  <c r="H52" i="33" s="1"/>
  <c r="G53" i="33"/>
  <c r="H53" i="33" s="1"/>
  <c r="H48" i="35"/>
  <c r="I41" i="36"/>
  <c r="J41" i="36" s="1"/>
  <c r="R43" i="37"/>
  <c r="E42" i="37"/>
  <c r="G63" i="40"/>
  <c r="F65" i="40"/>
  <c r="C37" i="36"/>
  <c r="C36" i="36"/>
  <c r="G58" i="21"/>
  <c r="F41" i="68"/>
  <c r="C60" i="15"/>
  <c r="C26" i="69"/>
  <c r="D22" i="69" s="1"/>
  <c r="C44" i="69"/>
  <c r="D41" i="69" s="1"/>
  <c r="C44" i="68"/>
  <c r="D41" i="68" s="1"/>
  <c r="C26" i="68"/>
  <c r="D22" i="68" s="1"/>
  <c r="C26" i="12"/>
  <c r="D25" i="12" s="1"/>
  <c r="C44" i="11"/>
  <c r="D41" i="11" s="1"/>
  <c r="C23" i="11"/>
  <c r="C24" i="11"/>
  <c r="C25" i="11"/>
  <c r="C26" i="11"/>
  <c r="D22" i="11" s="1"/>
  <c r="C66" i="67"/>
  <c r="C60" i="67"/>
  <c r="D10" i="69"/>
  <c r="C34" i="69"/>
  <c r="D10" i="68"/>
  <c r="C17" i="80"/>
  <c r="C14" i="81"/>
  <c r="C17" i="15"/>
  <c r="F41" i="81"/>
  <c r="C14" i="67"/>
  <c r="C17" i="67"/>
  <c r="B2" i="74" l="1"/>
  <c r="C14" i="74"/>
  <c r="T15" i="43"/>
  <c r="V15" i="43" s="1"/>
  <c r="T11" i="43"/>
  <c r="V11" i="43" s="1"/>
  <c r="T7" i="43"/>
  <c r="V7" i="43" s="1"/>
  <c r="T14" i="43"/>
  <c r="V14" i="43" s="1"/>
  <c r="T10" i="43"/>
  <c r="V10" i="43" s="1"/>
  <c r="T4" i="43"/>
  <c r="V4" i="43" s="1"/>
  <c r="T2" i="43"/>
  <c r="V2" i="43" s="1"/>
  <c r="T5" i="43"/>
  <c r="V5" i="43" s="1"/>
  <c r="C40" i="43"/>
  <c r="C41" i="43"/>
  <c r="C39" i="43"/>
  <c r="C38" i="43"/>
  <c r="C42" i="43"/>
  <c r="T13" i="43"/>
  <c r="V13" i="43" s="1"/>
  <c r="T9" i="43"/>
  <c r="V9" i="43" s="1"/>
  <c r="T16" i="43"/>
  <c r="V16" i="43" s="1"/>
  <c r="T12" i="43"/>
  <c r="V12" i="43" s="1"/>
  <c r="T8" i="43"/>
  <c r="V8" i="43" s="1"/>
  <c r="T3" i="43"/>
  <c r="V3" i="43" s="1"/>
  <c r="T6" i="43"/>
  <c r="V6" i="43" s="1"/>
  <c r="C33" i="43"/>
  <c r="C37" i="43"/>
  <c r="C50" i="34"/>
  <c r="C66" i="80"/>
  <c r="C60" i="81"/>
  <c r="P37" i="43"/>
  <c r="C15" i="81"/>
  <c r="C18" i="81"/>
  <c r="E7" i="70"/>
  <c r="F69" i="81"/>
  <c r="J29" i="81"/>
  <c r="N37" i="43"/>
  <c r="Q37" i="43"/>
  <c r="O37" i="43"/>
  <c r="C12" i="71"/>
  <c r="D13" i="71"/>
  <c r="C18" i="67"/>
  <c r="C15" i="67"/>
  <c r="H23" i="6"/>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D19" i="68"/>
  <c r="H69" i="39"/>
  <c r="I67" i="39"/>
  <c r="G65" i="40"/>
  <c r="H63" i="40"/>
  <c r="C43" i="37"/>
  <c r="C42" i="37"/>
  <c r="I48" i="35"/>
  <c r="C48" i="33"/>
  <c r="C49" i="33"/>
  <c r="R24" i="31" s="1"/>
  <c r="H58" i="21"/>
  <c r="E47" i="37"/>
  <c r="F47" i="37" s="1"/>
  <c r="E46" i="37"/>
  <c r="F46" i="37" s="1"/>
  <c r="I47" i="37"/>
  <c r="J47" i="37" s="1"/>
  <c r="E53" i="33"/>
  <c r="F53" i="33" s="1"/>
  <c r="E52" i="33"/>
  <c r="F52" i="33" s="1"/>
  <c r="C33" i="15"/>
  <c r="C22" i="11"/>
  <c r="C31" i="11" s="1"/>
  <c r="C33" i="67"/>
  <c r="J19" i="67"/>
  <c r="C34" i="68"/>
  <c r="C14" i="15"/>
  <c r="C14" i="80"/>
  <c r="E37" i="43" l="1"/>
  <c r="G37" i="43"/>
  <c r="I37" i="43" s="1"/>
  <c r="E38" i="43"/>
  <c r="G38" i="43"/>
  <c r="I38" i="43" s="1"/>
  <c r="E41" i="43"/>
  <c r="G41" i="43"/>
  <c r="I41" i="43" s="1"/>
  <c r="C34" i="43"/>
  <c r="E34" i="43" s="1"/>
  <c r="C31" i="43" s="1"/>
  <c r="E33" i="43"/>
  <c r="E42" i="43"/>
  <c r="G42" i="43"/>
  <c r="I42" i="43" s="1"/>
  <c r="E39" i="43"/>
  <c r="G39" i="43"/>
  <c r="I39" i="43" s="1"/>
  <c r="E40" i="43"/>
  <c r="G40" i="43"/>
  <c r="I40" i="43" s="1"/>
  <c r="S24" i="31"/>
  <c r="R26" i="31"/>
  <c r="S26" i="31" s="1"/>
  <c r="R25" i="31"/>
  <c r="S25" i="31" s="1"/>
  <c r="R27" i="31"/>
  <c r="S27" i="31" s="1"/>
  <c r="C19" i="81"/>
  <c r="C20" i="81" s="1"/>
  <c r="C26" i="81" s="1"/>
  <c r="C15" i="80"/>
  <c r="C18" i="80"/>
  <c r="C18" i="12"/>
  <c r="C11" i="71"/>
  <c r="T12" i="71"/>
  <c r="D12" i="71"/>
  <c r="U12" i="71" s="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I6" i="6"/>
  <c r="C23" i="69"/>
  <c r="I69" i="39"/>
  <c r="J67" i="39"/>
  <c r="I63" i="40"/>
  <c r="H65" i="40"/>
  <c r="I58" i="21"/>
  <c r="J58" i="21" s="1"/>
  <c r="K58" i="21" s="1"/>
  <c r="L58" i="21" s="1"/>
  <c r="M58" i="21" s="1"/>
  <c r="N58" i="21" s="1"/>
  <c r="O58" i="21" s="1"/>
  <c r="H7" i="21" s="1"/>
  <c r="J7" i="21"/>
  <c r="F7" i="21"/>
  <c r="J48" i="35"/>
  <c r="C30" i="43" l="1"/>
  <c r="S22" i="31"/>
  <c r="C19" i="80"/>
  <c r="C20" i="80" s="1"/>
  <c r="C26" i="80" s="1"/>
  <c r="C23" i="81"/>
  <c r="C29" i="81" s="1"/>
  <c r="C57" i="81" s="1"/>
  <c r="C64" i="81" s="1"/>
  <c r="C21" i="12"/>
  <c r="C22" i="12" s="1"/>
  <c r="C10" i="71"/>
  <c r="D11" i="71"/>
  <c r="C23" i="67"/>
  <c r="C29" i="67" s="1"/>
  <c r="J59" i="67" s="1"/>
  <c r="J60" i="67" s="1"/>
  <c r="Q48" i="67" s="1"/>
  <c r="C19" i="15"/>
  <c r="C20" i="15" s="1"/>
  <c r="C26" i="15" s="1"/>
  <c r="C33" i="68"/>
  <c r="C39" i="68" s="1"/>
  <c r="C38" i="11"/>
  <c r="C35" i="11"/>
  <c r="H27" i="6"/>
  <c r="R19" i="6"/>
  <c r="C20" i="69"/>
  <c r="C28" i="69" s="1"/>
  <c r="C27" i="69" s="1"/>
  <c r="C24" i="68"/>
  <c r="C39" i="69"/>
  <c r="C43" i="69" s="1"/>
  <c r="C42" i="69"/>
  <c r="J69" i="39"/>
  <c r="K67" i="39"/>
  <c r="U7" i="21"/>
  <c r="AB7" i="21"/>
  <c r="T48" i="21" s="1"/>
  <c r="G48" i="21" s="1"/>
  <c r="S7" i="21"/>
  <c r="AA7" i="21"/>
  <c r="R48" i="21" s="1"/>
  <c r="J63" i="40"/>
  <c r="I65" i="40"/>
  <c r="K48" i="35"/>
  <c r="L48" i="35" s="1"/>
  <c r="M48" i="35" s="1"/>
  <c r="N48" i="35" s="1"/>
  <c r="O48" i="35" s="1"/>
  <c r="H7" i="35" s="1"/>
  <c r="J7" i="35"/>
  <c r="AC7" i="21"/>
  <c r="V48" i="21" s="1"/>
  <c r="I48" i="21" s="1"/>
  <c r="W7" i="21"/>
  <c r="E6" i="76"/>
  <c r="E2" i="76" l="1"/>
  <c r="B2" i="43"/>
  <c r="R22" i="31"/>
  <c r="B20" i="31"/>
  <c r="B21" i="31" s="1"/>
  <c r="J14" i="81"/>
  <c r="J13" i="81" s="1"/>
  <c r="J23" i="81" s="1"/>
  <c r="Q49" i="81"/>
  <c r="C13" i="81"/>
  <c r="C75" i="81" s="1"/>
  <c r="J59" i="81"/>
  <c r="J60" i="81" s="1"/>
  <c r="L46" i="81" s="1"/>
  <c r="C36" i="81"/>
  <c r="C23" i="80"/>
  <c r="C29" i="80" s="1"/>
  <c r="C30" i="12"/>
  <c r="C28" i="12" s="1"/>
  <c r="C27" i="12"/>
  <c r="C25" i="12" s="1"/>
  <c r="C9" i="71"/>
  <c r="D10"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F35" i="15"/>
  <c r="M21" i="81"/>
  <c r="F35" i="81"/>
  <c r="B6" i="76"/>
  <c r="F35" i="80"/>
  <c r="M21" i="15"/>
  <c r="M21" i="67"/>
  <c r="M21" i="80"/>
  <c r="B2" i="76" l="1"/>
  <c r="B3" i="76" s="1"/>
  <c r="B3" i="43"/>
  <c r="J22" i="81"/>
  <c r="C37" i="81"/>
  <c r="Q70" i="81"/>
  <c r="C56" i="81"/>
  <c r="C65" i="81" s="1"/>
  <c r="Q48" i="81"/>
  <c r="C36" i="80"/>
  <c r="C13" i="80"/>
  <c r="J59" i="80"/>
  <c r="J60" i="80" s="1"/>
  <c r="C57" i="80"/>
  <c r="C64" i="80" s="1"/>
  <c r="J14" i="80"/>
  <c r="Q49" i="80"/>
  <c r="J20" i="81"/>
  <c r="J17" i="81" s="1"/>
  <c r="F63" i="81"/>
  <c r="C62" i="81" s="1"/>
  <c r="C59" i="81" s="1"/>
  <c r="C34" i="81"/>
  <c r="C31" i="81" s="1"/>
  <c r="C30" i="81" s="1"/>
  <c r="C39" i="81" s="1"/>
  <c r="J20" i="80"/>
  <c r="J17" i="80" s="1"/>
  <c r="F63" i="80"/>
  <c r="C62" i="80" s="1"/>
  <c r="C59" i="80" s="1"/>
  <c r="C34" i="80"/>
  <c r="C31" i="80" s="1"/>
  <c r="C32" i="12"/>
  <c r="B2" i="12" s="1"/>
  <c r="B3" i="12" s="1"/>
  <c r="C8" i="71"/>
  <c r="D9" i="7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J16" i="81" l="1"/>
  <c r="J25" i="81" s="1"/>
  <c r="C58" i="81"/>
  <c r="C67" i="81" s="1"/>
  <c r="C68" i="81" s="1"/>
  <c r="C71" i="81" s="1"/>
  <c r="C75" i="80"/>
  <c r="C37" i="80"/>
  <c r="C30" i="80" s="1"/>
  <c r="C39" i="80" s="1"/>
  <c r="Q70" i="80"/>
  <c r="C56" i="80"/>
  <c r="C65" i="80" s="1"/>
  <c r="C58" i="80" s="1"/>
  <c r="C67" i="80" s="1"/>
  <c r="C68" i="80" s="1"/>
  <c r="C71" i="80" s="1"/>
  <c r="J13" i="80"/>
  <c r="J23" i="80" s="1"/>
  <c r="J22" i="80"/>
  <c r="Q48" i="80"/>
  <c r="L46" i="80"/>
  <c r="Q69" i="81"/>
  <c r="Q68" i="81" s="1"/>
  <c r="C40" i="81"/>
  <c r="C80" i="81"/>
  <c r="C79" i="81" s="1"/>
  <c r="C7" i="71"/>
  <c r="D8" i="71"/>
  <c r="C58" i="67"/>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L51" i="80"/>
  <c r="L51" i="81"/>
  <c r="D2" i="21"/>
  <c r="J16" i="80" l="1"/>
  <c r="J25" i="80" s="1"/>
  <c r="C40" i="80"/>
  <c r="B2" i="80" s="1"/>
  <c r="B3" i="80" s="1"/>
  <c r="Q69" i="80"/>
  <c r="Q68" i="80" s="1"/>
  <c r="C80" i="80"/>
  <c r="C79" i="80" s="1"/>
  <c r="Q67" i="81"/>
  <c r="Q47" i="81"/>
  <c r="Q53" i="81" s="1"/>
  <c r="B2" i="81"/>
  <c r="B3" i="81" s="1"/>
  <c r="Q65" i="81"/>
  <c r="Q75" i="81" s="1"/>
  <c r="Q56" i="81"/>
  <c r="Q62" i="81" s="1"/>
  <c r="C43" i="81"/>
  <c r="C83" i="81"/>
  <c r="C82" i="81" s="1"/>
  <c r="C46" i="81"/>
  <c r="Q67" i="80"/>
  <c r="D7" i="71"/>
  <c r="C6" i="71"/>
  <c r="C80" i="67"/>
  <c r="C79" i="67" s="1"/>
  <c r="C40" i="67"/>
  <c r="C45" i="67" s="1"/>
  <c r="C56" i="11"/>
  <c r="C57" i="11" s="1"/>
  <c r="B2" i="21"/>
  <c r="B3" i="21" s="1"/>
  <c r="J16" i="15"/>
  <c r="J25" i="15" s="1"/>
  <c r="J26" i="15" s="1"/>
  <c r="J29" i="15" s="1"/>
  <c r="C58" i="15"/>
  <c r="C67" i="15" s="1"/>
  <c r="C68" i="15" s="1"/>
  <c r="C71" i="15" s="1"/>
  <c r="C30" i="15"/>
  <c r="C39" i="15" s="1"/>
  <c r="O67" i="39"/>
  <c r="N69" i="39"/>
  <c r="C39" i="35"/>
  <c r="C38" i="35"/>
  <c r="N63" i="40"/>
  <c r="M65" i="40"/>
  <c r="E43" i="35"/>
  <c r="F43" i="35" s="1"/>
  <c r="E42" i="35"/>
  <c r="F42" i="35" s="1"/>
  <c r="I43" i="35"/>
  <c r="J43" i="35" s="1"/>
  <c r="D2" i="33"/>
  <c r="L51" i="67"/>
  <c r="O69" i="39" l="1"/>
  <c r="P67" i="39"/>
  <c r="Q69" i="15"/>
  <c r="Q68" i="15" s="1"/>
  <c r="H39" i="15"/>
  <c r="Q47" i="80"/>
  <c r="Q53" i="80" s="1"/>
  <c r="C43" i="80"/>
  <c r="C46" i="80"/>
  <c r="Q65" i="80"/>
  <c r="Q75" i="80" s="1"/>
  <c r="C83" i="80"/>
  <c r="C82" i="80" s="1"/>
  <c r="Q56" i="80"/>
  <c r="Q62" i="80" s="1"/>
  <c r="L57" i="67"/>
  <c r="L60" i="67" s="1"/>
  <c r="L46" i="67" s="1"/>
  <c r="D2" i="67" s="1"/>
  <c r="B2" i="67" s="1"/>
  <c r="Q67" i="67"/>
  <c r="D6" i="71"/>
  <c r="C5" i="71"/>
  <c r="D5" i="71" s="1"/>
  <c r="Q65" i="67"/>
  <c r="B2" i="33"/>
  <c r="B3" i="33" s="1"/>
  <c r="C83" i="67"/>
  <c r="C82" i="67" s="1"/>
  <c r="Q47" i="67"/>
  <c r="Q53" i="67" s="1"/>
  <c r="C46" i="67"/>
  <c r="Q56" i="67"/>
  <c r="C43" i="67"/>
  <c r="C80" i="15"/>
  <c r="C79" i="15" s="1"/>
  <c r="C40" i="15"/>
  <c r="C46" i="15" s="1"/>
  <c r="O63" i="40"/>
  <c r="O65" i="40" s="1"/>
  <c r="N65" i="40"/>
  <c r="L51" i="15"/>
  <c r="D2" i="37"/>
  <c r="D2" i="35"/>
  <c r="D2" i="36"/>
  <c r="D2" i="34"/>
  <c r="Q67" i="39" l="1"/>
  <c r="P69" i="39"/>
  <c r="Q57" i="67"/>
  <c r="Q62" i="67" s="1"/>
  <c r="Q66" i="67"/>
  <c r="Q75" i="67" s="1"/>
  <c r="M24" i="43"/>
  <c r="B3" i="67"/>
  <c r="L57" i="15"/>
  <c r="L60" i="15" s="1"/>
  <c r="Q57" i="15" s="1"/>
  <c r="Q67" i="15"/>
  <c r="B2" i="36"/>
  <c r="B3" i="36" s="1"/>
  <c r="B2" i="35"/>
  <c r="B3" i="35" s="1"/>
  <c r="M3" i="35"/>
  <c r="B2" i="37"/>
  <c r="B3" i="37" s="1"/>
  <c r="B2" i="34"/>
  <c r="Q47" i="15"/>
  <c r="Q53" i="15" s="1"/>
  <c r="C43" i="15"/>
  <c r="Q65" i="15"/>
  <c r="C83" i="15"/>
  <c r="C82" i="15" s="1"/>
  <c r="Q56" i="15"/>
  <c r="J7" i="40"/>
  <c r="F7" i="40"/>
  <c r="H7" i="40"/>
  <c r="AO12" i="1"/>
  <c r="AO11" i="1"/>
  <c r="AO9" i="1"/>
  <c r="AO8" i="1"/>
  <c r="AO7" i="1"/>
  <c r="AO10" i="1"/>
  <c r="R67" i="39" l="1"/>
  <c r="Q69" i="39"/>
  <c r="B3" i="34"/>
  <c r="L46" i="15"/>
  <c r="B2" i="15" s="1"/>
  <c r="Q66" i="15"/>
  <c r="Q75" i="15" s="1"/>
  <c r="Q62" i="15"/>
  <c r="B9" i="70"/>
  <c r="B11" i="70"/>
  <c r="B7" i="70"/>
  <c r="B10" i="70"/>
  <c r="B12" i="70"/>
  <c r="B8" i="70"/>
  <c r="U7" i="40"/>
  <c r="AB7" i="40"/>
  <c r="T42" i="40" s="1"/>
  <c r="G42" i="40" s="1"/>
  <c r="AA7" i="40"/>
  <c r="R42" i="40" s="1"/>
  <c r="S7" i="40"/>
  <c r="AC7" i="40"/>
  <c r="V42" i="40" s="1"/>
  <c r="I42" i="40" s="1"/>
  <c r="W7" i="40"/>
  <c r="AO6" i="1"/>
  <c r="S67" i="39" l="1"/>
  <c r="R69" i="39"/>
  <c r="B6" i="70"/>
  <c r="B2" i="70" s="1"/>
  <c r="D20" i="70" s="1"/>
  <c r="D21" i="70" s="1"/>
  <c r="D22" i="70" s="1"/>
  <c r="B3" i="15"/>
  <c r="I46" i="40"/>
  <c r="J46" i="40" s="1"/>
  <c r="R43" i="40"/>
  <c r="E42" i="40"/>
  <c r="G47" i="40"/>
  <c r="H47" i="40" s="1"/>
  <c r="G46" i="40"/>
  <c r="H46" i="40" s="1"/>
  <c r="D19" i="9"/>
  <c r="T67" i="39" l="1"/>
  <c r="S69" i="39"/>
  <c r="D21" i="9"/>
  <c r="D102" i="9"/>
  <c r="B3" i="70"/>
  <c r="C42" i="40"/>
  <c r="C43" i="40"/>
  <c r="E47" i="40"/>
  <c r="F47" i="40" s="1"/>
  <c r="E46" i="40"/>
  <c r="F46" i="40" s="1"/>
  <c r="I47" i="40"/>
  <c r="J47" i="40" s="1"/>
  <c r="D20" i="9"/>
  <c r="U67" i="39" l="1"/>
  <c r="T69" i="39"/>
  <c r="D103" i="9"/>
  <c r="B58" i="40"/>
  <c r="F58" i="40" s="1"/>
  <c r="B54" i="40"/>
  <c r="F54" i="40" s="1"/>
  <c r="B53" i="40"/>
  <c r="F53" i="40" s="1"/>
  <c r="B59" i="40"/>
  <c r="F59" i="40" s="1"/>
  <c r="B52" i="40"/>
  <c r="F52" i="40" s="1"/>
  <c r="B56" i="40"/>
  <c r="F56" i="40" s="1"/>
  <c r="B60" i="40"/>
  <c r="F60" i="40" s="1"/>
  <c r="B57" i="40"/>
  <c r="F57" i="40" s="1"/>
  <c r="B51" i="40"/>
  <c r="F51" i="40" s="1"/>
  <c r="F61" i="40"/>
  <c r="B2" i="40" s="1"/>
  <c r="B3" i="40" s="1"/>
  <c r="V67" i="39" l="1"/>
  <c r="U69" i="39"/>
  <c r="W67" i="39" l="1"/>
  <c r="V69" i="39"/>
  <c r="X67" i="39" l="1"/>
  <c r="W69" i="39"/>
  <c r="Y67" i="39" l="1"/>
  <c r="X69" i="39"/>
  <c r="Z67" i="39" l="1"/>
  <c r="Y69" i="39"/>
  <c r="AA67" i="39" l="1"/>
  <c r="AA69" i="39" s="1"/>
  <c r="Z69" i="39"/>
  <c r="F7" i="39" l="1"/>
  <c r="H7" i="39"/>
  <c r="J7" i="39"/>
  <c r="W7" i="39" l="1"/>
  <c r="AC7" i="39"/>
  <c r="V47" i="39" s="1"/>
  <c r="I47" i="39" s="1"/>
  <c r="AB7" i="39"/>
  <c r="T47" i="39" s="1"/>
  <c r="G47" i="39" s="1"/>
  <c r="U7" i="39"/>
  <c r="S7" i="39"/>
  <c r="AA7" i="39"/>
  <c r="R47" i="39" s="1"/>
  <c r="E47" i="39" l="1"/>
  <c r="R48" i="39"/>
  <c r="I52" i="39"/>
  <c r="J52" i="39" s="1"/>
  <c r="I51" i="39"/>
  <c r="J51" i="39" s="1"/>
  <c r="G52" i="39"/>
  <c r="H52" i="39" s="1"/>
  <c r="G51" i="39"/>
  <c r="H51" i="39" s="1"/>
  <c r="C47" i="39" l="1"/>
  <c r="C48" i="39"/>
  <c r="E51" i="39"/>
  <c r="F51" i="39" s="1"/>
  <c r="E52" i="39"/>
  <c r="F52" i="39" s="1"/>
  <c r="B56" i="39" l="1"/>
  <c r="F56" i="39" s="1"/>
  <c r="F65" i="39" s="1"/>
  <c r="B2" i="39" s="1"/>
  <c r="B62" i="39"/>
  <c r="F62" i="39" s="1"/>
  <c r="B57" i="39"/>
  <c r="F57" i="39" s="1"/>
  <c r="B59" i="39"/>
  <c r="F59" i="39" s="1"/>
  <c r="B61" i="39"/>
  <c r="F61" i="39" s="1"/>
  <c r="B60" i="39"/>
  <c r="F60" i="39" s="1"/>
  <c r="B63" i="39"/>
  <c r="F63" i="39" s="1"/>
  <c r="B58" i="39"/>
  <c r="F58" i="39" s="1"/>
  <c r="B64" i="39"/>
  <c r="F64" i="39" s="1"/>
  <c r="C6" i="68" l="1"/>
  <c r="C7" i="68" s="1"/>
  <c r="C5" i="68" s="1"/>
  <c r="B3" i="39"/>
  <c r="C23" i="68" l="1"/>
  <c r="C20" i="68"/>
  <c r="C25" i="68" s="1"/>
  <c r="C22" i="68" s="1"/>
  <c r="C28" i="68"/>
  <c r="C27" i="68" s="1"/>
  <c r="C31" i="68" s="1"/>
  <c r="C52" i="68" s="1"/>
  <c r="B2" i="68" l="1"/>
  <c r="C57" i="68"/>
  <c r="C56" i="68" s="1"/>
  <c r="C19" i="9"/>
  <c r="C21" i="9" l="1"/>
  <c r="G19" i="9"/>
  <c r="G21" i="9" s="1"/>
  <c r="C102" i="9"/>
  <c r="D22" i="9"/>
  <c r="B3" i="68"/>
  <c r="C20" i="9"/>
  <c r="G20" i="9" l="1"/>
  <c r="C32" i="9" s="1"/>
  <c r="C103" i="9"/>
  <c r="H118" i="9" l="1"/>
  <c r="C35" i="9"/>
  <c r="F118" i="9" s="1"/>
  <c r="C34" i="9" l="1"/>
  <c r="D118" i="9" s="1"/>
  <c r="F119" i="9"/>
  <c r="F5" i="52" s="1"/>
  <c r="B53" i="72" s="1"/>
  <c r="F4" i="52"/>
  <c r="B51" i="72" s="1"/>
  <c r="G118" i="9"/>
  <c r="G4" i="52" s="1"/>
  <c r="B52" i="72" s="1"/>
  <c r="D4" i="52"/>
  <c r="B47" i="72" s="1"/>
  <c r="D119" i="9"/>
  <c r="D5" i="52" s="1"/>
  <c r="B49" i="72" s="1"/>
  <c r="I118" i="9"/>
  <c r="D14" i="74"/>
  <c r="H4" i="52"/>
  <c r="C104" i="9"/>
  <c r="H119" i="9"/>
  <c r="H5" i="52" s="1"/>
  <c r="H101" i="9"/>
  <c r="I4" i="52" l="1"/>
  <c r="H102" i="9"/>
  <c r="D7" i="53" s="1"/>
  <c r="B21" i="72" s="1"/>
  <c r="C105" i="9"/>
  <c r="E118" i="9"/>
  <c r="E4" i="52" s="1"/>
  <c r="B48" i="72" s="1"/>
  <c r="M48" i="9"/>
  <c r="D45" i="9"/>
  <c r="D5" i="53"/>
  <c r="H107" i="9"/>
  <c r="G14" i="74"/>
  <c r="B6" i="74" s="1"/>
  <c r="F14" i="74"/>
  <c r="E14" i="74"/>
  <c r="B5" i="74"/>
  <c r="C5" i="74" l="1"/>
  <c r="D5" i="74"/>
  <c r="D13" i="53"/>
  <c r="M49" i="9"/>
  <c r="D122" i="9"/>
  <c r="H108" i="9"/>
  <c r="D15" i="53" s="1"/>
  <c r="B31" i="72" s="1"/>
  <c r="D52" i="9"/>
  <c r="C72" i="9"/>
  <c r="D55" i="9"/>
  <c r="M53" i="9" s="1"/>
  <c r="C93" i="9"/>
  <c r="C86" i="9" s="1"/>
  <c r="C85" i="9"/>
  <c r="D53" i="9"/>
  <c r="C78" i="9"/>
  <c r="C73" i="9" s="1"/>
  <c r="C64" i="9"/>
  <c r="C63" i="9" s="1"/>
  <c r="C67" i="9" s="1"/>
  <c r="D6" i="74"/>
  <c r="C6" i="74"/>
  <c r="B20" i="72"/>
  <c r="D6" i="53"/>
  <c r="B22" i="72" s="1"/>
  <c r="C79" i="9" l="1"/>
  <c r="L67" i="9"/>
  <c r="M67" i="9" s="1"/>
  <c r="L63" i="9"/>
  <c r="M63" i="9" s="1"/>
  <c r="L64" i="9"/>
  <c r="M64" i="9" s="1"/>
  <c r="L68" i="9"/>
  <c r="M68" i="9" s="1"/>
  <c r="L66" i="9"/>
  <c r="M66" i="9" s="1"/>
  <c r="L65" i="9"/>
  <c r="M65" i="9" s="1"/>
  <c r="D59" i="9"/>
  <c r="M55" i="9" s="1"/>
  <c r="C68" i="9"/>
  <c r="D54" i="9" s="1"/>
  <c r="C95" i="9"/>
  <c r="D8" i="52"/>
  <c r="D123" i="9"/>
  <c r="D9" i="52" s="1"/>
  <c r="D14" i="53"/>
  <c r="B32" i="72" s="1"/>
  <c r="B30" i="72"/>
  <c r="C96" i="9" l="1"/>
  <c r="E96" i="9" s="1"/>
  <c r="E97" i="9" s="1"/>
  <c r="M69" i="9"/>
  <c r="N69" i="9" s="1"/>
  <c r="C80" i="9"/>
  <c r="E80" i="9" s="1"/>
  <c r="E81" i="9" s="1"/>
  <c r="C81" i="9" l="1"/>
  <c r="C97" i="9"/>
  <c r="D58" i="9" s="1"/>
  <c r="D56" i="9" s="1"/>
  <c r="M54" i="9" s="1"/>
  <c r="N57" i="9" s="1"/>
  <c r="N58" i="9" l="1"/>
  <c r="P57"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5.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7.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<sst xmlns="http://schemas.openxmlformats.org/spreadsheetml/2006/main" count="9111" uniqueCount="3642">
  <si>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</si>
  <si>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</si>
  <si>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</si>
  <si>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</si>
  <si>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</si>
  <si>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</si>
  <si>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</si>
  <si>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</si>
  <si>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</si>
  <si>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</si>
  <si>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</si>
  <si>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</si>
  <si>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</si>
  <si>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</si>
  <si>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</si>
  <si>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</si>
  <si>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</si>
  <si>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</si>
  <si>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</si>
  <si>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</si>
  <si>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</si>
  <si>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</si>
  <si>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</si>
  <si>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</si>
  <si>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</si>
  <si>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</si>
  <si>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</si>
  <si>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</si>
  <si>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</si>
  <si>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</si>
  <si>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</si>
  <si>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</si>
  <si>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</si>
  <si>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</si>
  <si>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</si>
  <si>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</si>
  <si>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</si>
  <si>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</si>
  <si>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</si>
  <si>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</si>
  <si>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</si>
  <si>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</si>
  <si>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</si>
  <si>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</si>
  <si>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</si>
  <si>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</si>
  <si>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</si>
  <si>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</si>
  <si>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</si>
  <si>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</si>
  <si>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</si>
  <si>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</si>
  <si>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</si>
  <si>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</si>
  <si>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</si>
  <si>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</si>
  <si>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</si>
  <si>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</si>
  <si>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</si>
  <si>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</si>
  <si>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</si>
  <si>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</si>
  <si>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</si>
  <si>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</si>
  <si>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</si>
  <si>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</si>
  <si>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</si>
  <si>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</si>
  <si>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</si>
  <si>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</si>
  <si>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</si>
  <si>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</si>
  <si>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</si>
  <si>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</si>
  <si>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</si>
  <si>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</si>
  <si>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</si>
  <si>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</si>
  <si>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</si>
  <si>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</si>
  <si>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</si>
  <si>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</si>
  <si>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</si>
  <si>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</si>
  <si>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</si>
  <si>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</si>
  <si>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</si>
  <si>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</si>
  <si>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</si>
  <si>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</si>
  <si>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</si>
  <si>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</si>
  <si>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</si>
  <si>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</si>
  <si>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</si>
  <si>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</si>
  <si>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</si>
  <si>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</si>
  <si>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</si>
  <si>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</si>
  <si>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</si>
  <si>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</si>
  <si>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</si>
  <si>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</si>
  <si>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</si>
  <si>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</si>
  <si>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</si>
  <si>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</si>
  <si>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</si>
  <si>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</si>
  <si>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</si>
  <si>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</si>
  <si>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</si>
  <si>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</si>
  <si>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</si>
  <si>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</si>
  <si>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</si>
  <si>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</si>
  <si>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</si>
  <si>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</si>
  <si>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</si>
  <si>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</si>
  <si>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</si>
  <si>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</si>
  <si>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</si>
  <si>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</si>
  <si>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</si>
  <si>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</si>
  <si>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</si>
  <si>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</si>
  <si>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</si>
  <si>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</si>
  <si>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</si>
  <si>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</si>
  <si>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</si>
  <si>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</si>
  <si>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</si>
  <si>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</si>
  <si>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</si>
  <si>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</si>
  <si>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</si>
  <si>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</si>
  <si>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</si>
  <si>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</si>
  <si>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</si>
  <si>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</si>
  <si>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</si>
  <si>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</si>
  <si>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</si>
  <si>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</si>
  <si>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</si>
  <si>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</si>
  <si>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</si>
  <si>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</si>
  <si>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</si>
  <si>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</si>
  <si>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</si>
  <si>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</si>
  <si>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</si>
  <si>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</si>
  <si>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</si>
  <si>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</si>
  <si>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</si>
  <si>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</si>
  <si>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</si>
  <si>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</si>
  <si>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</si>
  <si>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</si>
  <si>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</si>
  <si>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</si>
  <si>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</si>
  <si>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</si>
  <si>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</si>
  <si>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</si>
  <si>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</si>
  <si>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</si>
  <si>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</si>
  <si>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</si>
  <si>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</si>
  <si>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</si>
  <si>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</si>
  <si>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</si>
  <si>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</si>
  <si>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</si>
  <si>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</si>
  <si>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</si>
  <si>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</si>
  <si>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</si>
  <si>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</si>
  <si>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</si>
  <si>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</si>
  <si>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</si>
  <si>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</si>
  <si>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</si>
  <si>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</si>
  <si>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</si>
  <si>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</si>
  <si>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</si>
  <si>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</si>
  <si>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</si>
  <si>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</si>
  <si>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</si>
  <si>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</si>
  <si>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</si>
  <si>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</si>
  <si>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</si>
  <si>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</si>
  <si>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</si>
  <si>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</si>
  <si>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</si>
  <si>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</si>
  <si>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</si>
  <si>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</si>
  <si>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</si>
  <si>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</si>
  <si>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</si>
  <si>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</si>
  <si>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</si>
  <si>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</si>
  <si>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</si>
  <si>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</si>
  <si>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</si>
  <si>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</si>
  <si>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</si>
  <si>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</si>
  <si>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</si>
  <si>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</si>
  <si>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</si>
  <si>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</si>
  <si>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</si>
  <si>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</si>
  <si>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</si>
  <si>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</si>
  <si>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</si>
  <si>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</si>
  <si>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</si>
  <si>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</si>
  <si>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</si>
  <si>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</si>
  <si>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</si>
  <si>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</si>
  <si>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</si>
  <si>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</si>
  <si>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</si>
  <si>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</si>
  <si>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</si>
  <si>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</si>
  <si>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</si>
  <si>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</si>
  <si>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</si>
  <si>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</si>
  <si>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</si>
  <si>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</si>
  <si>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</si>
  <si>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</si>
  <si>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</si>
  <si>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</si>
  <si>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</si>
  <si>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</si>
  <si>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</si>
  <si>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</si>
  <si>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</si>
  <si>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</si>
  <si>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</si>
  <si>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</si>
  <si>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</si>
  <si>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</si>
  <si>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</si>
  <si>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</si>
  <si>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</si>
  <si>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</si>
  <si>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</si>
  <si>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</si>
  <si>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</si>
  <si>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</si>
  <si>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</si>
  <si>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</si>
  <si>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</si>
  <si>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</si>
  <si>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</si>
  <si>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</si>
  <si>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</si>
  <si>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</si>
  <si>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</si>
  <si>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</si>
  <si>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</si>
  <si>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</si>
  <si>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</si>
  <si>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</si>
  <si>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</si>
  <si>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</si>
  <si>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</si>
  <si>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</si>
  <si>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</si>
  <si>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</si>
  <si>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</si>
  <si>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</si>
  <si>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</si>
  <si>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</si>
  <si>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</si>
  <si>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</si>
  <si>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</si>
  <si>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</si>
  <si>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</si>
  <si>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</si>
  <si>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</si>
  <si>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</si>
  <si>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</si>
  <si>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</si>
  <si>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</si>
  <si>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</si>
  <si>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</si>
  <si>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</si>
  <si>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</si>
  <si>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</si>
  <si>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</si>
  <si>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</si>
  <si>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</si>
  <si>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</si>
  <si>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</si>
  <si>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</si>
  <si>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</si>
  <si>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</si>
  <si>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</si>
  <si>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</si>
  <si>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</si>
  <si>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</si>
  <si>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</si>
  <si>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</si>
  <si>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</si>
  <si>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</si>
  <si>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</si>
  <si>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</si>
  <si>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</si>
  <si>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</si>
  <si>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</si>
  <si>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</si>
  <si>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</si>
  <si>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</si>
  <si>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</si>
  <si>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</si>
  <si>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</si>
  <si>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</si>
  <si>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</si>
  <si>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</si>
  <si>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</si>
  <si>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</si>
  <si>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</si>
  <si>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</si>
  <si>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</si>
  <si>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</si>
  <si>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</si>
  <si>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</si>
  <si>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</si>
  <si>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</si>
  <si>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</si>
  <si>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</si>
  <si>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</si>
  <si>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</si>
  <si>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</si>
  <si>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</si>
  <si>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</si>
  <si>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</si>
  <si>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</si>
  <si>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</si>
  <si>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</si>
  <si>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</si>
  <si>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</si>
  <si>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</si>
  <si>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</si>
  <si>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</si>
  <si>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</si>
  <si>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</si>
  <si>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</si>
  <si>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</si>
  <si>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</si>
  <si>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</si>
  <si>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</si>
  <si>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</si>
  <si>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</si>
  <si>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</si>
  <si>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</si>
  <si>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</si>
  <si>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</si>
  <si>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</si>
  <si>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</si>
  <si>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</si>
  <si>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</si>
  <si>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</si>
  <si>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</si>
  <si>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</si>
  <si>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</si>
  <si>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</si>
  <si>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</si>
  <si>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</si>
  <si>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</si>
  <si>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</si>
  <si>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</si>
  <si>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</si>
  <si>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</si>
  <si>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</si>
  <si>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</si>
  <si>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</si>
  <si>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</si>
  <si>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</si>
  <si>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</si>
  <si>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</si>
  <si>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</si>
  <si>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</si>
  <si>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</si>
  <si>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</si>
  <si>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</si>
  <si>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</si>
  <si>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</si>
  <si>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</si>
  <si>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</si>
  <si>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</si>
  <si>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</si>
  <si>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</si>
  <si>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</si>
  <si>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</si>
  <si>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</si>
  <si>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</si>
  <si>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</si>
  <si>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</si>
  <si>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</si>
  <si>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</si>
  <si>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</si>
  <si>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</si>
  <si>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</si>
  <si>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</si>
  <si>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</si>
  <si>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</si>
  <si>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</si>
  <si>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</si>
  <si>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</si>
  <si>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</si>
  <si>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</si>
  <si>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</si>
  <si>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</si>
  <si>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</si>
  <si>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</si>
  <si>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</si>
  <si>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</si>
  <si>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</si>
  <si>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</si>
  <si>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</si>
  <si>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</si>
  <si>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</si>
  <si>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</si>
  <si>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</si>
  <si>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</si>
  <si>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</si>
  <si>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</si>
  <si>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</si>
  <si>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</si>
  <si>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</si>
  <si>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</si>
  <si>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</si>
  <si>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</si>
  <si>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</si>
  <si>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</si>
  <si>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</si>
  <si>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</si>
  <si>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</si>
  <si>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</si>
  <si>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</si>
  <si>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</si>
  <si>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</si>
  <si>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</si>
  <si>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</si>
  <si>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</si>
  <si>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</si>
  <si>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</si>
  <si>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</si>
  <si>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</si>
  <si>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</si>
  <si>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</si>
  <si>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</si>
  <si>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</si>
  <si>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</si>
  <si>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</si>
  <si>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</si>
  <si>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</si>
  <si>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</si>
  <si>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</si>
  <si>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</si>
  <si>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</si>
  <si>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</si>
  <si>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</si>
  <si>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</si>
  <si>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</si>
  <si>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</si>
  <si>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</si>
  <si>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</si>
  <si>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</si>
  <si>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</si>
  <si>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</si>
  <si>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</si>
  <si>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</si>
  <si>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</si>
  <si>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</si>
  <si>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</si>
  <si>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</si>
  <si>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</si>
  <si>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</si>
  <si>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</si>
  <si>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</si>
  <si>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</si>
  <si>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</si>
  <si>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</si>
  <si>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</si>
  <si>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</si>
  <si>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</si>
  <si>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</si>
  <si>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</si>
  <si>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</si>
  <si>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</si>
  <si>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</si>
  <si>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</si>
  <si>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</si>
  <si>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</si>
  <si>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</si>
  <si>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</si>
  <si>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</si>
  <si>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</si>
  <si>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</si>
  <si>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</si>
  <si>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</si>
  <si>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</si>
  <si>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</si>
  <si>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</si>
  <si>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</si>
  <si>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</si>
  <si>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</si>
  <si>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</si>
  <si>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</si>
  <si>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</si>
  <si>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</si>
  <si>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</si>
  <si>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</si>
  <si>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</si>
  <si>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</si>
  <si>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</si>
  <si>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</si>
  <si>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</si>
  <si>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</si>
  <si>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</si>
  <si>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</si>
  <si>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</si>
  <si>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</si>
  <si>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</si>
  <si>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</si>
  <si>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</si>
  <si>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</si>
  <si>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</si>
  <si>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</si>
  <si>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</si>
  <si>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</si>
  <si>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</si>
  <si>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</si>
  <si>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</si>
  <si>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</si>
  <si>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</si>
  <si>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</si>
  <si>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</si>
  <si>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</si>
  <si>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</si>
  <si>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</si>
  <si>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</si>
  <si>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</si>
  <si>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</si>
  <si>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</si>
  <si>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</si>
  <si>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</si>
  <si>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</si>
  <si>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</si>
  <si>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</si>
  <si>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</si>
  <si>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</si>
  <si>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</si>
  <si>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</si>
  <si>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</si>
  <si>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</si>
  <si>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</si>
  <si>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</si>
  <si>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</si>
  <si>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</si>
  <si>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</si>
  <si>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</si>
  <si>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</si>
  <si>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</si>
  <si>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</si>
  <si>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</si>
  <si>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</si>
  <si>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</si>
  <si>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</si>
  <si>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</si>
  <si>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</si>
  <si>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</si>
  <si>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</si>
  <si>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</si>
  <si>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</si>
  <si>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</si>
  <si>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</si>
  <si>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</si>
  <si>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</si>
  <si>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</si>
  <si>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</si>
  <si>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</si>
  <si>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</si>
  <si>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</si>
  <si>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</si>
  <si>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</si>
  <si>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</si>
  <si>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</si>
  <si>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</si>
  <si>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</si>
  <si>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</si>
  <si>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</si>
  <si>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</si>
  <si>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</si>
  <si>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</si>
  <si>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</si>
  <si>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</si>
  <si>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</si>
  <si>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</si>
  <si>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</si>
  <si>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</si>
  <si>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</si>
  <si>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</si>
  <si>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</si>
  <si>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</si>
  <si>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</si>
  <si>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</si>
  <si>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</si>
  <si>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</si>
  <si>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</si>
  <si>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</si>
  <si>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</si>
  <si>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</si>
  <si>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</si>
  <si>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</si>
  <si>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</si>
  <si>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</si>
  <si>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</si>
  <si>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</si>
  <si>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</si>
  <si>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</si>
  <si>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</si>
  <si>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</si>
  <si>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</si>
  <si>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</si>
  <si>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</si>
  <si>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</si>
  <si>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</si>
  <si>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</si>
  <si>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</si>
  <si>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</si>
  <si>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</si>
  <si>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</si>
  <si>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</si>
  <si>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</si>
  <si>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</si>
  <si>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</si>
  <si>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</si>
  <si>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</si>
  <si>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</si>
  <si>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</si>
  <si>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</si>
  <si>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</si>
  <si>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</si>
  <si>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</si>
  <si>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</si>
  <si>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</si>
  <si>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</si>
  <si>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</si>
  <si>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</si>
  <si>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</si>
  <si>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</si>
  <si>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</si>
  <si>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</si>
  <si>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</si>
  <si>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</si>
  <si>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</si>
  <si>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</si>
  <si>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</si>
  <si>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</si>
  <si>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</si>
  <si>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</si>
  <si>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</si>
  <si>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</si>
  <si>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</si>
  <si>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</si>
  <si>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</si>
  <si>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</si>
  <si>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</si>
  <si>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</si>
  <si>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</si>
  <si>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</si>
  <si>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</si>
  <si>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</si>
  <si>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</si>
  <si>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</si>
  <si>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</si>
  <si>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</si>
  <si>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</si>
  <si>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</si>
  <si>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</si>
  <si>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</si>
  <si>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</si>
  <si>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</si>
  <si>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</si>
  <si>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</si>
  <si>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</si>
  <si>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</si>
  <si>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</si>
  <si>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</si>
  <si>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</si>
  <si>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</si>
  <si>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</si>
  <si>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</si>
  <si>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</si>
  <si>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</si>
  <si>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</si>
  <si>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</si>
  <si>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</si>
  <si>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</si>
  <si>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</si>
  <si>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</si>
  <si>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</si>
  <si>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</si>
  <si>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</si>
  <si>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</si>
  <si>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</si>
  <si>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</si>
  <si>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</si>
  <si>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</si>
  <si>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</si>
  <si>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</si>
  <si>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</si>
  <si>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</si>
  <si>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</si>
  <si>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</si>
  <si>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</si>
  <si>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</si>
  <si>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</si>
  <si>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</si>
  <si>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</si>
  <si>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</si>
  <si>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</si>
  <si>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</si>
  <si>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</si>
  <si>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</si>
  <si>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</si>
  <si>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</si>
  <si>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</si>
  <si>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</si>
  <si>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</si>
  <si>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</si>
  <si>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</si>
  <si>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</si>
  <si>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</si>
  <si>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</si>
  <si>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</si>
  <si>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</si>
  <si>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</si>
  <si>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</si>
  <si>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</si>
  <si>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</si>
  <si>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</si>
  <si>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</si>
  <si>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</si>
  <si>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</si>
  <si>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</si>
  <si>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</si>
  <si>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</si>
  <si>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</si>
  <si>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</si>
  <si>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</si>
  <si>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</si>
  <si>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</si>
  <si>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</si>
  <si>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</si>
  <si>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</si>
  <si>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</si>
  <si>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</si>
  <si>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</si>
  <si>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</si>
  <si>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</si>
  <si>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</si>
  <si>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</si>
  <si>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</si>
  <si>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</si>
  <si>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</si>
  <si>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</si>
  <si>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</si>
  <si>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</si>
  <si>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</si>
  <si>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</si>
  <si>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</si>
  <si>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</si>
  <si>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</si>
  <si>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</si>
  <si>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</si>
  <si>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</si>
  <si>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</si>
  <si>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</si>
  <si>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</si>
  <si>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</si>
  <si>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</si>
  <si>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</si>
  <si>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</si>
  <si>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</si>
  <si>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</si>
  <si>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</si>
  <si>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</si>
  <si>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</si>
  <si>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</si>
  <si>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</si>
  <si>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</si>
  <si>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</si>
  <si>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</si>
  <si>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</si>
  <si>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</si>
  <si>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</si>
  <si>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</si>
  <si>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</si>
  <si>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</si>
  <si>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</si>
  <si>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</si>
  <si>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</si>
  <si>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</si>
  <si>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</si>
  <si>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</si>
  <si>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</si>
  <si>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</si>
  <si>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</si>
  <si>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</si>
  <si>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</si>
  <si>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</si>
  <si>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</si>
  <si>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</si>
  <si>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</si>
  <si>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</si>
  <si>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</si>
  <si>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</si>
  <si>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</si>
  <si>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</si>
  <si>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</si>
  <si>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</si>
  <si>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</si>
  <si>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</si>
  <si>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</si>
  <si>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</si>
  <si>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</si>
  <si>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</si>
  <si>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</si>
  <si>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</si>
  <si>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</si>
  <si>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</si>
  <si>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</si>
  <si>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</si>
  <si>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</si>
  <si>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</si>
  <si>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</si>
  <si>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</si>
  <si>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</si>
  <si>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</si>
  <si>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</si>
  <si>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</si>
  <si>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</si>
  <si>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</si>
  <si>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</si>
  <si>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</si>
  <si>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</si>
  <si>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</si>
  <si>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</si>
  <si>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</si>
  <si>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</si>
  <si>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</si>
  <si>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</si>
  <si>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</si>
  <si>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</si>
  <si>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</si>
  <si>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</si>
  <si>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</si>
  <si>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</si>
  <si>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</si>
  <si>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</si>
  <si>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</si>
  <si>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</si>
  <si>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</si>
  <si>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</si>
  <si>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</si>
  <si>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</si>
  <si>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</si>
  <si>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</si>
  <si>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</si>
  <si>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</si>
  <si>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</si>
  <si>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</si>
  <si>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</si>
  <si>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</si>
  <si>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</si>
  <si>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</si>
  <si>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</si>
  <si>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</si>
  <si>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</si>
  <si>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</si>
  <si>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</si>
  <si>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</si>
  <si>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</si>
  <si>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</si>
  <si>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</si>
  <si>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</si>
  <si>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</si>
  <si>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</si>
  <si>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</si>
  <si>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</si>
  <si>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</si>
  <si>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</si>
  <si>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</si>
  <si>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</si>
  <si>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</si>
  <si>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</si>
  <si>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</si>
  <si>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</si>
  <si>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</si>
  <si>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</si>
  <si>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</si>
  <si>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</si>
  <si>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</si>
  <si>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</si>
  <si>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</si>
  <si>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</si>
  <si>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</si>
  <si>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</si>
  <si>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</si>
  <si>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</si>
  <si>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</si>
  <si>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</si>
  <si>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</si>
  <si>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</si>
  <si>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</si>
  <si>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</si>
  <si>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</si>
  <si>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</si>
  <si>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</si>
  <si>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</si>
  <si>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</si>
  <si>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</si>
  <si>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</si>
  <si>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</si>
  <si>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</si>
  <si>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</si>
  <si>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</si>
  <si>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</si>
  <si>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</si>
  <si>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</si>
  <si>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</si>
  <si>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</si>
  <si>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</si>
  <si>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</si>
  <si>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</si>
  <si>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</si>
  <si>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</si>
  <si>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</si>
  <si>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</si>
  <si>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</si>
  <si>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</si>
  <si>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</si>
  <si>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</si>
  <si>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</si>
  <si>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</si>
  <si>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</si>
  <si>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</si>
  <si>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</si>
  <si>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</si>
  <si>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</si>
  <si>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</si>
  <si>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</si>
  <si>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</si>
  <si>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</si>
  <si>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</si>
  <si>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</si>
  <si>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</si>
  <si>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</si>
  <si>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</si>
  <si>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</si>
  <si>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</si>
  <si>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</si>
  <si>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</si>
  <si>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</si>
  <si>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</si>
  <si>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</si>
  <si>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</si>
  <si>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</si>
  <si>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</si>
  <si>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</si>
  <si>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</si>
  <si>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</si>
  <si>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</si>
  <si>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</si>
  <si>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</si>
  <si>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</si>
  <si>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</si>
  <si>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</si>
  <si>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</si>
  <si>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</si>
  <si>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</si>
  <si>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</si>
  <si>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</si>
  <si>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</si>
  <si>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</si>
  <si>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</si>
  <si>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</si>
  <si>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</si>
  <si>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</si>
  <si>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</si>
  <si>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</si>
  <si>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</si>
  <si>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</si>
  <si>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</si>
  <si>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</si>
  <si>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</si>
  <si>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</si>
  <si>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</si>
  <si>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</si>
  <si>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</si>
  <si>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</si>
  <si>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</si>
  <si>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</si>
  <si>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</si>
  <si>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</si>
  <si>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</si>
  <si>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</si>
  <si>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</si>
  <si>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</si>
  <si>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</si>
  <si>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</si>
  <si>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</si>
  <si>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</si>
  <si>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</si>
  <si>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</si>
  <si>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</si>
  <si>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</si>
  <si>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</si>
  <si>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</si>
  <si>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</si>
  <si>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</si>
  <si>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</si>
  <si>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</si>
  <si>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</si>
  <si>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</si>
  <si>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</si>
  <si>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</si>
  <si>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</si>
  <si>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</si>
  <si>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</si>
  <si>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</si>
  <si>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</si>
  <si>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</si>
  <si>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</si>
  <si>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</si>
  <si>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</si>
  <si>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</si>
  <si>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</si>
  <si>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</si>
  <si>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</si>
  <si>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</si>
  <si>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</si>
  <si>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</si>
  <si>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</si>
  <si>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</si>
  <si>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</si>
  <si>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</si>
  <si>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</si>
  <si>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</si>
  <si>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</si>
  <si>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</si>
  <si>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</si>
  <si>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</si>
  <si>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</si>
  <si>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</si>
  <si>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</si>
  <si>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</si>
  <si>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</si>
  <si>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</si>
  <si>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</si>
  <si>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</si>
  <si>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</si>
  <si>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</si>
  <si>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</si>
  <si>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</si>
  <si>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</si>
  <si>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</si>
  <si>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</si>
  <si>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</si>
  <si>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</si>
  <si>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</si>
  <si>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</si>
  <si>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</si>
  <si>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</si>
  <si>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</si>
  <si>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</si>
  <si>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</si>
  <si>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</si>
  <si>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</si>
  <si>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</si>
  <si>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</si>
  <si>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</si>
  <si>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</si>
  <si>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</si>
  <si>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</si>
  <si>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</si>
  <si>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</si>
  <si>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</si>
  <si>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</si>
  <si>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</si>
  <si>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</si>
  <si>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</si>
  <si>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</si>
  <si>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</si>
  <si>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</si>
  <si>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</si>
  <si>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</si>
  <si>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</si>
  <si>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</si>
  <si>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</si>
  <si>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</si>
  <si>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</si>
  <si>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</si>
  <si>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</si>
  <si>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</si>
  <si>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</si>
  <si>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</si>
  <si>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</si>
  <si>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</si>
  <si>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</si>
  <si>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</si>
  <si>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</si>
  <si>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</si>
  <si>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</si>
  <si>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</si>
  <si>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</si>
  <si>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</si>
  <si>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</si>
  <si>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</si>
  <si>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</si>
  <si>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</si>
  <si>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</si>
  <si>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</si>
  <si>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</si>
  <si>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</si>
  <si>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</si>
  <si>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</si>
  <si>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</si>
  <si>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</si>
  <si>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</si>
  <si>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</si>
  <si>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</si>
  <si>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</si>
  <si>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</si>
  <si>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</si>
  <si>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</si>
  <si>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</si>
  <si>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</si>
  <si>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</si>
  <si>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</si>
  <si>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</si>
  <si>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</si>
  <si>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</si>
  <si>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</si>
  <si>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</si>
  <si>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</si>
  <si>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</si>
  <si>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</si>
  <si>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</si>
  <si>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</si>
  <si>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</si>
  <si>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</si>
  <si>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</si>
  <si>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</si>
  <si>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</si>
  <si>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</si>
  <si>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</si>
  <si>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</si>
  <si>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</si>
  <si>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</si>
  <si>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</si>
  <si>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</si>
  <si>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</si>
  <si>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</si>
  <si>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</si>
  <si>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</si>
  <si>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</si>
  <si>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</si>
  <si>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</si>
  <si>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</si>
  <si>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</si>
  <si>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</si>
  <si>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</si>
  <si>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</si>
  <si>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</si>
  <si>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</si>
  <si>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</si>
  <si>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</si>
  <si>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</si>
  <si>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</si>
  <si>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</si>
  <si>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</si>
  <si>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</si>
  <si>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</si>
  <si>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</si>
  <si>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</si>
  <si>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</si>
  <si>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</si>
  <si>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</si>
  <si>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</si>
  <si>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</si>
  <si>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</si>
  <si>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</si>
  <si>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</si>
  <si>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</si>
  <si>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</si>
  <si>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</si>
  <si>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</si>
  <si>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</si>
  <si>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</si>
  <si>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</si>
  <si>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</si>
  <si>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</si>
  <si>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</si>
  <si>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</si>
  <si>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</si>
  <si>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</si>
  <si>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</si>
  <si>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</si>
  <si>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</si>
  <si>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</si>
  <si>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</si>
  <si>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</si>
  <si>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</si>
  <si>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</si>
  <si>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</si>
  <si>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</si>
  <si>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</si>
  <si>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</si>
  <si>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</si>
  <si>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</si>
  <si>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</si>
  <si>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</si>
  <si>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</si>
  <si>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</si>
  <si>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</si>
  <si>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</si>
  <si>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</si>
  <si>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</si>
  <si>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</si>
  <si>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</si>
  <si>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</si>
  <si>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</si>
  <si>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</si>
  <si>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</si>
  <si>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</si>
  <si>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</si>
  <si>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</si>
  <si>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</si>
  <si>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</si>
  <si>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</si>
  <si>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</si>
  <si>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</si>
  <si>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</si>
  <si>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</si>
  <si>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</si>
  <si>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</si>
  <si>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</si>
  <si>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</si>
  <si>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</si>
  <si>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</si>
  <si>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</si>
  <si>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</si>
  <si>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</si>
  <si>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</si>
  <si>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</si>
  <si>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</si>
  <si>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</si>
  <si>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</si>
  <si>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</si>
  <si>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</si>
  <si>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</si>
  <si>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</si>
  <si>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</si>
  <si>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</si>
  <si>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</si>
  <si>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</si>
  <si>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</si>
  <si>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</si>
  <si>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</si>
  <si>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</si>
  <si>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</si>
  <si>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</si>
  <si>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</si>
  <si>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</si>
  <si>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</si>
  <si>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</si>
  <si>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</si>
  <si>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</si>
  <si>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</si>
  <si>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</si>
  <si>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</si>
  <si>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</si>
  <si>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</si>
  <si>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</si>
  <si>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</si>
  <si>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</si>
  <si>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</si>
  <si>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</si>
  <si>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</si>
  <si>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</si>
  <si>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</si>
  <si>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</si>
  <si>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</si>
  <si>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</si>
  <si>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</si>
  <si>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</si>
  <si>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</si>
  <si>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</si>
  <si>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</si>
  <si>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</si>
  <si>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</si>
  <si>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</si>
  <si>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</si>
  <si>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</si>
  <si>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</si>
  <si>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</si>
  <si>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</si>
  <si>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</si>
  <si>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</si>
  <si>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</si>
  <si>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</si>
  <si>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</si>
  <si>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</si>
  <si>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</si>
  <si>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</si>
  <si>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</si>
  <si>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</si>
  <si>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</si>
  <si>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</si>
  <si>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</si>
  <si>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</si>
  <si>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</si>
  <si>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</si>
  <si>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</si>
  <si>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</si>
  <si>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</si>
  <si>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</si>
  <si>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</si>
  <si>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</si>
  <si>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</si>
  <si>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</si>
  <si>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</si>
  <si>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</si>
  <si>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</si>
  <si>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</si>
  <si>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</si>
  <si>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</si>
  <si>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</si>
  <si>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</si>
  <si>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</si>
  <si>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</si>
  <si>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</si>
  <si>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</si>
  <si>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</si>
  <si>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</si>
  <si>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</si>
  <si>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</si>
  <si>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</si>
  <si>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</si>
  <si>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</si>
  <si>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</si>
  <si>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</si>
  <si>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</si>
  <si>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</si>
  <si>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</si>
  <si>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</si>
  <si>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</si>
  <si>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</si>
  <si>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</si>
  <si>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</si>
  <si>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</si>
  <si>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</si>
  <si>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</si>
  <si>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</si>
  <si>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</si>
  <si>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</si>
  <si>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</si>
  <si>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</si>
  <si>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</si>
  <si>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</si>
  <si>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</si>
  <si>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</si>
  <si>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</si>
  <si>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</si>
  <si>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</si>
  <si>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</si>
  <si>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</si>
  <si>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</si>
  <si>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</si>
  <si>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</si>
  <si>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</si>
  <si>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</si>
  <si>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</si>
  <si>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</si>
  <si>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</si>
  <si>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</si>
  <si>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</si>
  <si>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</si>
  <si>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</si>
  <si>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</si>
  <si>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</si>
  <si>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</si>
  <si>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</si>
  <si>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</si>
  <si>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</si>
  <si>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</si>
  <si>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</si>
  <si>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</si>
  <si>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</si>
  <si>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</si>
  <si>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</si>
  <si>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</si>
  <si>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</si>
  <si>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</si>
  <si>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</si>
  <si>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</si>
  <si>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</si>
  <si>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</si>
  <si>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</si>
  <si>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</si>
  <si>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</si>
  <si>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</si>
  <si>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</si>
  <si>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</si>
  <si>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</si>
  <si>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</si>
  <si>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</si>
  <si>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</si>
  <si>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</si>
  <si>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</si>
  <si>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</si>
  <si>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</si>
  <si>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</si>
  <si>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</si>
  <si>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</si>
  <si>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</si>
  <si>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</si>
  <si>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</si>
  <si>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</si>
  <si>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</si>
  <si>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</si>
  <si>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</si>
  <si>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</si>
  <si>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</si>
  <si>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</si>
  <si>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</si>
  <si>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</si>
  <si>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</si>
  <si>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</si>
  <si>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</si>
  <si>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</si>
  <si>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</si>
  <si>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</si>
  <si>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</si>
  <si>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</si>
  <si>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</si>
  <si>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</si>
  <si>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</si>
  <si>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</si>
  <si>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</si>
  <si>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</si>
  <si>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</si>
  <si>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</si>
  <si>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</si>
  <si>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</si>
  <si>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</si>
  <si>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</si>
  <si>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</si>
  <si>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</si>
  <si>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</si>
  <si>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</si>
  <si>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</si>
  <si>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</si>
  <si>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</si>
  <si>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</si>
  <si>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</si>
  <si>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</si>
  <si>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</si>
  <si>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</si>
  <si>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</si>
  <si>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</si>
  <si>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</si>
  <si>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</si>
  <si>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</si>
  <si>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</si>
  <si>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</si>
  <si>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</si>
  <si>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</si>
  <si>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</si>
  <si>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</si>
  <si>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</si>
  <si>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</si>
  <si>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</si>
  <si>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</si>
  <si>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</si>
  <si>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</si>
  <si>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</si>
  <si>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</si>
  <si>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</si>
  <si>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</si>
  <si>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</si>
  <si>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</si>
  <si>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</si>
  <si>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</si>
  <si>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</si>
  <si>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</si>
  <si>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</si>
  <si>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</si>
  <si>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</si>
  <si>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</si>
  <si>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</si>
  <si>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</si>
  <si>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</si>
  <si>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</si>
  <si>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</si>
  <si>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</si>
  <si>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</si>
  <si>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</si>
  <si>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</si>
  <si>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</si>
  <si>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</si>
  <si>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</si>
  <si>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</si>
  <si>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</si>
  <si>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</si>
  <si>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</si>
  <si>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</si>
  <si>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</si>
  <si>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</si>
  <si>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</si>
  <si>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</si>
  <si>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</si>
  <si>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</si>
  <si>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</si>
  <si>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</si>
  <si>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</si>
  <si>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</si>
  <si>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</si>
  <si>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</si>
  <si>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</si>
  <si>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</si>
  <si>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</si>
  <si>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</si>
  <si>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</si>
  <si>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</si>
  <si>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</si>
  <si>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</si>
  <si>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</si>
  <si>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</si>
  <si>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</si>
  <si>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</si>
  <si>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</si>
  <si>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</si>
  <si>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</si>
  <si>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</si>
  <si>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</si>
  <si>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</si>
  <si>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</si>
  <si>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</si>
  <si>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</si>
  <si>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</si>
  <si>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</si>
  <si>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</si>
  <si>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</si>
  <si>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</si>
  <si>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</si>
  <si>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</si>
  <si>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</si>
  <si>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</si>
  <si>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</si>
  <si>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</si>
  <si>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</si>
  <si>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</si>
  <si>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</si>
  <si>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</si>
  <si>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</si>
  <si>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</si>
  <si>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</si>
  <si>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</si>
  <si>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</si>
  <si>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</si>
  <si>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</si>
  <si>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</si>
  <si>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</si>
  <si>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</si>
  <si>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</si>
  <si>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</si>
  <si>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</si>
  <si>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</si>
  <si>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</si>
  <si>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</si>
  <si>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</si>
  <si>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</si>
  <si>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</si>
  <si>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</si>
  <si>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</si>
  <si>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</si>
  <si>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</si>
  <si>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</si>
  <si>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</si>
  <si>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</si>
  <si>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</si>
  <si>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</si>
  <si>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</si>
  <si>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</si>
  <si>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</si>
  <si>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</si>
  <si>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</si>
  <si>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</si>
  <si>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</si>
  <si>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</si>
  <si>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</si>
  <si>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</si>
  <si>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</si>
  <si>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</si>
  <si>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</si>
  <si>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</si>
  <si>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</si>
  <si>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</si>
  <si>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</si>
  <si>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</si>
  <si>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</si>
  <si>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</si>
  <si>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</si>
  <si>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</si>
  <si>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</si>
  <si>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</si>
  <si>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</si>
  <si>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</si>
  <si>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</si>
  <si>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</si>
  <si>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</si>
  <si>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</si>
  <si>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</si>
  <si>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</si>
  <si>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</si>
  <si>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</si>
  <si>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</si>
  <si>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</si>
  <si>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</si>
  <si>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</si>
  <si>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</si>
  <si>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</si>
  <si>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</si>
  <si>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</si>
  <si>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</si>
  <si>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</si>
  <si>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</si>
  <si>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</si>
  <si>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</si>
  <si>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</si>
  <si>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</si>
  <si>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</si>
  <si>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</si>
  <si>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</si>
  <si>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</si>
  <si>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</si>
  <si>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</si>
  <si>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</si>
  <si>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</si>
  <si>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</si>
  <si>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</si>
  <si>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</si>
  <si>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</si>
  <si>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</si>
  <si>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</si>
  <si>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</si>
  <si>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</si>
  <si>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</si>
  <si>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</si>
  <si>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</si>
  <si>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</si>
  <si>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</si>
  <si>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</si>
  <si>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</si>
  <si>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</si>
  <si>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</si>
  <si>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</si>
  <si>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</si>
  <si>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</si>
  <si>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</si>
  <si>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</si>
  <si>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</si>
  <si>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</si>
  <si>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</si>
  <si>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</si>
  <si>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</si>
  <si>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</si>
  <si>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</si>
  <si>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</si>
  <si>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</si>
  <si>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</si>
  <si>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</si>
  <si>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</si>
  <si>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</si>
  <si>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</si>
  <si>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</si>
  <si>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</si>
  <si>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</si>
  <si>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</si>
  <si>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</si>
  <si>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</si>
  <si>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</si>
  <si>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</si>
  <si>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</si>
  <si>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</si>
  <si>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</si>
  <si>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</si>
  <si>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</si>
  <si>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</si>
  <si>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</si>
  <si>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</si>
  <si>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</si>
  <si>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</si>
  <si>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</si>
  <si>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</si>
  <si>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</si>
  <si>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</si>
  <si>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</si>
  <si>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</si>
  <si>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</si>
  <si>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</si>
  <si>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</si>
  <si>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</si>
  <si>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</si>
  <si>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</si>
  <si>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</si>
  <si>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</si>
  <si>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</si>
  <si>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</si>
  <si>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</si>
  <si>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</si>
  <si>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</si>
  <si>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</si>
  <si>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</si>
  <si>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</si>
  <si>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</si>
  <si>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</si>
  <si>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</si>
  <si>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</si>
  <si>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</si>
  <si>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</si>
  <si>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</si>
  <si>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</si>
  <si>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</si>
  <si>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</si>
  <si>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</si>
  <si>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</si>
  <si>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</si>
  <si>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</si>
  <si>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</si>
  <si>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</si>
  <si>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</si>
  <si>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</si>
  <si>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</si>
  <si>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</si>
  <si>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</si>
  <si>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</si>
  <si>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</si>
  <si>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</si>
  <si>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</si>
  <si>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</si>
  <si>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</si>
  <si>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</si>
  <si>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</si>
  <si>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</si>
  <si>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</si>
  <si>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</si>
  <si>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</si>
  <si>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</si>
  <si>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</si>
  <si>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</si>
  <si>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</si>
  <si>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</si>
  <si>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</si>
  <si>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</si>
  <si>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</si>
  <si>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</si>
  <si>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</si>
  <si>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</si>
  <si>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</si>
  <si>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</si>
  <si>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</si>
  <si>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</si>
  <si>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</si>
  <si>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</si>
  <si>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</si>
  <si>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</si>
  <si>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</si>
  <si>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</si>
  <si>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</si>
  <si>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</si>
  <si>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</si>
  <si>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</si>
  <si>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</si>
  <si>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</si>
  <si>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</si>
  <si>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</si>
  <si>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</si>
  <si>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</si>
  <si>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</si>
  <si>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</si>
  <si>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</si>
  <si>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</si>
  <si>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</si>
  <si>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</si>
  <si>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</si>
  <si>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</si>
  <si>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</si>
  <si>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</si>
  <si>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</si>
  <si>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</si>
  <si>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</si>
  <si>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</si>
  <si>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</si>
  <si>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</si>
  <si>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</si>
  <si>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</si>
  <si>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</si>
  <si>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</si>
  <si>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</si>
  <si>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</si>
  <si>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</si>
  <si>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</si>
  <si>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</si>
  <si>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</si>
  <si>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</si>
  <si>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</si>
  <si>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</si>
  <si>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</si>
  <si>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</si>
  <si>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</si>
  <si>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</si>
  <si>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</si>
  <si>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</si>
  <si>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</si>
  <si>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</si>
  <si>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</si>
  <si>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</si>
  <si>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</si>
  <si>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</si>
  <si>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</si>
  <si>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</si>
  <si>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</si>
  <si>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</si>
  <si>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</si>
  <si>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</si>
  <si>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</si>
  <si>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</si>
  <si>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</si>
  <si>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</si>
  <si>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</si>
  <si>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</si>
  <si>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</si>
  <si>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</si>
  <si>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</si>
  <si>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</si>
  <si>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</si>
  <si>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</si>
  <si>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</si>
  <si>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</si>
  <si>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</si>
  <si>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</si>
  <si>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</si>
  <si>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</si>
  <si>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</si>
  <si>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</si>
  <si>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</si>
  <si>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</si>
  <si>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</si>
  <si>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</si>
  <si>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</si>
  <si>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</si>
  <si>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</si>
  <si>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</si>
  <si>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</si>
  <si>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</si>
  <si>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</si>
  <si>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</si>
  <si>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</si>
  <si>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</si>
  <si>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</si>
  <si>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</si>
  <si>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</si>
  <si>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</si>
  <si>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</si>
  <si>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</si>
  <si>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</si>
  <si>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</si>
  <si>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</si>
  <si>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</si>
  <si>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</si>
  <si>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</si>
  <si>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</si>
  <si>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</si>
  <si>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</si>
  <si>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</si>
  <si>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</si>
  <si>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</si>
  <si>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</si>
  <si>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</si>
  <si>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</si>
  <si>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</si>
  <si>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</si>
  <si>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</si>
  <si>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</si>
  <si>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</si>
  <si>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</si>
  <si>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</si>
  <si>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</si>
  <si>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</si>
  <si>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</si>
  <si>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</si>
  <si>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</si>
  <si>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</si>
  <si>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</si>
  <si>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</si>
  <si>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</si>
  <si>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</si>
  <si>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</si>
  <si>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</si>
  <si>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</si>
  <si>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</si>
  <si>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</si>
  <si>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</si>
  <si>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</si>
  <si>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</si>
  <si>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</si>
  <si>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</si>
  <si>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</si>
  <si>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</si>
  <si>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</si>
  <si>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</si>
  <si>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</si>
  <si>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</si>
  <si>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</si>
  <si>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</si>
  <si>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</si>
  <si>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</si>
  <si>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</si>
  <si>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</si>
  <si>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</si>
  <si>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</si>
  <si>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</si>
  <si>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</si>
  <si>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</si>
  <si>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</si>
  <si>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</si>
  <si>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</si>
  <si>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</si>
  <si>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</si>
  <si>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</si>
  <si>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</si>
  <si>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</si>
  <si>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</si>
  <si>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</si>
  <si>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</si>
  <si>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</si>
  <si>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</si>
  <si>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</si>
  <si>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</si>
  <si>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</si>
  <si>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</si>
  <si>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</si>
  <si>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</si>
  <si>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</si>
  <si>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</si>
  <si>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</si>
  <si>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</si>
  <si>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</si>
  <si>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</si>
  <si>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</si>
  <si>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</si>
  <si>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</si>
  <si>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</si>
  <si>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</si>
  <si>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</si>
  <si>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</si>
  <si>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</si>
  <si>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</si>
  <si>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</si>
  <si>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</si>
  <si>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</si>
  <si>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</si>
  <si>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</si>
  <si>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</si>
  <si>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</si>
  <si>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</si>
  <si>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</si>
  <si>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</si>
  <si>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</si>
  <si>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</si>
  <si>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</si>
  <si>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</si>
  <si>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</si>
  <si>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</si>
  <si>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</si>
  <si>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</si>
  <si>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</si>
  <si>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</si>
  <si>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</si>
  <si>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</si>
  <si>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</si>
  <si>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</si>
  <si>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</si>
  <si>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</si>
  <si>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</si>
  <si>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</si>
  <si>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</si>
  <si>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</si>
  <si>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</si>
  <si>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</si>
  <si>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</si>
  <si>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</si>
  <si>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</si>
  <si>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</si>
  <si>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</si>
  <si>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</si>
  <si>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</si>
  <si>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</si>
  <si>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</si>
  <si>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</si>
  <si>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</si>
  <si>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</si>
  <si>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</si>
  <si>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</si>
  <si>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</si>
  <si>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</si>
  <si>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</si>
  <si>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</si>
  <si>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</si>
  <si>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</si>
  <si>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</si>
  <si>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</si>
  <si>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</si>
  <si>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</si>
  <si>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</si>
  <si>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</si>
  <si>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</si>
  <si>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</si>
  <si>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</si>
  <si>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</si>
  <si>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</si>
  <si>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</si>
  <si>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</si>
  <si>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</si>
  <si>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</si>
  <si>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</si>
  <si>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</si>
  <si>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</si>
  <si>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</si>
  <si>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</si>
  <si>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</si>
  <si>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</si>
  <si>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</si>
  <si>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</si>
  <si>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</si>
  <si>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</si>
  <si>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</si>
  <si>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</si>
  <si>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</si>
  <si>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</si>
  <si>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</si>
  <si>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</si>
  <si>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</si>
  <si>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</si>
  <si>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</si>
  <si>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</si>
  <si>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</si>
  <si>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</si>
  <si>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</si>
  <si>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</si>
  <si>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</si>
  <si>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</si>
  <si>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</si>
  <si>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</si>
  <si>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</si>
  <si>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</si>
  <si>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</si>
  <si>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</si>
  <si>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</si>
  <si>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</si>
  <si>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</si>
  <si>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</si>
  <si>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</si>
  <si>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</si>
  <si>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</si>
  <si>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</si>
  <si>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</si>
  <si>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</si>
  <si>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</si>
  <si>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</si>
  <si>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</si>
  <si>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</si>
  <si>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</si>
  <si>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</si>
  <si>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</si>
  <si>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</si>
  <si>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</si>
  <si>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</si>
  <si>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</si>
  <si>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</si>
  <si>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</si>
  <si>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</si>
  <si>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</si>
  <si>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</si>
  <si>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</si>
  <si>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</si>
  <si>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</si>
  <si>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</si>
  <si>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</si>
  <si>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</si>
  <si>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</si>
  <si>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</si>
  <si>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</si>
  <si>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</si>
  <si>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</si>
  <si>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</si>
  <si>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</si>
  <si>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</si>
  <si>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</si>
  <si>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</si>
  <si>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</si>
  <si>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</si>
  <si>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</si>
  <si>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</si>
  <si>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</si>
  <si>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</si>
  <si>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</si>
  <si>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</si>
  <si>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</si>
  <si>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</si>
  <si>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</si>
  <si>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</si>
  <si>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</si>
  <si>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</si>
  <si>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</si>
  <si>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</si>
  <si>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</si>
  <si>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</si>
  <si>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</si>
  <si>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</si>
  <si>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</si>
  <si>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</si>
  <si>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</si>
  <si>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</si>
  <si>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</si>
  <si>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</si>
  <si>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</si>
  <si>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</si>
  <si>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</si>
  <si>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</si>
  <si>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</si>
  <si>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</si>
  <si>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</si>
  <si>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</si>
  <si>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</si>
  <si>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</si>
  <si>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</si>
  <si>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</si>
  <si>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</si>
  <si>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</si>
  <si>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</si>
  <si>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</si>
  <si>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</si>
  <si>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</si>
  <si>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</si>
  <si>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</si>
  <si>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</si>
  <si>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</si>
  <si>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</si>
  <si>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</si>
  <si>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</si>
  <si>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</si>
  <si>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</si>
  <si>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</si>
  <si>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</si>
  <si>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</si>
  <si>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</si>
  <si>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</si>
  <si>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</si>
  <si>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</si>
  <si>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</si>
  <si>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</si>
  <si>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</si>
  <si>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</si>
  <si>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</si>
  <si>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</si>
  <si>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</si>
  <si>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</si>
  <si>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</si>
  <si>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</si>
  <si>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</si>
  <si>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</si>
  <si>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</si>
  <si>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</si>
  <si>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</si>
  <si>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</si>
  <si>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</si>
  <si>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</si>
  <si>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</si>
  <si>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</si>
  <si>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</si>
  <si>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</si>
  <si>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</si>
  <si>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</si>
  <si>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</si>
  <si>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</si>
  <si>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</si>
  <si>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</si>
  <si>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</si>
  <si>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</si>
  <si>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</si>
  <si>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</si>
  <si>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</si>
  <si>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</si>
  <si>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</si>
  <si>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</si>
  <si>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</si>
  <si>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</si>
  <si>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</si>
  <si>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</si>
  <si>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</si>
  <si>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</si>
  <si>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</si>
  <si>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</si>
  <si>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</si>
  <si>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</si>
  <si>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</si>
  <si>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</si>
  <si>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</si>
  <si>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</si>
  <si>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</si>
  <si>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</si>
  <si>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</si>
  <si>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</si>
  <si>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</si>
  <si>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</si>
  <si>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</si>
  <si>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</si>
  <si>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</si>
  <si>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</si>
  <si>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</si>
  <si>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</si>
  <si>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</si>
  <si>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</si>
  <si>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</si>
  <si>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</si>
  <si>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</si>
  <si>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</si>
  <si>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</si>
  <si>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</si>
  <si>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</si>
  <si>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</si>
  <si>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</si>
  <si>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</si>
  <si>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</si>
  <si>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</si>
  <si>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</si>
  <si>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</si>
  <si>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</si>
  <si>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</si>
  <si>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</si>
  <si>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</si>
  <si>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</si>
  <si>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</si>
  <si>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</si>
  <si>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</si>
  <si>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</si>
  <si>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</si>
  <si>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</si>
  <si>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</si>
  <si>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</si>
  <si>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</si>
  <si>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</si>
  <si>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</si>
  <si>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</si>
  <si>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</si>
  <si>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</si>
  <si>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</si>
  <si>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</si>
  <si>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</si>
  <si>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</si>
  <si>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</si>
  <si>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</si>
  <si>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</si>
  <si>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</si>
  <si>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</si>
  <si>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</si>
  <si>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</si>
  <si>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</si>
  <si>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</si>
  <si>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</si>
  <si>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</si>
  <si>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</si>
  <si>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</si>
  <si>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</si>
  <si>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</si>
  <si>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</si>
  <si>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</si>
  <si>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</si>
  <si>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</si>
  <si>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</si>
  <si>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</si>
  <si>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</si>
  <si>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</si>
  <si>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</si>
  <si>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</si>
  <si>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</si>
  <si>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</si>
  <si>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</si>
  <si>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</si>
  <si>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</si>
  <si>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</si>
  <si>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</si>
  <si>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</si>
  <si>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</si>
  <si>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</si>
  <si>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</si>
  <si>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</si>
  <si>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</si>
  <si>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</si>
  <si>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</si>
  <si>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</si>
  <si>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</si>
  <si>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</si>
  <si>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</si>
  <si>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</si>
  <si>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</si>
  <si>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</si>
  <si>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</si>
  <si>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</si>
  <si>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</si>
  <si>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</si>
  <si>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</si>
  <si>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</si>
  <si>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</si>
  <si>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</si>
  <si>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</si>
  <si>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</si>
  <si>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</si>
  <si>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</si>
  <si>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</si>
  <si>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</si>
  <si>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</si>
  <si>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</si>
  <si>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</si>
  <si>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</si>
  <si>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</si>
  <si>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</si>
  <si>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</si>
  <si>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</si>
  <si>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</si>
  <si>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</si>
  <si>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</si>
  <si>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</si>
  <si>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</si>
  <si>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</si>
  <si>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</si>
  <si>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</si>
  <si>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</si>
  <si>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</si>
  <si>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</si>
  <si>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</si>
  <si>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</si>
  <si>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</si>
  <si>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</si>
  <si>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</si>
  <si>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</si>
  <si>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</si>
  <si>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</si>
  <si>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</si>
  <si>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</si>
  <si>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</si>
  <si>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</si>
  <si>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</si>
  <si>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</si>
  <si>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</si>
  <si>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</si>
  <si>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</si>
  <si>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</si>
  <si>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</si>
  <si>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</si>
  <si>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</si>
  <si>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</si>
  <si>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</si>
  <si>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</si>
  <si>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</si>
  <si>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</si>
  <si>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</si>
  <si>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</si>
  <si>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</si>
  <si>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</si>
  <si>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</si>
  <si>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</si>
  <si>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</si>
  <si>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</si>
  <si>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</si>
  <si>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</si>
  <si>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</si>
  <si>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</si>
  <si>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</si>
  <si>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</si>
  <si>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</si>
  <si>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</si>
  <si>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</si>
  <si>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</si>
  <si>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</si>
  <si>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</si>
  <si>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</si>
  <si>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</si>
  <si>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</si>
  <si>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</si>
  <si>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</si>
  <si>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</si>
  <si>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</si>
  <si>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</si>
  <si>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</si>
  <si>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</si>
  <si>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</si>
  <si>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</si>
  <si>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</si>
  <si>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</si>
  <si>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</si>
  <si>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</si>
  <si>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</si>
  <si>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</si>
  <si>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</si>
  <si>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</si>
  <si>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</si>
  <si>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</si>
  <si>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</si>
  <si>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</si>
  <si>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</si>
  <si>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</si>
  <si>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</si>
  <si>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</si>
  <si>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</si>
  <si>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</si>
  <si>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</si>
  <si>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</si>
  <si>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</si>
  <si>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</si>
  <si>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</si>
  <si>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</si>
  <si>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</si>
  <si>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</si>
  <si>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</si>
  <si>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</si>
  <si>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</si>
  <si>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</si>
  <si>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</si>
  <si>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</si>
  <si>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</si>
  <si>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</si>
  <si>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</si>
  <si>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</si>
  <si>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</si>
  <si>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</si>
  <si>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</si>
  <si>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</si>
  <si>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</si>
  <si>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</si>
  <si>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</si>
  <si>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</si>
  <si>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</si>
  <si>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</si>
  <si>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</si>
  <si>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</si>
  <si>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</si>
  <si>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</si>
  <si>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</si>
  <si>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</si>
  <si>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</si>
  <si>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</si>
  <si>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</si>
  <si>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</si>
  <si>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</si>
  <si>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</si>
  <si>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</si>
  <si>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</si>
  <si>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</si>
  <si>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</si>
  <si>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</si>
  <si>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</si>
  <si>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</si>
  <si>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</si>
  <si>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</si>
  <si>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</si>
  <si>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</si>
  <si>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</si>
  <si>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</si>
  <si>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</si>
  <si>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</si>
  <si>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</si>
  <si>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</si>
  <si>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</si>
  <si>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</si>
  <si>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</si>
  <si>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</si>
  <si>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</si>
  <si>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</si>
  <si>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</si>
  <si>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</si>
  <si>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</si>
  <si>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</si>
  <si>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</si>
  <si>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</si>
  <si>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</si>
  <si>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</si>
  <si>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</si>
  <si>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</si>
  <si>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</si>
  <si>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</si>
  <si>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</si>
  <si>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</si>
  <si>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</si>
  <si>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</si>
  <si>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</si>
  <si>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</si>
  <si>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</si>
  <si>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</si>
  <si>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</si>
  <si>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</si>
  <si>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</si>
  <si>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</si>
  <si>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</si>
  <si>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</si>
  <si>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</si>
  <si>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</si>
  <si>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</si>
  <si>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</si>
  <si>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</si>
  <si>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</si>
  <si>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</si>
  <si>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</si>
  <si>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</si>
  <si>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</si>
  <si>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</si>
  <si>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</si>
  <si>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</si>
  <si>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</si>
  <si>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</si>
  <si>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</si>
  <si>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</si>
  <si>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</si>
  <si>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</si>
  <si>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</si>
  <si>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</si>
  <si>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</si>
  <si>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</si>
  <si>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</si>
  <si>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</si>
  <si>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</si>
  <si>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</si>
  <si>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</si>
  <si>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</si>
  <si>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</si>
  <si>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</si>
  <si>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</si>
  <si>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</si>
  <si>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</si>
  <si>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</si>
  <si>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</si>
  <si>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</si>
  <si>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</si>
  <si>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</si>
  <si>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</si>
  <si>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</si>
  <si>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</si>
  <si>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</si>
  <si>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</si>
  <si>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</si>
  <si>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</si>
  <si>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</si>
  <si>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</si>
  <si>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</si>
  <si>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</si>
  <si>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</si>
  <si>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</si>
  <si>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</si>
  <si>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</si>
  <si>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</si>
  <si>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</si>
  <si>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</si>
  <si>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</si>
  <si>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</si>
  <si>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</si>
  <si>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</si>
  <si>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</si>
  <si>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</si>
  <si>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</si>
  <si>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</si>
  <si>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</si>
  <si>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</si>
  <si>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</si>
  <si>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</si>
  <si>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</si>
  <si>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</si>
  <si>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</si>
  <si>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</si>
  <si>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</si>
  <si>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</si>
  <si>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</si>
  <si>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</si>
  <si>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</si>
  <si>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</si>
  <si>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</si>
  <si>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</si>
  <si>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</si>
  <si>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</si>
  <si>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</si>
  <si>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</si>
  <si>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</si>
  <si>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</si>
  <si>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</si>
  <si>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</si>
  <si>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</si>
  <si>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</si>
  <si>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</si>
  <si>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</si>
  <si>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</si>
  <si>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</si>
  <si>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</si>
  <si>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</si>
  <si>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</si>
  <si>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</si>
  <si>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</si>
  <si>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</si>
  <si>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</si>
  <si>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</si>
  <si>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</si>
  <si>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</si>
  <si>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</si>
  <si>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</si>
  <si>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</si>
  <si>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</si>
  <si>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</si>
  <si>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</si>
  <si>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</si>
  <si>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</si>
  <si>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</si>
  <si>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</si>
  <si>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</si>
  <si>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</si>
  <si>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</si>
  <si>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</si>
  <si>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</si>
  <si>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</si>
  <si>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</si>
  <si>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</si>
  <si>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</si>
  <si>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</si>
  <si>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</si>
  <si>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</si>
  <si>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</si>
  <si>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</si>
  <si>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</si>
  <si>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</si>
  <si>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</si>
  <si>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</si>
  <si>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</si>
  <si>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</si>
  <si>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</si>
  <si>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</si>
  <si>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</si>
  <si>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</si>
  <si>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</si>
  <si>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</si>
  <si>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</si>
  <si>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</si>
  <si>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</si>
  <si>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</si>
  <si>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</si>
  <si>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</si>
  <si>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</si>
  <si>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</si>
  <si>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</si>
  <si>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</si>
  <si>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</si>
  <si>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</si>
  <si>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</si>
  <si>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</si>
  <si>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</si>
  <si>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</si>
  <si>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</si>
  <si>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</si>
  <si>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</si>
  <si>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</si>
  <si>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</si>
  <si>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</si>
  <si>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</si>
  <si>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</si>
  <si>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</si>
  <si>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</si>
  <si>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</si>
  <si>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</si>
  <si>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</si>
  <si>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</si>
  <si>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</si>
  <si>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</si>
  <si>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</si>
  <si>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</si>
  <si>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</si>
  <si>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</si>
  <si>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</si>
  <si>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</si>
  <si>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</si>
  <si>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</si>
  <si>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</si>
  <si>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</si>
  <si>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</si>
  <si>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</si>
  <si>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</si>
  <si>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</si>
  <si>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</si>
  <si>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</si>
  <si>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</si>
  <si>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</si>
  <si>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</si>
  <si>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</si>
  <si>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</si>
  <si>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</si>
  <si>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</si>
  <si>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</si>
  <si>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</si>
  <si>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</si>
  <si>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</si>
  <si>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</si>
  <si>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</si>
  <si>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</si>
  <si>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</si>
  <si>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</si>
  <si>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</si>
  <si>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</si>
  <si>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</si>
  <si>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</si>
  <si>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</si>
  <si>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</si>
  <si>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</si>
  <si>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</si>
  <si>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</si>
  <si>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</si>
  <si>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</si>
  <si>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</si>
  <si>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</si>
  <si>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</si>
  <si>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</si>
  <si>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</si>
  <si>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</si>
  <si>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</si>
  <si>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</si>
  <si>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</si>
  <si>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</si>
  <si>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</si>
  <si>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</si>
  <si>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</si>
  <si>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</si>
  <si>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</si>
  <si>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</si>
  <si>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</si>
  <si>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</si>
  <si>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</si>
  <si>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</si>
  <si>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</si>
  <si>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</si>
  <si>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</si>
  <si>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</si>
  <si>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</si>
  <si>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</si>
  <si>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</si>
  <si>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</si>
  <si>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</si>
  <si>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</si>
  <si>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</si>
  <si>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</si>
  <si>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</si>
  <si>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</si>
  <si>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</si>
  <si>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</si>
  <si>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</si>
  <si>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</si>
  <si>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</si>
  <si>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</si>
  <si>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</si>
  <si>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</si>
  <si>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</si>
  <si>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</si>
  <si>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</si>
  <si>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</si>
  <si>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</si>
  <si>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</si>
  <si>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</si>
  <si>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</si>
  <si>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</si>
  <si>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</si>
  <si>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</si>
  <si>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</si>
  <si>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</si>
  <si>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</si>
  <si>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</si>
  <si>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</si>
  <si>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</si>
  <si>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</si>
  <si>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</si>
  <si>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</si>
  <si>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</si>
  <si>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</si>
  <si>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</si>
  <si>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</si>
  <si>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</si>
  <si>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</si>
  <si>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</si>
  <si>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</si>
  <si>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</si>
  <si>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</si>
  <si>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</si>
  <si>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</si>
  <si>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</si>
  <si>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</si>
  <si>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</si>
  <si>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</si>
  <si>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</si>
  <si>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</si>
  <si>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</si>
  <si>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</si>
  <si>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</si>
  <si>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</si>
  <si>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</si>
  <si>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</si>
  <si>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</si>
  <si>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</si>
  <si>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</si>
  <si>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</si>
  <si>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</si>
  <si>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</si>
  <si>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</si>
  <si>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</si>
  <si>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</si>
  <si>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</si>
  <si>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</si>
  <si>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</si>
  <si>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</si>
  <si>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</si>
  <si>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</si>
  <si>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</si>
  <si>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</si>
  <si>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</si>
  <si>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</si>
  <si>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</si>
  <si>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</si>
  <si>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</si>
  <si>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</si>
  <si>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</si>
  <si>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</si>
  <si>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</si>
  <si>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</si>
  <si>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</si>
  <si>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</si>
  <si>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</si>
  <si>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</si>
  <si>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</si>
  <si>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</si>
  <si>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</si>
  <si>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</si>
  <si>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</si>
  <si>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</si>
  <si>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</si>
  <si>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</si>
  <si>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</si>
  <si>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</si>
  <si>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</si>
  <si>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</si>
  <si>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</si>
  <si>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</si>
  <si>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</si>
  <si>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</si>
  <si>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</si>
  <si>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</si>
  <si>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</si>
  <si>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</si>
  <si>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</si>
  <si>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</si>
  <si>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</si>
  <si>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</si>
  <si>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</si>
  <si>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</si>
  <si>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</si>
  <si>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</si>
  <si>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</si>
  <si>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</si>
  <si>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</si>
  <si>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</si>
  <si>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</si>
  <si>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</si>
  <si>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</si>
  <si>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</si>
  <si>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</si>
  <si>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</si>
  <si>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</si>
  <si>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</si>
  <si>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</si>
  <si>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</si>
  <si>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</si>
  <si>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</si>
  <si>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</si>
  <si>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</si>
  <si>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</si>
  <si>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</si>
  <si>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</si>
  <si>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</si>
  <si>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</si>
  <si>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</si>
  <si>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</si>
  <si>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</si>
  <si>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</si>
  <si>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</si>
  <si>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</si>
  <si>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</si>
  <si>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</si>
  <si>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</si>
  <si>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</si>
  <si>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</si>
  <si>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</si>
  <si>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</si>
  <si>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</si>
  <si>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</si>
  <si>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</si>
  <si>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</si>
  <si>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</si>
  <si>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</si>
  <si>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</si>
  <si>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</si>
  <si>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</si>
  <si>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</si>
  <si>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</si>
  <si>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</si>
  <si>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</si>
  <si>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</si>
  <si>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</si>
  <si>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</si>
  <si>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</si>
  <si>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</si>
  <si>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</si>
  <si>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</si>
  <si>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</si>
  <si>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</si>
  <si>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</si>
  <si>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</si>
  <si>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</si>
  <si>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</si>
  <si>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</si>
  <si>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</si>
  <si>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</si>
  <si>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</si>
  <si>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</si>
  <si>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</si>
  <si>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</si>
  <si>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</si>
  <si>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</si>
  <si>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</si>
  <si>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</si>
  <si>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</si>
  <si>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</si>
  <si>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</si>
  <si>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</si>
  <si>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</si>
  <si>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</si>
  <si>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</si>
  <si>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</si>
  <si>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</si>
  <si>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</si>
  <si>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</si>
  <si>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</si>
  <si>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</si>
  <si>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</si>
  <si>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</si>
  <si>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</si>
  <si>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</si>
  <si>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</si>
  <si>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</si>
  <si>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</si>
  <si>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</si>
  <si>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</si>
  <si>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</si>
  <si>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</si>
  <si>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</si>
  <si>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</si>
  <si>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</si>
  <si>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</si>
  <si>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</si>
  <si>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</si>
  <si>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</si>
  <si>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</si>
  <si>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</si>
  <si>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</si>
  <si>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</si>
  <si>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</si>
  <si>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</si>
  <si>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</si>
  <si>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</si>
  <si>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</si>
  <si>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</si>
  <si>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</si>
  <si>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</si>
  <si>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</si>
  <si>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</si>
  <si>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</si>
  <si>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</si>
  <si>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</si>
  <si>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</si>
  <si>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</si>
  <si>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</si>
  <si>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</si>
  <si>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</si>
  <si>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</si>
  <si>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</si>
  <si>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</si>
  <si>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</si>
  <si>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</si>
  <si>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</si>
  <si>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</si>
  <si>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</si>
  <si>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</si>
  <si>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</si>
  <si>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</si>
  <si>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</si>
  <si>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</si>
  <si>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</si>
  <si>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</si>
  <si>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</si>
  <si>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</si>
  <si>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</si>
  <si>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</si>
  <si>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</si>
  <si>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</si>
  <si>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</si>
  <si>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</si>
  <si>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</si>
  <si>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</si>
  <si>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</si>
  <si>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</si>
  <si>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</si>
  <si>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</si>
  <si>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</si>
  <si>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</si>
  <si>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</si>
  <si>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</si>
  <si>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</si>
  <si>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</si>
  <si>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</si>
  <si>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</si>
  <si>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</si>
  <si>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</si>
  <si>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</si>
  <si>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</si>
  <si>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</si>
  <si>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</si>
  <si>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</si>
  <si>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</si>
  <si>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</si>
  <si>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</si>
  <si>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</si>
  <si>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</si>
  <si>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</si>
  <si>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</si>
  <si>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</si>
  <si>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</si>
  <si>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</si>
  <si>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</si>
  <si>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</si>
  <si>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</si>
  <si>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</si>
  <si>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</si>
  <si>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</si>
  <si>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</si>
  <si>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</si>
  <si>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</si>
  <si>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</si>
  <si>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</si>
  <si>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</si>
  <si>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</si>
  <si>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</si>
  <si>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</si>
  <si>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</si>
  <si>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</si>
  <si>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</si>
  <si>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</si>
  <si>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</si>
  <si>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</si>
  <si>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</si>
  <si>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</si>
  <si>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</si>
  <si>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</si>
  <si>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</si>
  <si>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</si>
  <si>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</si>
  <si>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</si>
  <si>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</si>
  <si>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</si>
  <si>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</si>
  <si>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</si>
  <si>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</si>
  <si>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</si>
  <si>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</si>
  <si>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</si>
  <si>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</si>
  <si>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</si>
  <si>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</si>
  <si>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</si>
  <si>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</si>
  <si>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</si>
  <si>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</si>
  <si>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</si>
  <si>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</si>
  <si>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</si>
  <si>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</si>
  <si>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</si>
  <si>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</si>
  <si>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</si>
  <si>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</si>
  <si>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</si>
  <si>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</si>
  <si>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</si>
  <si>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</si>
  <si>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</si>
  <si>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</si>
  <si>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</si>
  <si>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</si>
  <si>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</si>
  <si>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</si>
  <si>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</si>
  <si>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</si>
  <si>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</si>
  <si>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</si>
  <si>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</si>
  <si>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</si>
  <si>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</si>
  <si>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</si>
  <si>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</si>
  <si>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</si>
  <si>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</si>
  <si>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</si>
  <si>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</si>
  <si>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</si>
  <si>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</si>
  <si>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</si>
  <si>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</si>
  <si>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</si>
  <si>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</si>
  <si>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</si>
  <si>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</si>
  <si>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</si>
  <si>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</si>
  <si>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</si>
  <si>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</si>
  <si>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</si>
  <si>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</si>
  <si>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</si>
  <si>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</si>
  <si>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</si>
  <si>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</si>
  <si>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</si>
  <si>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</si>
  <si>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</si>
  <si>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</si>
  <si>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</si>
  <si>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</si>
  <si>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</si>
  <si>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</si>
  <si>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</si>
  <si>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</si>
  <si>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</si>
  <si>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</si>
  <si>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</si>
  <si>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</si>
  <si>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</si>
  <si>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</si>
  <si>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</si>
  <si>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</si>
  <si>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</si>
  <si>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</si>
  <si>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</si>
  <si>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</si>
  <si>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</si>
  <si>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</si>
  <si>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</si>
  <si>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</si>
  <si>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</si>
  <si>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</si>
  <si>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</si>
  <si>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</si>
  <si>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</si>
  <si>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</si>
  <si>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</si>
  <si>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</si>
  <si>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</si>
  <si>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</si>
  <si>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</si>
  <si>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</si>
  <si>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</si>
  <si>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</si>
  <si>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</si>
  <si>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</si>
  <si>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</si>
  <si>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</si>
  <si>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</si>
  <si>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</si>
  <si>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</si>
  <si>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</si>
  <si>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</si>
  <si>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</si>
  <si>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</si>
  <si>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</si>
  <si>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</si>
  <si>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</si>
  <si>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</si>
  <si>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</si>
  <si>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</si>
  <si>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</si>
  <si>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</si>
  <si>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</si>
  <si>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</si>
  <si>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</si>
  <si>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</si>
  <si>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</si>
  <si>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</si>
  <si>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</si>
  <si>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</si>
  <si>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</si>
  <si>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</si>
  <si>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</si>
  <si>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</si>
  <si>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</si>
  <si>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</si>
  <si>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</si>
  <si>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</si>
  <si>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</si>
  <si>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</si>
  <si>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</si>
  <si>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</si>
  <si>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</si>
  <si>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</si>
  <si>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</si>
  <si>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</si>
  <si>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</si>
  <si>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</si>
  <si>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</si>
  <si>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</si>
  <si>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</si>
  <si>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</si>
  <si>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</si>
  <si>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</si>
  <si>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</si>
  <si>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</si>
  <si>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</si>
  <si>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</si>
  <si>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</si>
  <si>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</si>
  <si>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</si>
  <si>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</si>
  <si>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</si>
  <si>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</si>
  <si>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</si>
  <si>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</si>
  <si>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</si>
  <si>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</si>
  <si>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</si>
  <si>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</si>
  <si>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</si>
  <si>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</si>
  <si>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</si>
  <si>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</si>
  <si>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</si>
  <si>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</si>
  <si>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</si>
  <si>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</si>
  <si>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</si>
  <si>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</si>
  <si>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</si>
  <si>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</si>
  <si>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</si>
  <si>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</si>
  <si>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</si>
  <si>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</si>
  <si>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</si>
  <si>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</si>
  <si>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</si>
  <si>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</si>
  <si>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</si>
  <si>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</si>
  <si>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</si>
  <si>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</si>
  <si>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</si>
  <si>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</si>
  <si>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</si>
  <si>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</si>
  <si>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</si>
  <si>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</si>
  <si>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</si>
  <si>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</si>
  <si>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</si>
  <si>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</si>
  <si>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</si>
  <si>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</si>
  <si>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</si>
  <si>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</si>
  <si>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</si>
  <si>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</si>
  <si>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</si>
  <si>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</si>
  <si>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</si>
  <si>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</si>
  <si>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</si>
  <si>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</si>
  <si>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</si>
  <si>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</si>
  <si>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</si>
  <si>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</si>
  <si>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</si>
  <si>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</si>
  <si>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</si>
  <si>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</si>
  <si>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</si>
  <si>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</si>
  <si>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</si>
  <si>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</si>
  <si>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</si>
  <si>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</si>
  <si>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</si>
  <si>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</si>
  <si>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</si>
  <si>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</si>
  <si>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</si>
  <si>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</si>
  <si>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</si>
  <si>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</si>
  <si>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</si>
  <si>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</si>
  <si>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</si>
  <si>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</si>
  <si>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</si>
  <si>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</si>
  <si>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</si>
  <si>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</si>
  <si>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</si>
  <si>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</si>
  <si>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</si>
  <si>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2023-2</t>
  </si>
  <si>
    <t>2023-4</t>
  </si>
  <si>
    <t>2023-3</t>
  </si>
  <si>
    <t>2023-1</t>
    <phoneticPr fontId="3" type="noConversion"/>
  </si>
  <si>
    <t>2022-4</t>
    <phoneticPr fontId="3" type="noConversion"/>
  </si>
  <si>
    <t>地上</t>
  </si>
  <si>
    <t>地下</t>
  </si>
  <si>
    <t>车库—商业</t>
  </si>
  <si>
    <t>是</t>
  </si>
  <si>
    <t>商业</t>
    <phoneticPr fontId="7" type="noConversion"/>
  </si>
  <si>
    <t>抵押</t>
  </si>
  <si>
    <t>房地产抵押价值</t>
  </si>
  <si>
    <t>北京市</t>
  </si>
  <si>
    <t>企业</t>
  </si>
  <si>
    <t>不临65条商业街</t>
  </si>
  <si>
    <t>通路</t>
  </si>
  <si>
    <t>通电</t>
  </si>
  <si>
    <t>通讯</t>
  </si>
  <si>
    <t>通上水</t>
  </si>
  <si>
    <t>通下水</t>
  </si>
  <si>
    <t>平整</t>
  </si>
  <si>
    <t>与级别开发程度一致</t>
  </si>
  <si>
    <t>中心城区以外</t>
  </si>
  <si>
    <t>较好</t>
  </si>
  <si>
    <t>一般</t>
  </si>
  <si>
    <t>利息：取LPR加浮动点数</t>
  </si>
  <si>
    <t>成新度</t>
  </si>
  <si>
    <t>押一</t>
  </si>
  <si>
    <t>钢混</t>
  </si>
  <si>
    <t>非生产用房</t>
  </si>
  <si>
    <t>否</t>
  </si>
  <si>
    <t>收益法-办公</t>
    <phoneticPr fontId="16" type="noConversion"/>
  </si>
  <si>
    <t>收益法-车库</t>
    <phoneticPr fontId="16" type="noConversion"/>
  </si>
  <si>
    <t>收益法</t>
  </si>
  <si>
    <t>全部缴纳</t>
  </si>
  <si>
    <t>已包含在土地取得成本中</t>
  </si>
  <si>
    <t>未包含在土地购买价格中</t>
  </si>
  <si>
    <t>地块名称</t>
  </si>
  <si>
    <t>城市</t>
  </si>
  <si>
    <t>用地性质</t>
  </si>
  <si>
    <t>建设用地面积(㎡)</t>
  </si>
  <si>
    <t>规划建筑面积(㎡)</t>
  </si>
  <si>
    <t>容积率</t>
  </si>
  <si>
    <t>出让方式</t>
  </si>
  <si>
    <t>详细规划</t>
  </si>
  <si>
    <t>集中供地</t>
  </si>
  <si>
    <t>截止日期</t>
  </si>
  <si>
    <t>成交日期</t>
  </si>
  <si>
    <t>起始价(万元)</t>
  </si>
  <si>
    <t>成交价(万元)</t>
  </si>
  <si>
    <t>成交楼面价(元/㎡)</t>
  </si>
  <si>
    <t>溢价率</t>
  </si>
  <si>
    <t>受让单位</t>
  </si>
  <si>
    <t>土地星级</t>
  </si>
  <si>
    <t>北京市怀柔区怀北、雁栖镇HR00-0211-6031地块〔城市客厅B地块(北侧地块)〕F3其他类多功能用地(怀柔科学城核心区及周边土地一级开发项目)</t>
  </si>
  <si>
    <t>商业/办公用地</t>
  </si>
  <si>
    <t>挂牌</t>
  </si>
  <si>
    <t>F3其他类多功能用地</t>
  </si>
  <si>
    <t>2022-01-19</t>
  </si>
  <si>
    <t>北京怀柔科学城城开三部开发建设有限公司</t>
  </si>
  <si>
    <t>2星</t>
  </si>
  <si>
    <t>北京市怀柔区北房镇、怀北镇HR00-0211-6027、6028、6029、6030地块(城市客厅C地块)F3其他类多功能用地(怀柔科学城核心区及周边土地一级开发项目)</t>
  </si>
  <si>
    <t>北京怀柔科学城城开四部开发建设有限公司</t>
  </si>
  <si>
    <t>北京市怀柔区怀北镇雁柏山庄北侧地块B1商业用地</t>
  </si>
  <si>
    <t>≤0.45</t>
  </si>
  <si>
    <t>B1商业用地</t>
  </si>
  <si>
    <t>2021-01-28</t>
  </si>
  <si>
    <t>北京雁柏山庄有限责任公司</t>
  </si>
  <si>
    <t>北京市房山区长阳镇06、07街区棚户区改造土地开发七片区项目FS10-0107-0005地块F3其他类多功能用地</t>
  </si>
  <si>
    <t>≤3</t>
  </si>
  <si>
    <t>2020-12-28</t>
  </si>
  <si>
    <t>北京北投新城开发建设有限公司、北京城市副中心投资基金合伙企业(有限合伙)</t>
  </si>
  <si>
    <t>4星</t>
  </si>
  <si>
    <t>北京市怀柔科学城核心区及周边土地一级开发项目HR00-0211-6002、6009、6010、6011、6019地块(城市客厅A)F3其他类多功能用地</t>
  </si>
  <si>
    <t>≤1.9</t>
  </si>
  <si>
    <t>2020-11-03</t>
  </si>
  <si>
    <t>北京怀柔科学城城开一部开发建设有限公司</t>
  </si>
  <si>
    <t>北京市怀柔区怀北镇雁柏山庄南侧地块B1商业用地</t>
  </si>
  <si>
    <t>≤0.16</t>
  </si>
  <si>
    <t>2020-10-12</t>
  </si>
  <si>
    <t>北京市怀柔区怀北镇栖湖组团F3其他类多功能用地</t>
  </si>
  <si>
    <t>≤0.68</t>
  </si>
  <si>
    <t>北京栖湖饭店有限责任公司</t>
  </si>
  <si>
    <t>正常</t>
    <phoneticPr fontId="30" type="noConversion"/>
  </si>
  <si>
    <t>正常</t>
    <phoneticPr fontId="30" type="noConversion"/>
  </si>
  <si>
    <t>自定义容积率</t>
  </si>
  <si>
    <t>容积率</t>
    <phoneticPr fontId="134" type="noConversion"/>
  </si>
  <si>
    <t>系数</t>
    <phoneticPr fontId="134" type="noConversion"/>
  </si>
  <si>
    <t>系数转换</t>
    <phoneticPr fontId="134" type="noConversion"/>
  </si>
  <si>
    <t>修正系数</t>
    <phoneticPr fontId="134" type="noConversion"/>
  </si>
  <si>
    <t>楼面积修正</t>
    <phoneticPr fontId="134" type="noConversion"/>
  </si>
  <si>
    <t>单位面积地价</t>
  </si>
  <si>
    <t>一般</t>
    <phoneticPr fontId="30" type="noConversion"/>
  </si>
  <si>
    <t>较好</t>
    <phoneticPr fontId="30" type="noConversion"/>
  </si>
  <si>
    <t>七通</t>
    <phoneticPr fontId="30" type="noConversion"/>
  </si>
  <si>
    <t>七通</t>
    <phoneticPr fontId="30" type="noConversion"/>
  </si>
  <si>
    <t>项目模式</t>
  </si>
  <si>
    <t>售价</t>
  </si>
  <si>
    <t>2021年7月</t>
  </si>
  <si>
    <t>兴创国际中心B座</t>
  </si>
  <si>
    <t>大兴区</t>
  </si>
  <si>
    <t>资产交易</t>
  </si>
  <si>
    <t>兴创投资有限公司</t>
  </si>
  <si>
    <r>
      <rPr>
        <sz val="8"/>
        <color rgb="FF252525"/>
        <rFont val="KaiTi"/>
        <family val="3"/>
      </rPr>
      <t>北京文投集团子公司</t>
    </r>
  </si>
  <si>
    <t>艾迪城15号楼</t>
  </si>
  <si>
    <t>顺义</t>
  </si>
  <si>
    <r>
      <rPr>
        <sz val="8"/>
        <color rgb="FF252525"/>
        <rFont val="KaiTi"/>
        <family val="3"/>
      </rPr>
      <t>江河控股</t>
    </r>
  </si>
  <si>
    <r>
      <rPr>
        <sz val="8"/>
        <color rgb="FF252525"/>
        <rFont val="KaiTi"/>
        <family val="3"/>
      </rPr>
      <t>未披露</t>
    </r>
  </si>
  <si>
    <r>
      <rPr>
        <b/>
        <sz val="8"/>
        <color rgb="FF006A4D"/>
        <rFont val="KaiTi"/>
        <family val="3"/>
      </rPr>
      <t>序号</t>
    </r>
  </si>
  <si>
    <r>
      <rPr>
        <b/>
        <sz val="8"/>
        <color rgb="FF006A4D"/>
        <rFont val="KaiTi"/>
        <family val="3"/>
      </rPr>
      <t>月份</t>
    </r>
  </si>
  <si>
    <r>
      <rPr>
        <b/>
        <sz val="8"/>
        <color rgb="FF006A4D"/>
        <rFont val="KaiTi"/>
        <family val="3"/>
      </rPr>
      <t>物业类型</t>
    </r>
  </si>
  <si>
    <t>项目</t>
  </si>
  <si>
    <r>
      <rPr>
        <b/>
        <sz val="8"/>
        <color rgb="FF006A4D"/>
        <rFont val="KaiTi"/>
        <family val="3"/>
      </rPr>
      <t>地理位置</t>
    </r>
  </si>
  <si>
    <r>
      <rPr>
        <b/>
        <sz val="8"/>
        <color rgb="FF006A4D"/>
        <rFont val="KaiTi"/>
        <family val="3"/>
      </rPr>
      <t>成交金额
（亿元）</t>
    </r>
  </si>
  <si>
    <r>
      <rPr>
        <b/>
        <sz val="8"/>
        <color rgb="FF006A4D"/>
        <rFont val="KaiTi"/>
        <family val="3"/>
      </rPr>
      <t>地上面积
（平方米）</t>
    </r>
  </si>
  <si>
    <t>单价/按地上面积（元）</t>
  </si>
  <si>
    <t>交易结构</t>
  </si>
  <si>
    <t>卖方</t>
  </si>
  <si>
    <t>买方</t>
  </si>
  <si>
    <t>2021年8月</t>
  </si>
  <si>
    <t>京投万科西华府</t>
  </si>
  <si>
    <t>丰台区</t>
  </si>
  <si>
    <t>京投发展、万科</t>
  </si>
  <si>
    <r>
      <rPr>
        <sz val="8"/>
        <color rgb="FF252525"/>
        <rFont val="KaiTi"/>
        <family val="3"/>
      </rPr>
      <t>京投</t>
    </r>
  </si>
  <si>
    <t>商业</t>
    <phoneticPr fontId="30" type="noConversion"/>
  </si>
  <si>
    <t>办公</t>
    <phoneticPr fontId="30" type="noConversion"/>
  </si>
  <si>
    <t>钢混</t>
    <phoneticPr fontId="30" type="noConversion"/>
  </si>
  <si>
    <t>45-50</t>
    <phoneticPr fontId="30" type="noConversion"/>
  </si>
  <si>
    <t>40-45</t>
    <phoneticPr fontId="30" type="noConversion"/>
  </si>
  <si>
    <t>35-40</t>
    <phoneticPr fontId="30" type="noConversion"/>
  </si>
  <si>
    <t>30-35</t>
    <phoneticPr fontId="30" type="noConversion"/>
  </si>
  <si>
    <t>25-30</t>
    <phoneticPr fontId="30" type="noConversion"/>
  </si>
  <si>
    <t>20-25</t>
    <phoneticPr fontId="30" type="noConversion"/>
  </si>
  <si>
    <t>15-20</t>
    <phoneticPr fontId="30" type="noConversion"/>
  </si>
  <si>
    <t>10-15</t>
    <phoneticPr fontId="30" type="noConversion"/>
  </si>
  <si>
    <t>5-10</t>
    <phoneticPr fontId="30" type="noConversion"/>
  </si>
  <si>
    <t>15-20</t>
    <phoneticPr fontId="30" type="noConversion"/>
  </si>
  <si>
    <t>电话市调</t>
    <phoneticPr fontId="134" type="noConversion"/>
  </si>
  <si>
    <t>良乡国泰百货附近</t>
    <phoneticPr fontId="134" type="noConversion"/>
  </si>
  <si>
    <t>面积</t>
    <phoneticPr fontId="134" type="noConversion"/>
  </si>
  <si>
    <t>单价</t>
    <phoneticPr fontId="134" type="noConversion"/>
  </si>
  <si>
    <t>西大街</t>
    <phoneticPr fontId="30" type="noConversion"/>
  </si>
  <si>
    <t>南关大街</t>
    <phoneticPr fontId="3" type="noConversion"/>
  </si>
  <si>
    <t>良乡中学附近</t>
    <phoneticPr fontId="3" type="noConversion"/>
  </si>
  <si>
    <t>商业</t>
    <phoneticPr fontId="30" type="noConversion"/>
  </si>
  <si>
    <t>15-20</t>
    <phoneticPr fontId="30" type="noConversion"/>
  </si>
  <si>
    <t>一般</t>
    <phoneticPr fontId="30" type="noConversion"/>
  </si>
  <si>
    <t>一般</t>
    <phoneticPr fontId="30" type="noConversion"/>
  </si>
  <si>
    <r>
      <t>1</t>
    </r>
    <r>
      <rPr>
        <b/>
        <sz val="10"/>
        <color indexed="10"/>
        <rFont val="宋体"/>
        <family val="3"/>
        <charset val="134"/>
      </rPr>
      <t>层</t>
    </r>
    <phoneticPr fontId="24" type="noConversion"/>
  </si>
  <si>
    <r>
      <t>2</t>
    </r>
    <r>
      <rPr>
        <sz val="10"/>
        <color indexed="8"/>
        <rFont val="宋体"/>
        <family val="3"/>
        <charset val="134"/>
      </rPr>
      <t>层</t>
    </r>
    <phoneticPr fontId="24" type="noConversion"/>
  </si>
  <si>
    <r>
      <t>3</t>
    </r>
    <r>
      <rPr>
        <sz val="10"/>
        <color indexed="8"/>
        <rFont val="宋体"/>
        <family val="3"/>
        <charset val="134"/>
      </rPr>
      <t>层</t>
    </r>
    <phoneticPr fontId="24" type="noConversion"/>
  </si>
  <si>
    <r>
      <t>B1</t>
    </r>
    <r>
      <rPr>
        <sz val="10"/>
        <color indexed="8"/>
        <rFont val="宋体"/>
        <family val="3"/>
        <charset val="134"/>
      </rPr>
      <t>层</t>
    </r>
    <phoneticPr fontId="24" type="noConversion"/>
  </si>
  <si>
    <t>租金</t>
    <phoneticPr fontId="3" type="noConversion"/>
  </si>
  <si>
    <t>楼层系数</t>
    <phoneticPr fontId="3" type="noConversion"/>
  </si>
  <si>
    <t>面积</t>
    <phoneticPr fontId="3" type="noConversion"/>
  </si>
  <si>
    <t>独栋</t>
    <phoneticPr fontId="30" type="noConversion"/>
  </si>
  <si>
    <t>配套商业</t>
    <phoneticPr fontId="30" type="noConversion"/>
  </si>
  <si>
    <t>配套商业</t>
    <phoneticPr fontId="30" type="noConversion"/>
  </si>
  <si>
    <t>配套商业</t>
    <phoneticPr fontId="30" type="noConversion"/>
  </si>
  <si>
    <t>独栋</t>
    <phoneticPr fontId="30" type="noConversion"/>
  </si>
  <si>
    <t>大</t>
    <phoneticPr fontId="30" type="noConversion"/>
  </si>
  <si>
    <t>大</t>
    <phoneticPr fontId="30" type="noConversion"/>
  </si>
  <si>
    <t>较大</t>
    <phoneticPr fontId="30" type="noConversion"/>
  </si>
  <si>
    <t>一般</t>
    <phoneticPr fontId="30" type="noConversion"/>
  </si>
  <si>
    <t>较小</t>
    <phoneticPr fontId="30" type="noConversion"/>
  </si>
  <si>
    <t>较小</t>
    <phoneticPr fontId="30" type="noConversion"/>
  </si>
  <si>
    <t>总价</t>
  </si>
  <si>
    <t>市调信息</t>
    <phoneticPr fontId="134" type="noConversion"/>
  </si>
  <si>
    <r>
      <t>北侧南关大道繁华地段，商铺最低2</t>
    </r>
    <r>
      <rPr>
        <sz val="11"/>
        <color theme="1"/>
        <rFont val="宋体"/>
        <family val="3"/>
        <charset val="134"/>
        <scheme val="minor"/>
      </rPr>
      <t>8000，项目所在位置繁华度较南关大道有一定差距</t>
    </r>
    <phoneticPr fontId="134" type="noConversion"/>
  </si>
  <si>
    <t>周边市场（出售、租赁）案例较少</t>
    <phoneticPr fontId="134" type="noConversion"/>
  </si>
  <si>
    <t>估价对象</t>
    <phoneticPr fontId="134" type="noConversion"/>
  </si>
  <si>
    <t>农林路1号</t>
    <phoneticPr fontId="134" type="noConversion"/>
  </si>
  <si>
    <t>正常</t>
    <phoneticPr fontId="31" type="noConversion"/>
  </si>
  <si>
    <t>华亨国际中心</t>
    <phoneticPr fontId="3" type="noConversion"/>
  </si>
  <si>
    <t>绿地启航国际</t>
    <phoneticPr fontId="3" type="noConversion"/>
  </si>
  <si>
    <t>商业</t>
    <phoneticPr fontId="31" type="noConversion"/>
  </si>
  <si>
    <t>办公</t>
    <phoneticPr fontId="31" type="noConversion"/>
  </si>
  <si>
    <t>办公</t>
    <phoneticPr fontId="31" type="noConversion"/>
  </si>
  <si>
    <t>一般</t>
    <phoneticPr fontId="31" type="noConversion"/>
  </si>
  <si>
    <t>较好</t>
    <phoneticPr fontId="31" type="noConversion"/>
  </si>
  <si>
    <t>含地下</t>
    <phoneticPr fontId="31" type="noConversion"/>
  </si>
  <si>
    <t>是</t>
    <phoneticPr fontId="31" type="noConversion"/>
  </si>
  <si>
    <t>否</t>
    <phoneticPr fontId="31" type="noConversion"/>
  </si>
  <si>
    <t>精装</t>
    <phoneticPr fontId="31" type="noConversion"/>
  </si>
  <si>
    <t>简装</t>
    <phoneticPr fontId="31" type="noConversion"/>
  </si>
  <si>
    <t>普装</t>
    <phoneticPr fontId="31" type="noConversion"/>
  </si>
  <si>
    <t>毛坯</t>
    <phoneticPr fontId="31" type="noConversion"/>
  </si>
  <si>
    <t>40-50</t>
    <phoneticPr fontId="31" type="noConversion"/>
  </si>
  <si>
    <t>30-40</t>
    <phoneticPr fontId="31" type="noConversion"/>
  </si>
  <si>
    <t>20-30</t>
    <phoneticPr fontId="31" type="noConversion"/>
  </si>
  <si>
    <t>10-20</t>
    <phoneticPr fontId="31" type="noConversion"/>
  </si>
  <si>
    <t>0-10</t>
    <phoneticPr fontId="31" type="noConversion"/>
  </si>
  <si>
    <t>主干道</t>
    <phoneticPr fontId="31" type="noConversion"/>
  </si>
  <si>
    <t>次干道</t>
    <phoneticPr fontId="31" type="noConversion"/>
  </si>
  <si>
    <t>多层</t>
    <phoneticPr fontId="31" type="noConversion"/>
  </si>
  <si>
    <t>高层</t>
    <phoneticPr fontId="31" type="noConversion"/>
  </si>
  <si>
    <t>钢混</t>
    <phoneticPr fontId="31" type="noConversion"/>
  </si>
  <si>
    <t>七通</t>
    <phoneticPr fontId="31" type="noConversion"/>
  </si>
  <si>
    <t>七通</t>
    <phoneticPr fontId="31" type="noConversion"/>
  </si>
  <si>
    <t>成本法</t>
  </si>
  <si>
    <t>北京大兴国际机场临空经济区DX12-0105-6103地块S5加油加气站(加氢站)用地</t>
  </si>
  <si>
    <t>≤0.4</t>
  </si>
  <si>
    <t>S5加油加气站(加氢站)用地</t>
  </si>
  <si>
    <t>2023-01-19</t>
  </si>
  <si>
    <t>空气(北京)氢能科技有限公司</t>
  </si>
  <si>
    <t>北京经济技术开发区亦庄新城0303街区C14C-3地块F3其他类多功能用地</t>
  </si>
  <si>
    <t>≤5.0</t>
  </si>
  <si>
    <t>2022-06-23</t>
  </si>
  <si>
    <t>北京京东昆岳科技产业创新发展有限公司</t>
  </si>
  <si>
    <t>3星</t>
  </si>
  <si>
    <t>北京大兴国际机场临空经济区*DX12-0105-6006、6009*地块F3其他类多功能用地</t>
  </si>
  <si>
    <t>≤2.2</t>
  </si>
  <si>
    <t>2022-04-29</t>
  </si>
  <si>
    <t>北京新航城建设实业发展有限公司</t>
  </si>
  <si>
    <t>北京大兴国际机场临空经济区(北京部分)0205街区DX09-0103-0205地块B4综合性商业金融服务业用地</t>
  </si>
  <si>
    <t>B4综合性商业金融服务业用地</t>
  </si>
  <si>
    <t>2022-03-01</t>
  </si>
  <si>
    <t>北京经济技术开发区亦庄新城0902街区JG01-07地块F3其他类多功能用地</t>
  </si>
  <si>
    <t>2022-02-08</t>
  </si>
  <si>
    <t>中国太平洋人寿保险股份有限公司</t>
  </si>
  <si>
    <t>北京市大兴区黄村镇DX00-0201-6001地块B14旅馆用地</t>
  </si>
  <si>
    <t>B14旅馆用地</t>
  </si>
  <si>
    <t>第三批</t>
  </si>
  <si>
    <t>2021-12-24</t>
  </si>
  <si>
    <t>北京大兴宾馆有限责任公司</t>
  </si>
  <si>
    <t>北京经济技术开发区路东区G4F-4、G6F-1、G6F-5、G7F-1、G7F-2、G7F-3地块F3其他类多功能用地国有建设用地</t>
  </si>
  <si>
    <t>g4f-4≤3,g6f-1、g6f-5、g7f-1、g7f-2≤2.5,g7f-3≤1.96</t>
  </si>
  <si>
    <t>2020-08-03</t>
  </si>
  <si>
    <t>北京通明湖信息城发展有限公司</t>
  </si>
  <si>
    <t>北京经济技术开发区河西区X78C2地块B4综合性商业金融服务业用地</t>
  </si>
  <si>
    <t>≤2</t>
  </si>
  <si>
    <t>2019-08-29</t>
  </si>
  <si>
    <t>北京尚恒锦瑞商业运营管理有限公司</t>
  </si>
  <si>
    <t>北京经济技术开发区南海子郊野公园B片区B-04/*B-06/B-11地块F3其他类多功能用地</t>
  </si>
  <si>
    <t>b-04、b-06≤1.5,b-11≤2</t>
  </si>
  <si>
    <t>2019-05-28</t>
  </si>
  <si>
    <t>北京国苑体育文化投资有限责任公司</t>
  </si>
  <si>
    <t>北京市房山区长沟镇中心区FS12-0100-6022、6023等地块(北京基金小镇核心区一期)F3其他类多功能用地</t>
  </si>
  <si>
    <t>2018-06-19</t>
  </si>
  <si>
    <t>北京基金小镇控股有限公司、北京基金小镇圣泉投资中心(有限合伙)联合体</t>
  </si>
  <si>
    <t>北京经济技术开发区路东区E16街区E16C-3、E16C-5、E16S-1地块</t>
  </si>
  <si>
    <t>B4综合性商业金融服务业用地、S41公用停车场用地</t>
  </si>
  <si>
    <t>2018-06-14</t>
  </si>
  <si>
    <t>北京智方润科房地产开发有限公司</t>
  </si>
  <si>
    <t>北京市门头沟区永定镇MC00-0018-0060、0061地块B4综合性商业金融服务业用地</t>
  </si>
  <si>
    <t>2018-02-28</t>
  </si>
  <si>
    <t>金融街融辰(北京)置业有限公司、北京市京西置地有限责任公司联合体</t>
  </si>
  <si>
    <t>北京市门头沟区龙泉镇MC00-0010-6004地块B2商务用地</t>
  </si>
  <si>
    <t>B2商务用地</t>
  </si>
  <si>
    <t>2017-09-07</t>
  </si>
  <si>
    <t>北京象地房地产开发有限公司</t>
  </si>
  <si>
    <t>北京经济技术开发区路东区C14C-1、C14C-2、C14S-1地块B4综合性商业金融服务业用地及S41公用停车场用地</t>
  </si>
  <si>
    <t>2017-08-08</t>
  </si>
  <si>
    <t>北京联茂方泰房地产开发有限公司</t>
  </si>
  <si>
    <t>容积率1系数</t>
    <phoneticPr fontId="134" type="noConversion"/>
  </si>
  <si>
    <t>容积率修正</t>
  </si>
  <si>
    <r>
      <rPr>
        <sz val="10"/>
        <rFont val="宋体"/>
        <family val="3"/>
        <charset val="134"/>
      </rPr>
      <t>容积率系数</t>
    </r>
    <phoneticPr fontId="134" type="noConversion"/>
  </si>
  <si>
    <r>
      <rPr>
        <sz val="10"/>
        <rFont val="宋体"/>
        <family val="3"/>
        <charset val="134"/>
      </rPr>
      <t>修正系数</t>
    </r>
    <phoneticPr fontId="134" type="noConversion"/>
  </si>
  <si>
    <r>
      <rPr>
        <sz val="10"/>
        <rFont val="宋体"/>
        <family val="3"/>
        <charset val="134"/>
      </rPr>
      <t>楼面单价</t>
    </r>
    <phoneticPr fontId="134" type="noConversion"/>
  </si>
  <si>
    <t>较好</t>
    <phoneticPr fontId="30" type="noConversion"/>
  </si>
  <si>
    <t>一般</t>
    <phoneticPr fontId="30" type="noConversion"/>
  </si>
  <si>
    <t>九级</t>
    <phoneticPr fontId="134" type="noConversion"/>
  </si>
  <si>
    <t>七级</t>
    <phoneticPr fontId="134" type="noConversion"/>
  </si>
  <si>
    <t>十级</t>
    <phoneticPr fontId="30" type="noConversion"/>
  </si>
  <si>
    <t>六级</t>
    <phoneticPr fontId="30" type="noConversion"/>
  </si>
  <si>
    <t>七级</t>
    <phoneticPr fontId="30" type="noConversion"/>
  </si>
  <si>
    <t>八级</t>
    <phoneticPr fontId="30" type="noConversion"/>
  </si>
  <si>
    <t>九级</t>
    <phoneticPr fontId="30" type="noConversion"/>
  </si>
  <si>
    <t>商业</t>
    <phoneticPr fontId="30" type="noConversion"/>
  </si>
  <si>
    <t>B4</t>
  </si>
  <si>
    <t>B4</t>
    <phoneticPr fontId="30" type="noConversion"/>
  </si>
  <si>
    <t>F3</t>
  </si>
  <si>
    <t>F3</t>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</si>
</sst>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8"/>
      <color rgb="FF000000"/>
      <name val="KaiTi"/>
      <family val="3"/>
    </font>
    <font>
      <sz val="8"/>
      <name val="KaiTi"/>
      <family val="3"/>
    </font>
    <font>
      <sz val="8"/>
      <color rgb="FF252525"/>
      <name val="KaiTi"/>
      <family val="3"/>
    </font>
    <font>
      <sz val="8"/>
      <color theme="1"/>
      <name val="宋体"/>
      <family val="3"/>
      <charset val="134"/>
      <scheme val="minor"/>
    </font>
    <font>
      <b/>
      <sz val="8"/>
      <name val="KaiTi"/>
      <family val="1"/>
    </font>
    <font>
      <b/>
      <sz val="8"/>
      <color rgb="FF006A4D"/>
      <name val="KaiTi"/>
      <family val="3"/>
    </font>
    <font>
      <sz val="8"/>
      <color theme="1"/>
      <name val="KaiTi"/>
      <family val="3"/>
    </font>
    <font>
      <sz val="9"/>
      <color theme="1"/>
      <name val="宋体"/>
      <family val="3"/>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F1F1F1"/>
        <bgColor indexed="64"/>
      </patternFill>
    </fill>
    <fill>
      <patternFill patternType="solid">
        <fgColor rgb="FFFFC000"/>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9D9D9"/>
      </bottom>
      <diagonal/>
    </border>
    <border>
      <left style="thick">
        <color indexed="64"/>
      </left>
      <right style="thick">
        <color indexed="64"/>
      </right>
      <top style="thick">
        <color indexed="64"/>
      </top>
      <bottom style="medium">
        <color indexed="64"/>
      </bottom>
      <diagonal/>
    </border>
    <border>
      <left style="thick">
        <color indexed="64"/>
      </left>
      <right style="thick">
        <color indexed="64"/>
      </right>
      <top/>
      <bottom style="medium">
        <color indexed="64"/>
      </bottom>
      <diagonal/>
    </border>
    <border>
      <left style="thick">
        <color indexed="64"/>
      </left>
      <right style="thick">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0" fontId="53" fillId="0" borderId="0"/>
  </cellStyleXfs>
  <cellXfs count="386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0" fontId="99" fillId="0" borderId="0" xfId="9" applyNumberFormat="1"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7" fillId="6" borderId="36" xfId="0" applyFont="1" applyFill="1" applyBorder="1" applyAlignment="1" applyProtection="1">
      <alignment horizontal="left" vertical="center"/>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3" fillId="0" borderId="0" xfId="19"/>
    <xf numFmtId="0" fontId="53" fillId="16" borderId="0" xfId="19" applyFill="1"/>
    <xf numFmtId="0" fontId="0" fillId="16" borderId="0" xfId="0" applyFill="1">
      <alignment vertical="center"/>
    </xf>
    <xf numFmtId="49" fontId="128" fillId="2" borderId="26" xfId="0" applyNumberFormat="1" applyFont="1" applyFill="1" applyBorder="1" applyAlignment="1" applyProtection="1">
      <alignment horizontal="center" vertical="center" wrapText="1"/>
      <protection locked="0"/>
    </xf>
    <xf numFmtId="0" fontId="95" fillId="0" borderId="0" xfId="0" applyFont="1">
      <alignment vertical="center"/>
    </xf>
    <xf numFmtId="0" fontId="94" fillId="2" borderId="14" xfId="0" applyNumberFormat="1" applyFont="1" applyFill="1" applyBorder="1" applyAlignment="1" applyProtection="1">
      <alignment horizontal="center" vertical="center" wrapText="1"/>
      <protection locked="0"/>
    </xf>
    <xf numFmtId="49" fontId="94" fillId="2" borderId="35" xfId="0" applyNumberFormat="1" applyFont="1" applyFill="1" applyBorder="1" applyAlignment="1" applyProtection="1">
      <alignment horizontal="center" vertical="center" wrapText="1"/>
      <protection locked="0"/>
    </xf>
    <xf numFmtId="49" fontId="94" fillId="2" borderId="14" xfId="0" applyNumberFormat="1" applyFont="1" applyFill="1" applyBorder="1" applyAlignment="1" applyProtection="1">
      <alignment horizontal="center" vertical="center" wrapText="1"/>
      <protection locked="0"/>
    </xf>
    <xf numFmtId="0" fontId="94" fillId="2" borderId="41" xfId="0" applyNumberFormat="1" applyFont="1" applyFill="1" applyBorder="1" applyAlignment="1" applyProtection="1">
      <alignment horizontal="center" vertical="center" wrapText="1"/>
      <protection locked="0"/>
    </xf>
    <xf numFmtId="49" fontId="94" fillId="2" borderId="7" xfId="0" applyNumberFormat="1" applyFont="1" applyFill="1" applyBorder="1" applyAlignment="1" applyProtection="1">
      <alignment horizontal="center" vertical="center" wrapText="1"/>
      <protection locked="0"/>
    </xf>
    <xf numFmtId="49" fontId="94" fillId="2" borderId="41" xfId="0" applyNumberFormat="1" applyFont="1" applyFill="1" applyBorder="1" applyAlignment="1" applyProtection="1">
      <alignment horizontal="center" vertical="center" wrapText="1"/>
      <protection locked="0"/>
    </xf>
    <xf numFmtId="0" fontId="94" fillId="2" borderId="37" xfId="0" applyNumberFormat="1" applyFont="1" applyFill="1" applyBorder="1" applyAlignment="1" applyProtection="1">
      <alignment horizontal="center" vertical="center" wrapText="1"/>
      <protection locked="0"/>
    </xf>
    <xf numFmtId="0" fontId="94" fillId="2" borderId="7" xfId="0" applyNumberFormat="1" applyFont="1" applyFill="1" applyBorder="1" applyAlignment="1" applyProtection="1">
      <alignment horizontal="center" vertical="center" wrapText="1"/>
      <protection locked="0"/>
    </xf>
    <xf numFmtId="0" fontId="128" fillId="2" borderId="69" xfId="0" applyNumberFormat="1" applyFont="1" applyFill="1" applyBorder="1" applyAlignment="1" applyProtection="1">
      <alignment horizontal="center" vertical="center" wrapText="1"/>
      <protection locked="0"/>
    </xf>
    <xf numFmtId="0" fontId="128" fillId="2" borderId="60" xfId="0" applyNumberFormat="1" applyFont="1" applyFill="1" applyBorder="1" applyAlignment="1" applyProtection="1">
      <alignment horizontal="center" vertical="center" wrapText="1"/>
      <protection locked="0"/>
    </xf>
    <xf numFmtId="1" fontId="269" fillId="0" borderId="176" xfId="0" applyNumberFormat="1" applyFont="1" applyBorder="1" applyAlignment="1">
      <alignment horizontal="center" vertical="top" shrinkToFit="1"/>
    </xf>
    <xf numFmtId="0" fontId="270" fillId="0" borderId="176" xfId="0" applyFont="1" applyBorder="1" applyAlignment="1">
      <alignment horizontal="center" vertical="top" wrapText="1"/>
    </xf>
    <xf numFmtId="2" fontId="269" fillId="0" borderId="176" xfId="0" applyNumberFormat="1" applyFont="1" applyBorder="1" applyAlignment="1">
      <alignment shrinkToFit="1"/>
    </xf>
    <xf numFmtId="3" fontId="271" fillId="0" borderId="176" xfId="0" applyNumberFormat="1" applyFont="1" applyBorder="1" applyAlignment="1">
      <alignment shrinkToFit="1"/>
    </xf>
    <xf numFmtId="3" fontId="271" fillId="0" borderId="177" xfId="0" applyNumberFormat="1" applyFont="1" applyBorder="1" applyAlignment="1">
      <alignment shrinkToFit="1"/>
    </xf>
    <xf numFmtId="0" fontId="270" fillId="0" borderId="176" xfId="0" applyFont="1" applyBorder="1" applyAlignment="1">
      <alignment horizontal="center" vertical="center" wrapText="1"/>
    </xf>
    <xf numFmtId="0" fontId="272" fillId="0" borderId="0" xfId="0" applyFont="1" applyAlignment="1">
      <alignment horizontal="left" vertical="top"/>
    </xf>
    <xf numFmtId="1" fontId="269" fillId="22" borderId="176" xfId="0" applyNumberFormat="1" applyFont="1" applyFill="1" applyBorder="1" applyAlignment="1">
      <alignment horizontal="center" vertical="top" shrinkToFit="1"/>
    </xf>
    <xf numFmtId="0" fontId="270" fillId="22" borderId="176" xfId="0" applyFont="1" applyFill="1" applyBorder="1" applyAlignment="1">
      <alignment horizontal="center" vertical="top" wrapText="1"/>
    </xf>
    <xf numFmtId="2" fontId="269" fillId="22" borderId="176" xfId="0" applyNumberFormat="1" applyFont="1" applyFill="1" applyBorder="1" applyAlignment="1">
      <alignment shrinkToFit="1"/>
    </xf>
    <xf numFmtId="3" fontId="271" fillId="22" borderId="176" xfId="0" applyNumberFormat="1" applyFont="1" applyFill="1" applyBorder="1" applyAlignment="1">
      <alignment shrinkToFit="1"/>
    </xf>
    <xf numFmtId="3" fontId="271" fillId="22" borderId="177" xfId="0" applyNumberFormat="1" applyFont="1" applyFill="1" applyBorder="1" applyAlignment="1">
      <alignment shrinkToFit="1"/>
    </xf>
    <xf numFmtId="0" fontId="270" fillId="22" borderId="176" xfId="0" applyFont="1" applyFill="1" applyBorder="1" applyAlignment="1">
      <alignment horizontal="center" vertical="center" wrapText="1"/>
    </xf>
    <xf numFmtId="0" fontId="273" fillId="0" borderId="178" xfId="0" applyFont="1" applyBorder="1" applyAlignment="1">
      <alignment horizontal="center" vertical="top" wrapText="1"/>
    </xf>
    <xf numFmtId="0" fontId="274" fillId="0" borderId="178" xfId="0" applyFont="1" applyBorder="1" applyAlignment="1">
      <alignment horizontal="center" vertical="top" wrapText="1"/>
    </xf>
    <xf numFmtId="0" fontId="275" fillId="0" borderId="178" xfId="0" applyFont="1" applyBorder="1" applyAlignment="1">
      <alignment horizontal="left" vertical="top" wrapText="1"/>
    </xf>
    <xf numFmtId="0" fontId="274" fillId="0" borderId="179" xfId="0" applyFont="1" applyBorder="1" applyAlignment="1">
      <alignment horizontal="left" vertical="top" wrapText="1"/>
    </xf>
    <xf numFmtId="0" fontId="274" fillId="0" borderId="178" xfId="0" applyFont="1" applyBorder="1" applyAlignment="1">
      <alignment horizontal="left" vertical="top" wrapText="1" indent="1"/>
    </xf>
    <xf numFmtId="0" fontId="57" fillId="23" borderId="13" xfId="0" applyFont="1" applyFill="1" applyBorder="1" applyAlignment="1" applyProtection="1">
      <alignment horizontal="right" vertical="center"/>
    </xf>
    <xf numFmtId="189" fontId="44" fillId="6" borderId="9" xfId="0" applyNumberFormat="1" applyFont="1" applyFill="1" applyBorder="1" applyAlignment="1" applyProtection="1">
      <alignment horizontal="center" vertical="center" wrapText="1"/>
      <protection locked="0"/>
    </xf>
    <xf numFmtId="0" fontId="44" fillId="12" borderId="18" xfId="0" applyNumberFormat="1" applyFont="1" applyFill="1" applyBorder="1" applyAlignment="1" applyProtection="1">
      <alignment horizontal="center" vertical="center" wrapText="1"/>
      <protection locked="0"/>
    </xf>
    <xf numFmtId="0" fontId="128" fillId="0" borderId="51" xfId="0" applyNumberFormat="1" applyFont="1" applyFill="1" applyBorder="1" applyAlignment="1" applyProtection="1">
      <alignment horizontal="center" vertical="center" wrapText="1"/>
      <protection locked="0"/>
    </xf>
    <xf numFmtId="49" fontId="128" fillId="2" borderId="30"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51" fillId="12" borderId="0" xfId="0" applyNumberFormat="1" applyFont="1" applyFill="1" applyAlignment="1" applyProtection="1">
      <alignment horizontal="center" vertical="center"/>
      <protection locked="0"/>
    </xf>
    <xf numFmtId="0" fontId="94" fillId="2" borderId="23" xfId="0" applyFont="1" applyFill="1" applyBorder="1" applyAlignment="1" applyProtection="1">
      <alignment horizontal="center" vertical="center" wrapText="1"/>
      <protection locked="0"/>
    </xf>
    <xf numFmtId="49" fontId="51" fillId="0" borderId="44" xfId="0" applyNumberFormat="1" applyFont="1" applyFill="1" applyBorder="1" applyAlignment="1" applyProtection="1">
      <alignment horizontal="center" vertical="center" wrapText="1"/>
      <protection locked="0"/>
    </xf>
    <xf numFmtId="49" fontId="68" fillId="0" borderId="44" xfId="0" applyNumberFormat="1" applyFont="1" applyFill="1" applyBorder="1" applyAlignment="1" applyProtection="1">
      <alignment horizontal="center" vertical="center" wrapText="1"/>
      <protection locked="0"/>
    </xf>
    <xf numFmtId="4" fontId="276" fillId="0" borderId="180" xfId="0" applyNumberFormat="1" applyFont="1" applyBorder="1" applyAlignment="1">
      <alignment horizontal="center" vertical="center" wrapText="1"/>
    </xf>
    <xf numFmtId="4" fontId="276" fillId="0" borderId="181" xfId="0" applyNumberFormat="1" applyFont="1" applyBorder="1" applyAlignment="1">
      <alignment horizontal="center" vertical="center" wrapText="1"/>
    </xf>
    <xf numFmtId="4" fontId="276" fillId="0" borderId="182" xfId="0" applyNumberFormat="1" applyFont="1" applyBorder="1" applyAlignment="1">
      <alignment horizontal="center" vertical="center" wrapText="1"/>
    </xf>
    <xf numFmtId="4" fontId="60" fillId="0" borderId="1" xfId="0" applyNumberFormat="1" applyFont="1" applyFill="1" applyBorder="1" applyAlignment="1" applyProtection="1">
      <alignment horizontal="center" vertical="center"/>
      <protection locked="0"/>
    </xf>
    <xf numFmtId="0" fontId="77" fillId="12" borderId="0" xfId="0" applyFont="1" applyFill="1" applyAlignment="1" applyProtection="1">
      <alignment vertical="center"/>
      <protection locked="0"/>
    </xf>
    <xf numFmtId="0" fontId="128" fillId="2" borderId="41" xfId="0" applyNumberFormat="1" applyFont="1" applyFill="1" applyBorder="1" applyAlignment="1" applyProtection="1">
      <alignment horizontal="center" vertical="center" wrapText="1"/>
      <protection locked="0"/>
    </xf>
    <xf numFmtId="0" fontId="94" fillId="2" borderId="6" xfId="0"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49" fontId="128" fillId="2" borderId="6" xfId="0" applyNumberFormat="1" applyFont="1" applyFill="1" applyBorder="1" applyAlignment="1" applyProtection="1">
      <alignment horizontal="center" vertical="center" wrapText="1"/>
      <protection locked="0"/>
    </xf>
    <xf numFmtId="0" fontId="128" fillId="0" borderId="5" xfId="0" applyFont="1" applyFill="1" applyBorder="1" applyAlignment="1" applyProtection="1">
      <alignment horizontal="center" vertical="center" wrapText="1"/>
      <protection locked="0"/>
    </xf>
    <xf numFmtId="0" fontId="128" fillId="0" borderId="37" xfId="0" applyNumberFormat="1" applyFont="1" applyFill="1" applyBorder="1" applyAlignment="1" applyProtection="1">
      <alignment horizontal="center" vertical="center" wrapText="1"/>
      <protection locked="0"/>
    </xf>
    <xf numFmtId="0" fontId="128" fillId="0" borderId="41" xfId="0" applyNumberFormat="1" applyFont="1" applyFill="1" applyBorder="1" applyAlignment="1" applyProtection="1">
      <alignment horizontal="center" vertical="center" wrapText="1"/>
      <protection locked="0"/>
    </xf>
    <xf numFmtId="0" fontId="94" fillId="2" borderId="23" xfId="0" applyNumberFormat="1" applyFont="1" applyFill="1" applyBorder="1" applyAlignment="1" applyProtection="1">
      <alignment horizontal="center" vertical="center" wrapText="1"/>
      <protection locked="0"/>
    </xf>
    <xf numFmtId="0" fontId="94" fillId="0" borderId="44" xfId="0" applyNumberFormat="1" applyFont="1" applyFill="1" applyBorder="1" applyAlignment="1" applyProtection="1">
      <alignment horizontal="center" vertical="center" wrapText="1"/>
      <protection locked="0"/>
    </xf>
    <xf numFmtId="49" fontId="44" fillId="0" borderId="23" xfId="0" applyNumberFormat="1" applyFont="1" applyFill="1" applyBorder="1" applyAlignment="1" applyProtection="1">
      <alignment horizontal="center" vertical="center" wrapText="1"/>
      <protection locked="0"/>
    </xf>
    <xf numFmtId="0" fontId="94" fillId="2" borderId="54" xfId="0" applyNumberFormat="1" applyFont="1" applyFill="1" applyBorder="1" applyAlignment="1" applyProtection="1">
      <alignment horizontal="center" vertical="center" wrapText="1"/>
      <protection locked="0"/>
    </xf>
    <xf numFmtId="0" fontId="94" fillId="2" borderId="6" xfId="0" applyNumberFormat="1" applyFont="1" applyFill="1" applyBorder="1" applyAlignment="1" applyProtection="1">
      <alignment horizontal="center" vertical="center" wrapText="1"/>
      <protection locked="0"/>
    </xf>
    <xf numFmtId="0" fontId="94" fillId="2" borderId="35" xfId="0" applyNumberFormat="1" applyFont="1" applyFill="1" applyBorder="1" applyAlignment="1" applyProtection="1">
      <alignment horizontal="center" vertical="center" wrapText="1"/>
      <protection locked="0"/>
    </xf>
    <xf numFmtId="0" fontId="53" fillId="0" borderId="0" xfId="19"/>
    <xf numFmtId="0" fontId="53" fillId="0" borderId="0" xfId="19" applyFill="1"/>
    <xf numFmtId="0" fontId="0" fillId="0" borderId="0" xfId="0" applyFill="1">
      <alignment vertical="center"/>
    </xf>
    <xf numFmtId="0" fontId="53" fillId="8" borderId="0" xfId="19" applyFill="1"/>
    <xf numFmtId="0" fontId="0" fillId="8" borderId="0" xfId="0" applyFill="1">
      <alignment vertical="center"/>
    </xf>
    <xf numFmtId="0" fontId="95" fillId="16" borderId="0" xfId="0" applyFont="1" applyFill="1">
      <alignment vertical="center"/>
    </xf>
    <xf numFmtId="0" fontId="44" fillId="6" borderId="30" xfId="0" applyNumberFormat="1" applyFont="1" applyFill="1" applyBorder="1" applyAlignment="1" applyProtection="1">
      <alignment horizontal="center" vertical="center" wrapText="1"/>
      <protection locked="0"/>
    </xf>
    <xf numFmtId="0" fontId="44" fillId="18" borderId="24" xfId="0" applyNumberFormat="1" applyFont="1" applyFill="1" applyBorder="1" applyAlignment="1" applyProtection="1">
      <alignment horizontal="center" vertical="center" wrapText="1"/>
    </xf>
    <xf numFmtId="0" fontId="95" fillId="0" borderId="0" xfId="0" applyFont="1" applyFill="1">
      <alignment vertical="center"/>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66" fillId="0" borderId="3" xfId="0" applyFont="1" applyFill="1" applyBorder="1" applyAlignment="1" applyProtection="1">
      <alignment horizontal="center" vertical="center" wrapText="1"/>
      <protection locked="0"/>
    </xf>
    <xf numFmtId="0" fontId="51" fillId="6" borderId="13" xfId="0" applyFont="1" applyFill="1" applyBorder="1" applyAlignment="1" applyProtection="1">
      <alignment horizontal="center" vertical="center" textRotation="255" wrapText="1"/>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0" fillId="6" borderId="1" xfId="0" applyNumberFormat="1" applyFont="1" applyFill="1" applyBorder="1" applyAlignment="1" applyProtection="1">
      <alignment horizontal="center" vertical="center"/>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cellXfs>
  <cellStyles count="20">
    <cellStyle name="百分比" xfId="17" builtinId="5"/>
    <cellStyle name="百分比 2" xfId="14"/>
    <cellStyle name="常规" xfId="0" builtinId="0"/>
    <cellStyle name="常规 10" xfId="19"/>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42">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17</xdr:col>
      <xdr:colOff>179496</xdr:colOff>
      <xdr:row>65</xdr:row>
      <xdr:rowOff>65553</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743200"/>
          <a:ext cx="11838096" cy="8980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18</xdr:row>
      <xdr:rowOff>0</xdr:rowOff>
    </xdr:from>
    <xdr:to>
      <xdr:col>12</xdr:col>
      <xdr:colOff>804555</xdr:colOff>
      <xdr:row>58</xdr:row>
      <xdr:rowOff>27715</xdr:rowOff>
    </xdr:to>
    <xdr:pic>
      <xdr:nvPicPr>
        <xdr:cNvPr id="3" name="图片 2"/>
        <xdr:cNvPicPr>
          <a:picLocks noChangeAspect="1"/>
        </xdr:cNvPicPr>
      </xdr:nvPicPr>
      <xdr:blipFill>
        <a:blip xmlns:r="http://schemas.openxmlformats.org/officeDocument/2006/relationships" r:embed="rId1"/>
        <a:stretch>
          <a:fillRect/>
        </a:stretch>
      </xdr:blipFill>
      <xdr:spPr>
        <a:xfrm>
          <a:off x="0" y="3086100"/>
          <a:ext cx="10085715" cy="68857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208324</xdr:colOff>
      <xdr:row>46</xdr:row>
      <xdr:rowOff>160920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809524" cy="8047620"/>
        </a:xfrm>
        <a:prstGeom prst="rect">
          <a:avLst/>
        </a:prstGeom>
      </xdr:spPr>
    </xdr:pic>
    <xdr:clientData/>
  </xdr:twoCellAnchor>
  <xdr:twoCellAnchor editAs="oneCell">
    <xdr:from>
      <xdr:col>0</xdr:col>
      <xdr:colOff>0</xdr:colOff>
      <xdr:row>48</xdr:row>
      <xdr:rowOff>0</xdr:rowOff>
    </xdr:from>
    <xdr:to>
      <xdr:col>14</xdr:col>
      <xdr:colOff>65467</xdr:colOff>
      <xdr:row>96</xdr:row>
      <xdr:rowOff>65639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229600"/>
          <a:ext cx="9666667" cy="8295239"/>
        </a:xfrm>
        <a:prstGeom prst="rect">
          <a:avLst/>
        </a:prstGeom>
      </xdr:spPr>
    </xdr:pic>
    <xdr:clientData/>
  </xdr:twoCellAnchor>
  <xdr:twoCellAnchor editAs="oneCell">
    <xdr:from>
      <xdr:col>0</xdr:col>
      <xdr:colOff>676274</xdr:colOff>
      <xdr:row>110</xdr:row>
      <xdr:rowOff>95250</xdr:rowOff>
    </xdr:from>
    <xdr:to>
      <xdr:col>12</xdr:col>
      <xdr:colOff>93805</xdr:colOff>
      <xdr:row>141</xdr:row>
      <xdr:rowOff>33766</xdr:rowOff>
    </xdr:to>
    <xdr:pic>
      <xdr:nvPicPr>
        <xdr:cNvPr id="4" name="图片 3"/>
        <xdr:cNvPicPr>
          <a:picLocks noChangeAspect="1"/>
        </xdr:cNvPicPr>
      </xdr:nvPicPr>
      <xdr:blipFill>
        <a:blip xmlns:r="http://schemas.openxmlformats.org/officeDocument/2006/relationships" r:embed="rId3"/>
        <a:stretch>
          <a:fillRect/>
        </a:stretch>
      </xdr:blipFill>
      <xdr:spPr>
        <a:xfrm>
          <a:off x="676274" y="18954750"/>
          <a:ext cx="7647131" cy="525346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322696</xdr:colOff>
      <xdr:row>48</xdr:row>
      <xdr:rowOff>37067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9238096" cy="8266667"/>
        </a:xfrm>
        <a:prstGeom prst="rect">
          <a:avLst/>
        </a:prstGeom>
      </xdr:spPr>
    </xdr:pic>
    <xdr:clientData/>
  </xdr:twoCellAnchor>
  <xdr:twoCellAnchor editAs="oneCell">
    <xdr:from>
      <xdr:col>0</xdr:col>
      <xdr:colOff>0</xdr:colOff>
      <xdr:row>49</xdr:row>
      <xdr:rowOff>0</xdr:rowOff>
    </xdr:from>
    <xdr:to>
      <xdr:col>14</xdr:col>
      <xdr:colOff>8324</xdr:colOff>
      <xdr:row>96</xdr:row>
      <xdr:rowOff>94232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8401050"/>
          <a:ext cx="9609524" cy="8152382"/>
        </a:xfrm>
        <a:prstGeom prst="rect">
          <a:avLst/>
        </a:prstGeom>
      </xdr:spPr>
    </xdr:pic>
    <xdr:clientData/>
  </xdr:twoCellAnchor>
  <xdr:twoCellAnchor editAs="oneCell">
    <xdr:from>
      <xdr:col>0</xdr:col>
      <xdr:colOff>0</xdr:colOff>
      <xdr:row>97</xdr:row>
      <xdr:rowOff>0</xdr:rowOff>
    </xdr:from>
    <xdr:to>
      <xdr:col>13</xdr:col>
      <xdr:colOff>522696</xdr:colOff>
      <xdr:row>143</xdr:row>
      <xdr:rowOff>18062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6630650"/>
          <a:ext cx="9438096" cy="79047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0</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9.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42.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2" customWidth="1"/>
    <col min="2" max="2" width="81" style="1209" customWidth="1"/>
    <col min="3" max="16384" width="9" style="1207"/>
  </cols>
  <sheetData>
    <row r="1" spans="1:2" s="1195" customFormat="1" ht="16.5" thickBot="1">
      <c r="A1" s="1194" t="s">
        <v>521</v>
      </c>
      <c r="B1" s="1193" t="s">
        <v>600</v>
      </c>
    </row>
    <row r="2" spans="1:2" s="1198" customFormat="1" ht="15" thickTop="1">
      <c r="A2" s="1196" t="s">
        <v>522</v>
      </c>
      <c r="B2" s="1197" t="str">
        <f>'预评函-封皮'!B37:I37</f>
        <v>北京市房地产抵押价值预评估</v>
      </c>
    </row>
    <row r="3" spans="1:2" s="1201" customFormat="1">
      <c r="A3" s="1199" t="s">
        <v>523</v>
      </c>
      <c r="B3" s="1200">
        <f>'预评函-封皮'!B40</f>
        <v>0</v>
      </c>
    </row>
    <row r="4" spans="1:2" s="1201" customFormat="1">
      <c r="A4" s="1199" t="s">
        <v>524</v>
      </c>
      <c r="B4" s="1200" t="str">
        <f>'预评函-封皮'!B46</f>
        <v>（注册号：0)、（注册号：0)</v>
      </c>
    </row>
    <row r="5" spans="1:2" s="1195" customFormat="1" ht="15" thickBot="1">
      <c r="A5" s="1202" t="s">
        <v>525</v>
      </c>
      <c r="B5" s="1203" t="str">
        <f>'预评函-封皮'!B49</f>
        <v>康正预评字号</v>
      </c>
    </row>
    <row r="6" spans="1:2" s="1198" customFormat="1" ht="15" thickTop="1">
      <c r="A6" s="1196" t="s">
        <v>526</v>
      </c>
      <c r="B6" s="1197" t="str">
        <f>'预评函-1'!A4</f>
        <v>受贵公司委托，我公司对北京市房地产抵押价值进行了预评估。</v>
      </c>
    </row>
    <row r="7" spans="1:2" s="1201" customFormat="1">
      <c r="A7" s="1199" t="s">
        <v>566</v>
      </c>
      <c r="B7" s="1200" t="str">
        <f>'预评函-1'!A7</f>
        <v>估价对象为北京市房地产，为所有。根据《国有土地使用证》[]，估价对象（分摊）出让国有建设用地使用权面积为10405.33平方米，建筑面积为20062.9平方米。</v>
      </c>
    </row>
    <row r="8" spans="1:2" s="1201" customFormat="1">
      <c r="A8" s="1199" t="s">
        <v>567</v>
      </c>
      <c r="B8" s="1200" t="str">
        <f>'预评函-1'!A8</f>
        <v>估价对象简述。项目推广名，项目类型（用途），估价对象分布，各用途面积明细情况：XX用途建筑面积XX平方米，XX用途建筑面积XX平方米，……。复杂面积清单需设‘附表’列示：抵押物清单详见附表</v>
      </c>
    </row>
    <row r="9" spans="1:2" s="1201" customFormat="1">
      <c r="A9" s="1199" t="s">
        <v>568</v>
      </c>
      <c r="B9" s="1200" t="str">
        <f>'预评函-1'!A10</f>
        <v>估价对象为北京市房地产,属开发建设的，该项目尚在开发建设中。根据《国有土地使用证》[]，估价对象（分摊）出让国有建设用地使用权面积为10405.33平方米，规划建筑面积为20062.9平方米。</v>
      </c>
    </row>
    <row r="10" spans="1:2" s="1201" customFormat="1">
      <c r="A10" s="1199" t="s">
        <v>569</v>
      </c>
      <c r="B10" s="12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1" customFormat="1">
      <c r="A11" s="1199" t="s">
        <v>527</v>
      </c>
      <c r="B11" s="120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201" customFormat="1">
      <c r="A12" s="1199" t="s">
        <v>528</v>
      </c>
      <c r="B12" s="1200" t="str">
        <f>'预评函-1'!A15</f>
        <v>2023年5月22日</v>
      </c>
    </row>
    <row r="13" spans="1:2" s="1201" customFormat="1">
      <c r="A13" s="1199" t="s">
        <v>529</v>
      </c>
      <c r="B13" s="1200" t="str">
        <f>'预评函-1'!A18</f>
        <v>本次估价的“房地产价值”是指在正常市场情况下，在价值时点2023年5月22日，估价对象规划用途为，土地取得方式为出让，出让国有建设用地使用权剩余土地使用年限为，假定未设立法定优先受偿款下的房地产市场价值。</v>
      </c>
    </row>
    <row r="14" spans="1:2" s="1201" customFormat="1">
      <c r="A14" s="1199" t="s">
        <v>530</v>
      </c>
      <c r="B14" s="12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1" customFormat="1">
      <c r="A15" s="1199" t="s">
        <v>531</v>
      </c>
      <c r="B15" s="1200" t="str">
        <f>'预评函-1'!A20</f>
        <v>本次估价的“房地产抵押价值”是指估价对象在价值时点的“房地产价值”扣减估价师于价值时点所知悉的法定优先受偿款后的余额。</v>
      </c>
    </row>
    <row r="16" spans="1:2" s="1201" customFormat="1">
      <c r="A16" s="1199" t="s">
        <v>532</v>
      </c>
      <c r="B16" s="120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1" customFormat="1">
      <c r="A17" s="1199" t="s">
        <v>533</v>
      </c>
      <c r="B17" s="120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5" customFormat="1" ht="15" thickBot="1">
      <c r="A18" s="1202" t="s">
        <v>534</v>
      </c>
      <c r="B18" s="1203" t="str">
        <f>'预评函-1'!A24</f>
        <v>本次评估采用的主估价方法为成本法和收益法。</v>
      </c>
    </row>
    <row r="19" spans="1:2" s="1198" customFormat="1" ht="15" thickTop="1">
      <c r="A19" s="1196" t="s">
        <v>535</v>
      </c>
      <c r="B19" s="119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1" customFormat="1">
      <c r="A20" s="1199" t="s">
        <v>536</v>
      </c>
      <c r="B20" s="1200">
        <f ca="1">'预评函-2'!D5</f>
        <v>24240</v>
      </c>
    </row>
    <row r="21" spans="1:2" s="1201" customFormat="1">
      <c r="A21" s="1199" t="s">
        <v>537</v>
      </c>
      <c r="B21" s="1200">
        <f ca="1">'预评函-2'!D7</f>
        <v>12082</v>
      </c>
    </row>
    <row r="22" spans="1:2" s="1201" customFormat="1">
      <c r="A22" s="1199" t="s">
        <v>538</v>
      </c>
      <c r="B22" s="1200" t="str">
        <f ca="1">'预评函-2'!D6</f>
        <v>贰亿肆仟贰佰肆拾万元整</v>
      </c>
    </row>
    <row r="23" spans="1:2" s="1201" customFormat="1">
      <c r="A23" s="1199" t="s">
        <v>589</v>
      </c>
      <c r="B23" s="1200" t="str">
        <f>'预评函-2'!B8</f>
        <v>2.估价师知悉的法定优先受偿款</v>
      </c>
    </row>
    <row r="24" spans="1:2" s="1201" customFormat="1">
      <c r="A24" s="1199" t="s">
        <v>595</v>
      </c>
      <c r="B24" s="1200">
        <f>'预评函-2'!D8</f>
        <v>0</v>
      </c>
    </row>
    <row r="25" spans="1:2" s="1201" customFormat="1">
      <c r="A25" s="1199" t="s">
        <v>539</v>
      </c>
      <c r="B25" s="1200" t="str">
        <f>'预评函-2'!D9</f>
        <v>零元整</v>
      </c>
    </row>
    <row r="26" spans="1:2" s="1201" customFormat="1">
      <c r="A26" s="1199" t="s">
        <v>540</v>
      </c>
      <c r="B26" s="1200">
        <f>'预评函-2'!D10</f>
        <v>0</v>
      </c>
    </row>
    <row r="27" spans="1:2" s="1201" customFormat="1">
      <c r="A27" s="1199" t="s">
        <v>541</v>
      </c>
      <c r="B27" s="1200">
        <f>'预评函-2'!D11</f>
        <v>0</v>
      </c>
    </row>
    <row r="28" spans="1:2" s="1201" customFormat="1">
      <c r="A28" s="1199" t="s">
        <v>542</v>
      </c>
      <c r="B28" s="1200">
        <f>'预评函-2'!D12</f>
        <v>0</v>
      </c>
    </row>
    <row r="29" spans="1:2" s="1201" customFormat="1">
      <c r="A29" s="1199" t="s">
        <v>593</v>
      </c>
      <c r="B29" s="1200" t="str">
        <f>'预评函-2'!B13</f>
        <v>3.房地产抵押价值</v>
      </c>
    </row>
    <row r="30" spans="1:2" s="1201" customFormat="1">
      <c r="A30" s="1199" t="s">
        <v>594</v>
      </c>
      <c r="B30" s="1200">
        <f ca="1">'预评函-2'!D13</f>
        <v>24240</v>
      </c>
    </row>
    <row r="31" spans="1:2" s="1201" customFormat="1">
      <c r="A31" s="1199" t="s">
        <v>576</v>
      </c>
      <c r="B31" s="1200">
        <f ca="1">'预评函-2'!D15</f>
        <v>12082</v>
      </c>
    </row>
    <row r="32" spans="1:2" s="1201" customFormat="1">
      <c r="A32" s="1199" t="s">
        <v>543</v>
      </c>
      <c r="B32" s="1200" t="str">
        <f ca="1">'预评函-2'!D14</f>
        <v>贰亿肆仟贰佰肆拾万元整</v>
      </c>
    </row>
    <row r="33" spans="1:2" s="1201" customFormat="1">
      <c r="A33" s="1199" t="s">
        <v>578</v>
      </c>
      <c r="B33" s="1200" t="str">
        <f>'预评函-2'!B16</f>
        <v>——</v>
      </c>
    </row>
    <row r="34" spans="1:2" s="1201" customFormat="1">
      <c r="A34" s="1199" t="s">
        <v>596</v>
      </c>
      <c r="B34" s="1200" t="str">
        <f>'预评函-2'!D16</f>
        <v>——</v>
      </c>
    </row>
    <row r="35" spans="1:2" s="1201" customFormat="1">
      <c r="A35" s="1199" t="s">
        <v>577</v>
      </c>
      <c r="B35" s="1200" t="str">
        <f>'预评函-2'!D18</f>
        <v>——</v>
      </c>
    </row>
    <row r="36" spans="1:2" s="1201" customFormat="1">
      <c r="A36" s="1199" t="s">
        <v>544</v>
      </c>
      <c r="B36" s="1200" t="e">
        <f>'预评函-2'!D17</f>
        <v>#VALUE!</v>
      </c>
    </row>
    <row r="37" spans="1:2" s="1201" customFormat="1">
      <c r="A37" s="1199" t="s">
        <v>579</v>
      </c>
      <c r="B37" s="1200" t="str">
        <f>'预评函-2'!B19</f>
        <v>——</v>
      </c>
    </row>
    <row r="38" spans="1:2" s="1201" customFormat="1">
      <c r="A38" s="1199" t="s">
        <v>597</v>
      </c>
      <c r="B38" s="1200" t="str">
        <f>'预评函-2'!D19</f>
        <v>——</v>
      </c>
    </row>
    <row r="39" spans="1:2" s="1201" customFormat="1">
      <c r="A39" s="1199" t="s">
        <v>545</v>
      </c>
      <c r="B39" s="1200" t="str">
        <f>'预评函-2'!D21</f>
        <v>——</v>
      </c>
    </row>
    <row r="40" spans="1:2" s="1201" customFormat="1">
      <c r="A40" s="1199" t="s">
        <v>546</v>
      </c>
      <c r="B40" s="1200" t="e">
        <f>'预评函-2'!D20</f>
        <v>#VALUE!</v>
      </c>
    </row>
    <row r="41" spans="1:2" s="1201" customFormat="1">
      <c r="A41" s="1199" t="s">
        <v>592</v>
      </c>
      <c r="B41" s="1200" t="str">
        <f>'预评函-3'!A4</f>
        <v>北京市房地产</v>
      </c>
    </row>
    <row r="42" spans="1:2" s="1201" customFormat="1">
      <c r="A42" s="1199" t="s">
        <v>590</v>
      </c>
      <c r="B42" s="1200" t="str">
        <f>'预评函-3'!B2</f>
        <v>建筑面积</v>
      </c>
    </row>
    <row r="43" spans="1:2" s="1201" customFormat="1">
      <c r="A43" s="1199" t="s">
        <v>591</v>
      </c>
      <c r="B43" s="1200">
        <f>'预评函-3'!B4</f>
        <v>20062.899999999998</v>
      </c>
    </row>
    <row r="44" spans="1:2" s="1201" customFormat="1">
      <c r="A44" s="1199" t="s">
        <v>575</v>
      </c>
      <c r="B44" s="1200" t="str">
        <f>'预评函-3'!C2</f>
        <v>(分摊)土地面积</v>
      </c>
    </row>
    <row r="45" spans="1:2" s="1201" customFormat="1">
      <c r="A45" s="1199" t="s">
        <v>547</v>
      </c>
      <c r="B45" s="1200">
        <f>'预评函-3'!C4</f>
        <v>10405.33</v>
      </c>
    </row>
    <row r="46" spans="1:2" s="1201" customFormat="1">
      <c r="A46" s="1199" t="s">
        <v>573</v>
      </c>
      <c r="B46" s="1200" t="str">
        <f>'预评函-3'!D2</f>
        <v>出让国有建设用地使用权价值</v>
      </c>
    </row>
    <row r="47" spans="1:2" s="1201" customFormat="1">
      <c r="A47" s="1199" t="s">
        <v>548</v>
      </c>
      <c r="B47" s="1200" t="e">
        <f ca="1">'预评函-3'!D4</f>
        <v>#REF!</v>
      </c>
    </row>
    <row r="48" spans="1:2" s="1201" customFormat="1">
      <c r="A48" s="1199" t="s">
        <v>549</v>
      </c>
      <c r="B48" s="1200" t="e">
        <f ca="1">'预评函-3'!E4</f>
        <v>#REF!</v>
      </c>
    </row>
    <row r="49" spans="1:2" s="1201" customFormat="1">
      <c r="A49" s="1199" t="s">
        <v>550</v>
      </c>
      <c r="B49" s="1200" t="e">
        <f ca="1">'预评函-3'!D5</f>
        <v>#REF!</v>
      </c>
    </row>
    <row r="50" spans="1:2" s="1201" customFormat="1">
      <c r="A50" s="1199" t="s">
        <v>574</v>
      </c>
      <c r="B50" s="1200" t="str">
        <f>'预评函-3'!F2</f>
        <v>在建建筑物价值</v>
      </c>
    </row>
    <row r="51" spans="1:2" s="1201" customFormat="1">
      <c r="A51" s="1199" t="s">
        <v>551</v>
      </c>
      <c r="B51" s="1200" t="e">
        <f ca="1">'预评函-3'!F4</f>
        <v>#REF!</v>
      </c>
    </row>
    <row r="52" spans="1:2" s="1201" customFormat="1">
      <c r="A52" s="1199" t="s">
        <v>552</v>
      </c>
      <c r="B52" s="1200" t="e">
        <f ca="1">'预评函-3'!G4</f>
        <v>#REF!</v>
      </c>
    </row>
    <row r="53" spans="1:2" s="1201" customFormat="1">
      <c r="A53" s="1199" t="s">
        <v>580</v>
      </c>
      <c r="B53" s="1200" t="e">
        <f ca="1">'预评函-3'!F5</f>
        <v>#REF!</v>
      </c>
    </row>
    <row r="54" spans="1:2" s="1201" customFormat="1">
      <c r="A54" s="1199" t="s">
        <v>598</v>
      </c>
      <c r="B54" s="1200" t="str">
        <f>'预评函-3'!A8</f>
        <v>房地产抵押价值</v>
      </c>
    </row>
    <row r="55" spans="1:2" s="1201" customFormat="1">
      <c r="A55" s="1199" t="s">
        <v>581</v>
      </c>
      <c r="B55" s="1200" t="str">
        <f>'预评函-3'!A10</f>
        <v/>
      </c>
    </row>
    <row r="56" spans="1:2" s="1201" customFormat="1">
      <c r="A56" s="1199" t="s">
        <v>582</v>
      </c>
      <c r="B56" s="1200" t="str">
        <f>'预评函-3'!A12</f>
        <v/>
      </c>
    </row>
    <row r="57" spans="1:2" s="1195" customFormat="1" ht="15" thickBot="1">
      <c r="A57" s="1202" t="s">
        <v>599</v>
      </c>
      <c r="B57" s="1203" t="str">
        <f>'预评函-3'!A6</f>
        <v>估价师知悉的法定优先受偿款</v>
      </c>
    </row>
    <row r="58" spans="1:2" s="1198" customFormat="1" ht="15" thickTop="1">
      <c r="A58" s="1196" t="s">
        <v>553</v>
      </c>
      <c r="B58" s="1197" t="str">
        <f>'预评函-4'!A12</f>
        <v>2.本《评估意见函》仅供金融机构进行内部审核使用，不做其他目的之用。</v>
      </c>
    </row>
    <row r="59" spans="1:2" s="1201" customFormat="1">
      <c r="A59" s="1199" t="s">
        <v>554</v>
      </c>
      <c r="B59" s="1200" t="str">
        <f>'预评函-4'!A13</f>
        <v>3.抵押双方在办理抵押登记手续时，应使用本公司出具的正式《房地产评估报告》，特提醒报告使用者注意。</v>
      </c>
    </row>
    <row r="60" spans="1:2" s="1201" customFormat="1">
      <c r="A60" s="1199" t="s">
        <v>555</v>
      </c>
      <c r="B60" s="1200" t="str">
        <f>'预评函-4'!A14</f>
        <v>4.本次评估估价师所知悉的法定优先受偿款情况说明如下：</v>
      </c>
    </row>
    <row r="61" spans="1:2" s="1201" customFormat="1">
      <c r="A61" s="1199" t="s">
        <v>556</v>
      </c>
      <c r="B61" s="120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1" customFormat="1">
      <c r="A62" s="1199" t="s">
        <v>557</v>
      </c>
      <c r="B62" s="1200" t="str">
        <f>'预评函-4'!A16</f>
        <v>（2）根据《工程款支付情况说明》，截至价值时点，估价对象不存在应付未付工程款项。（只要没有施工方盖章的，均“设定”进行表述）</v>
      </c>
    </row>
    <row r="63" spans="1:2" s="1201" customFormat="1">
      <c r="A63" s="1199" t="s">
        <v>558</v>
      </c>
      <c r="B63" s="12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1" customFormat="1">
      <c r="A64" s="1199" t="s">
        <v>570</v>
      </c>
      <c r="B64" s="1200" t="str">
        <f>'预评函-4'!A18</f>
        <v>故，本次评估不存在估价师知悉的法定优先受偿款</v>
      </c>
    </row>
    <row r="65" spans="1:2" s="1201" customFormat="1">
      <c r="A65" s="1199" t="s">
        <v>559</v>
      </c>
      <c r="B65" s="120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1" customFormat="1">
      <c r="A66" s="1199" t="s">
        <v>560</v>
      </c>
      <c r="B66" s="120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201" customFormat="1">
      <c r="A67" s="1199" t="s">
        <v>571</v>
      </c>
      <c r="B67" s="120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201" customFormat="1">
      <c r="A68" s="1199" t="s">
        <v>572</v>
      </c>
      <c r="B68" s="1200" t="str">
        <f>'预评函-4'!A22</f>
        <v>8.其他需特殊说明事项：无（注意调整序号）</v>
      </c>
    </row>
    <row r="69" spans="1:2" s="1195" customFormat="1" ht="15" thickBot="1">
      <c r="A69" s="1202" t="s">
        <v>561</v>
      </c>
      <c r="B69" s="1204">
        <f>'预评函-4'!C31</f>
        <v>42551</v>
      </c>
    </row>
    <row r="70" spans="1:2" ht="15" thickTop="1">
      <c r="A70" s="1205" t="s">
        <v>562</v>
      </c>
      <c r="B70" s="1206">
        <f>'预评函-4'!A4</f>
        <v>0</v>
      </c>
    </row>
    <row r="71" spans="1:2">
      <c r="A71" s="1199" t="s">
        <v>563</v>
      </c>
      <c r="B71" s="1200">
        <f>'预评函-4'!B4</f>
        <v>0</v>
      </c>
    </row>
    <row r="72" spans="1:2">
      <c r="A72" s="1199" t="s">
        <v>564</v>
      </c>
      <c r="B72" s="1208">
        <f>'预评函-4'!A5</f>
        <v>0</v>
      </c>
    </row>
    <row r="73" spans="1:2" s="1195" customFormat="1" ht="15" thickBot="1">
      <c r="A73" s="1202" t="s">
        <v>565</v>
      </c>
      <c r="B73" s="1203">
        <f>'预评函-4'!B5</f>
        <v>0</v>
      </c>
    </row>
    <row r="74" spans="1:2" ht="15" thickTop="1">
      <c r="A74" s="1192" t="s">
        <v>601</v>
      </c>
      <c r="B74" s="1209"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1" sqref="B21"/>
    </sheetView>
  </sheetViews>
  <sheetFormatPr defaultColWidth="9" defaultRowHeight="13.5"/>
  <cols>
    <col min="1" max="1" width="13.5" style="1554" customWidth="1"/>
    <col min="2" max="2" width="23.25" style="1505" customWidth="1"/>
    <col min="3" max="3" width="13" style="1549" customWidth="1"/>
    <col min="4" max="4" width="5.75" style="1546" customWidth="1"/>
    <col min="5" max="5" width="7.125" style="1546" customWidth="1"/>
    <col min="6" max="6" width="10.625" style="1546" customWidth="1"/>
    <col min="7" max="7" width="7.5" style="1546" customWidth="1"/>
    <col min="8" max="8" width="11.875" style="1549" customWidth="1"/>
    <col min="9" max="9" width="11.625" style="1549" customWidth="1"/>
    <col min="10" max="10" width="9" style="1549" customWidth="1"/>
    <col min="11" max="19" width="9" style="1546" customWidth="1"/>
    <col min="20" max="23" width="9" style="1549" customWidth="1"/>
    <col min="24" max="24" width="21.125" style="1505" customWidth="1"/>
    <col min="25" max="16384" width="9" style="1505"/>
  </cols>
  <sheetData>
    <row r="1" spans="1:23" s="1543" customFormat="1" ht="40.5">
      <c r="A1" s="1537" t="s">
        <v>44</v>
      </c>
      <c r="B1" s="1538" t="s">
        <v>977</v>
      </c>
      <c r="C1" s="1539" t="s">
        <v>314</v>
      </c>
      <c r="D1" s="1541" t="s">
        <v>3352</v>
      </c>
      <c r="E1" s="1540" t="s">
        <v>978</v>
      </c>
      <c r="F1" s="1540" t="s">
        <v>979</v>
      </c>
      <c r="G1" s="1540" t="s">
        <v>980</v>
      </c>
      <c r="H1" s="1540" t="s">
        <v>981</v>
      </c>
      <c r="I1" s="1540" t="s">
        <v>982</v>
      </c>
      <c r="J1" s="1540" t="s">
        <v>983</v>
      </c>
      <c r="K1" s="1540" t="s">
        <v>984</v>
      </c>
      <c r="L1" s="1540" t="s">
        <v>985</v>
      </c>
      <c r="M1" s="1540" t="s">
        <v>986</v>
      </c>
      <c r="N1" s="1540" t="s">
        <v>987</v>
      </c>
      <c r="O1" s="1540" t="s">
        <v>988</v>
      </c>
      <c r="P1" s="1541" t="s">
        <v>309</v>
      </c>
      <c r="Q1" s="1541" t="s">
        <v>447</v>
      </c>
      <c r="R1" s="1540" t="s">
        <v>441</v>
      </c>
      <c r="S1" s="1540" t="s">
        <v>989</v>
      </c>
      <c r="T1" s="1542" t="s">
        <v>990</v>
      </c>
      <c r="U1" s="1540" t="s">
        <v>991</v>
      </c>
      <c r="V1" s="1540" t="s">
        <v>992</v>
      </c>
      <c r="W1" s="1540" t="s">
        <v>311</v>
      </c>
    </row>
    <row r="2" spans="1:23">
      <c r="A2" s="1544" t="s">
        <v>19</v>
      </c>
      <c r="B2" s="1544" t="s">
        <v>993</v>
      </c>
      <c r="C2" s="1545" t="s">
        <v>315</v>
      </c>
      <c r="D2" s="1546" t="s">
        <v>994</v>
      </c>
      <c r="E2" s="1546" t="s">
        <v>995</v>
      </c>
      <c r="F2" s="1546" t="s">
        <v>996</v>
      </c>
      <c r="G2" s="1546">
        <v>20</v>
      </c>
      <c r="H2" s="1546" t="s">
        <v>996</v>
      </c>
      <c r="I2" s="1546" t="s">
        <v>3338</v>
      </c>
      <c r="J2" s="1546" t="s">
        <v>997</v>
      </c>
      <c r="K2" s="1546" t="s">
        <v>998</v>
      </c>
      <c r="L2" s="1546" t="s">
        <v>998</v>
      </c>
      <c r="M2" s="1546" t="s">
        <v>998</v>
      </c>
      <c r="N2" s="1546" t="s">
        <v>998</v>
      </c>
      <c r="O2" s="1546" t="s">
        <v>998</v>
      </c>
      <c r="P2" s="1546" t="s">
        <v>998</v>
      </c>
      <c r="Q2" s="1546" t="s">
        <v>998</v>
      </c>
      <c r="R2" s="1546" t="s">
        <v>443</v>
      </c>
      <c r="S2" s="1546" t="s">
        <v>998</v>
      </c>
      <c r="T2" s="1546" t="s">
        <v>999</v>
      </c>
      <c r="U2" s="1546" t="s">
        <v>998</v>
      </c>
      <c r="V2" s="1546" t="s">
        <v>1000</v>
      </c>
      <c r="W2" s="1546" t="s">
        <v>998</v>
      </c>
    </row>
    <row r="3" spans="1:23">
      <c r="A3" s="1544" t="s">
        <v>1001</v>
      </c>
      <c r="B3" s="1547" t="s">
        <v>448</v>
      </c>
      <c r="C3" s="1548" t="s">
        <v>316</v>
      </c>
      <c r="D3" s="1546" t="s">
        <v>1002</v>
      </c>
      <c r="E3" s="1546" t="s">
        <v>13</v>
      </c>
      <c r="F3" s="1546" t="s">
        <v>1003</v>
      </c>
      <c r="G3" s="1546">
        <v>40</v>
      </c>
      <c r="H3" s="1546" t="s">
        <v>1003</v>
      </c>
      <c r="I3" s="1546" t="s">
        <v>3339</v>
      </c>
      <c r="J3" s="1546" t="s">
        <v>1004</v>
      </c>
      <c r="K3" s="1546" t="s">
        <v>1005</v>
      </c>
      <c r="L3" s="1546" t="s">
        <v>1005</v>
      </c>
      <c r="M3" s="1546" t="s">
        <v>1005</v>
      </c>
      <c r="N3" s="1546" t="s">
        <v>1005</v>
      </c>
      <c r="O3" s="1546" t="s">
        <v>1005</v>
      </c>
      <c r="P3" s="1546" t="s">
        <v>1005</v>
      </c>
      <c r="Q3" s="1546" t="s">
        <v>1005</v>
      </c>
      <c r="R3" s="1546" t="s">
        <v>442</v>
      </c>
      <c r="S3" s="1546" t="s">
        <v>1005</v>
      </c>
      <c r="T3" s="1546" t="s">
        <v>1006</v>
      </c>
      <c r="U3" s="1546" t="s">
        <v>1005</v>
      </c>
      <c r="V3" s="1546" t="s">
        <v>1007</v>
      </c>
      <c r="W3" s="1546" t="s">
        <v>1005</v>
      </c>
    </row>
    <row r="4" spans="1:23">
      <c r="A4" s="1544" t="s">
        <v>1008</v>
      </c>
      <c r="B4" s="1544" t="s">
        <v>1009</v>
      </c>
      <c r="C4" s="1545" t="s">
        <v>317</v>
      </c>
      <c r="D4" s="1546" t="s">
        <v>389</v>
      </c>
      <c r="E4" s="1546" t="s">
        <v>1010</v>
      </c>
      <c r="F4" s="1546" t="s">
        <v>1011</v>
      </c>
      <c r="G4" s="1546">
        <v>50</v>
      </c>
      <c r="H4" s="1546" t="s">
        <v>1011</v>
      </c>
      <c r="I4" s="1546" t="s">
        <v>3340</v>
      </c>
      <c r="K4" s="1546" t="s">
        <v>1012</v>
      </c>
      <c r="L4" s="1546" t="s">
        <v>1012</v>
      </c>
      <c r="M4" s="1546" t="s">
        <v>1012</v>
      </c>
      <c r="N4" s="1546" t="s">
        <v>1012</v>
      </c>
      <c r="O4" s="1546" t="s">
        <v>1012</v>
      </c>
      <c r="P4" s="1546" t="s">
        <v>1012</v>
      </c>
      <c r="Q4" s="1546" t="s">
        <v>1012</v>
      </c>
      <c r="R4" s="1546" t="s">
        <v>444</v>
      </c>
      <c r="S4" s="1546" t="s">
        <v>1012</v>
      </c>
      <c r="T4" s="1546" t="s">
        <v>1013</v>
      </c>
      <c r="U4" s="1546" t="s">
        <v>1012</v>
      </c>
      <c r="W4" s="1546" t="s">
        <v>1012</v>
      </c>
    </row>
    <row r="5" spans="1:23">
      <c r="A5" s="1544" t="s">
        <v>1014</v>
      </c>
      <c r="B5" s="1544" t="s">
        <v>1015</v>
      </c>
      <c r="C5" s="1545" t="s">
        <v>318</v>
      </c>
      <c r="F5" s="1546" t="s">
        <v>1016</v>
      </c>
      <c r="G5" s="1546">
        <v>70</v>
      </c>
      <c r="H5" s="1546" t="s">
        <v>1017</v>
      </c>
      <c r="I5" s="1546" t="s">
        <v>3341</v>
      </c>
      <c r="K5" s="1546" t="s">
        <v>1018</v>
      </c>
      <c r="L5" s="1546" t="s">
        <v>1018</v>
      </c>
      <c r="M5" s="1546" t="s">
        <v>1018</v>
      </c>
      <c r="N5" s="1546" t="s">
        <v>1018</v>
      </c>
      <c r="O5" s="1546" t="s">
        <v>1018</v>
      </c>
      <c r="P5" s="1546" t="s">
        <v>1018</v>
      </c>
      <c r="Q5" s="1546" t="s">
        <v>1018</v>
      </c>
      <c r="R5" s="1546" t="s">
        <v>445</v>
      </c>
      <c r="S5" s="1546" t="s">
        <v>1018</v>
      </c>
      <c r="T5" s="1546" t="s">
        <v>1019</v>
      </c>
      <c r="U5" s="1546" t="s">
        <v>1018</v>
      </c>
      <c r="W5" s="1546" t="s">
        <v>1018</v>
      </c>
    </row>
    <row r="6" spans="1:23">
      <c r="A6" s="1544" t="s">
        <v>1020</v>
      </c>
      <c r="B6" s="1547" t="s">
        <v>449</v>
      </c>
      <c r="C6" s="1550" t="s">
        <v>24</v>
      </c>
      <c r="F6" s="1546" t="s">
        <v>1017</v>
      </c>
      <c r="H6" s="1546" t="s">
        <v>1021</v>
      </c>
      <c r="I6" s="1546" t="s">
        <v>3342</v>
      </c>
      <c r="K6" s="1546" t="s">
        <v>1022</v>
      </c>
      <c r="L6" s="1546" t="s">
        <v>1022</v>
      </c>
      <c r="M6" s="1546" t="s">
        <v>1022</v>
      </c>
      <c r="N6" s="1546" t="s">
        <v>1022</v>
      </c>
      <c r="O6" s="1546" t="s">
        <v>1022</v>
      </c>
      <c r="P6" s="1546" t="s">
        <v>1022</v>
      </c>
      <c r="Q6" s="1546" t="s">
        <v>1022</v>
      </c>
      <c r="R6" s="1546" t="s">
        <v>446</v>
      </c>
      <c r="S6" s="1546" t="s">
        <v>1022</v>
      </c>
      <c r="T6" s="1546"/>
      <c r="U6" s="1546" t="s">
        <v>1022</v>
      </c>
      <c r="W6" s="1546" t="s">
        <v>1022</v>
      </c>
    </row>
    <row r="7" spans="1:23">
      <c r="A7" s="1544" t="s">
        <v>1023</v>
      </c>
      <c r="B7" s="1547" t="s">
        <v>450</v>
      </c>
      <c r="C7" s="1545" t="s">
        <v>25</v>
      </c>
      <c r="F7" s="1546" t="s">
        <v>1024</v>
      </c>
      <c r="H7" s="1546" t="s">
        <v>1025</v>
      </c>
      <c r="I7" s="1546" t="s">
        <v>3343</v>
      </c>
    </row>
    <row r="8" spans="1:23">
      <c r="A8" s="1544" t="s">
        <v>1026</v>
      </c>
      <c r="B8" s="1544" t="s">
        <v>1027</v>
      </c>
      <c r="C8" s="1545" t="s">
        <v>319</v>
      </c>
      <c r="F8" s="1546" t="s">
        <v>1028</v>
      </c>
      <c r="H8" s="1546" t="s">
        <v>2578</v>
      </c>
      <c r="I8" s="1546" t="s">
        <v>3344</v>
      </c>
    </row>
    <row r="9" spans="1:23">
      <c r="A9" s="1544" t="s">
        <v>1029</v>
      </c>
      <c r="B9" s="1544" t="s">
        <v>1030</v>
      </c>
      <c r="C9" s="1545" t="s">
        <v>320</v>
      </c>
      <c r="F9" s="1546" t="s">
        <v>1031</v>
      </c>
      <c r="H9" s="1546"/>
      <c r="I9" s="1549" t="s">
        <v>3345</v>
      </c>
    </row>
    <row r="10" spans="1:23">
      <c r="A10" s="1544" t="s">
        <v>1032</v>
      </c>
      <c r="B10" s="1544" t="s">
        <v>1033</v>
      </c>
      <c r="C10" s="1545" t="s">
        <v>321</v>
      </c>
      <c r="F10" s="1546" t="s">
        <v>2579</v>
      </c>
      <c r="I10" s="1549" t="s">
        <v>3346</v>
      </c>
    </row>
    <row r="11" spans="1:23">
      <c r="A11" s="1544" t="s">
        <v>1034</v>
      </c>
      <c r="B11" s="1544" t="s">
        <v>1035</v>
      </c>
      <c r="C11" s="1545" t="s">
        <v>322</v>
      </c>
      <c r="F11" s="1546" t="s">
        <v>13</v>
      </c>
      <c r="I11" s="1549" t="s">
        <v>3347</v>
      </c>
    </row>
    <row r="12" spans="1:23">
      <c r="A12" s="1544" t="s">
        <v>1036</v>
      </c>
      <c r="B12" s="1544" t="s">
        <v>1037</v>
      </c>
      <c r="C12" s="1545" t="s">
        <v>323</v>
      </c>
      <c r="I12" s="1549" t="s">
        <v>3348</v>
      </c>
    </row>
    <row r="13" spans="1:23">
      <c r="A13" s="1544" t="s">
        <v>1038</v>
      </c>
      <c r="B13" s="1544" t="s">
        <v>1039</v>
      </c>
      <c r="C13" s="1545" t="s">
        <v>324</v>
      </c>
      <c r="I13" s="1549" t="s">
        <v>3349</v>
      </c>
    </row>
    <row r="14" spans="1:23">
      <c r="A14" s="1544" t="s">
        <v>1040</v>
      </c>
      <c r="B14" s="1544" t="s">
        <v>1041</v>
      </c>
      <c r="C14" s="1546" t="s">
        <v>13</v>
      </c>
      <c r="I14" s="1549" t="s">
        <v>3350</v>
      </c>
    </row>
    <row r="15" spans="1:23">
      <c r="A15" s="1544" t="s">
        <v>1042</v>
      </c>
      <c r="B15" s="1544" t="s">
        <v>1043</v>
      </c>
      <c r="C15" s="1545"/>
      <c r="I15" s="1549" t="s">
        <v>3351</v>
      </c>
    </row>
    <row r="16" spans="1:23">
      <c r="A16" s="1544" t="s">
        <v>1044</v>
      </c>
      <c r="B16" s="1544" t="s">
        <v>312</v>
      </c>
      <c r="C16" s="1545"/>
    </row>
    <row r="17" spans="1:3">
      <c r="A17" s="1544" t="s">
        <v>1045</v>
      </c>
      <c r="B17" s="1544" t="s">
        <v>2291</v>
      </c>
      <c r="C17" s="1545"/>
    </row>
    <row r="18" spans="1:3">
      <c r="A18" s="1544" t="s">
        <v>1046</v>
      </c>
      <c r="B18" s="1544" t="s">
        <v>2434</v>
      </c>
      <c r="C18" s="1545"/>
    </row>
    <row r="19" spans="1:3">
      <c r="A19" s="1544" t="s">
        <v>1047</v>
      </c>
      <c r="B19" s="1544" t="s">
        <v>3400</v>
      </c>
      <c r="C19" s="1545"/>
    </row>
    <row r="20" spans="1:3">
      <c r="A20" s="1544" t="s">
        <v>1048</v>
      </c>
      <c r="B20" s="1544" t="s">
        <v>3401</v>
      </c>
      <c r="C20" s="1545"/>
    </row>
    <row r="21" spans="1:3">
      <c r="A21" s="1544" t="s">
        <v>1049</v>
      </c>
      <c r="B21" s="1544" t="s">
        <v>313</v>
      </c>
      <c r="C21" s="1545"/>
    </row>
    <row r="22" spans="1:3">
      <c r="A22" s="1544" t="s">
        <v>1050</v>
      </c>
      <c r="B22" s="1544" t="s">
        <v>313</v>
      </c>
      <c r="C22" s="1545"/>
    </row>
    <row r="23" spans="1:3">
      <c r="A23" s="1544" t="s">
        <v>1051</v>
      </c>
      <c r="B23" s="1544" t="s">
        <v>313</v>
      </c>
      <c r="C23" s="1545"/>
    </row>
    <row r="24" spans="1:3">
      <c r="A24" s="1544" t="s">
        <v>1052</v>
      </c>
      <c r="B24" s="1544" t="s">
        <v>313</v>
      </c>
      <c r="C24" s="1545"/>
    </row>
    <row r="25" spans="1:3">
      <c r="A25" s="1544" t="s">
        <v>1053</v>
      </c>
      <c r="B25" s="1544" t="s">
        <v>313</v>
      </c>
      <c r="C25" s="1545"/>
    </row>
    <row r="26" spans="1:3">
      <c r="A26" s="1544" t="s">
        <v>1054</v>
      </c>
      <c r="B26" s="1544" t="s">
        <v>313</v>
      </c>
      <c r="C26" s="1545"/>
    </row>
    <row r="27" spans="1:3">
      <c r="A27" s="1544" t="s">
        <v>313</v>
      </c>
      <c r="B27" s="1544" t="s">
        <v>313</v>
      </c>
      <c r="C27" s="1545"/>
    </row>
    <row r="28" spans="1:3">
      <c r="A28" s="1544" t="s">
        <v>313</v>
      </c>
      <c r="B28" s="1544" t="s">
        <v>313</v>
      </c>
      <c r="C28" s="1545"/>
    </row>
    <row r="29" spans="1:3">
      <c r="A29" s="1544" t="s">
        <v>313</v>
      </c>
      <c r="B29" s="1544" t="s">
        <v>313</v>
      </c>
      <c r="C29" s="1545"/>
    </row>
    <row r="30" spans="1:3">
      <c r="A30" s="1544" t="s">
        <v>313</v>
      </c>
      <c r="B30" s="1544" t="s">
        <v>313</v>
      </c>
      <c r="C30" s="1545"/>
    </row>
    <row r="31" spans="1:3">
      <c r="A31" s="1544" t="s">
        <v>313</v>
      </c>
      <c r="B31" s="1544" t="s">
        <v>313</v>
      </c>
      <c r="C31" s="1545"/>
    </row>
    <row r="32" spans="1:3">
      <c r="A32" s="1544" t="s">
        <v>313</v>
      </c>
      <c r="B32" s="1544" t="s">
        <v>313</v>
      </c>
      <c r="C32" s="1545"/>
    </row>
    <row r="33" spans="1:3">
      <c r="A33" s="1544" t="s">
        <v>313</v>
      </c>
      <c r="B33" s="1544" t="s">
        <v>313</v>
      </c>
      <c r="C33" s="1545"/>
    </row>
    <row r="34" spans="1:3">
      <c r="A34" s="1544" t="s">
        <v>313</v>
      </c>
      <c r="B34" s="1544" t="s">
        <v>313</v>
      </c>
      <c r="C34" s="1545"/>
    </row>
    <row r="35" spans="1:3">
      <c r="A35" s="1544" t="s">
        <v>313</v>
      </c>
      <c r="B35" s="1544" t="s">
        <v>313</v>
      </c>
      <c r="C35" s="1545"/>
    </row>
    <row r="36" spans="1:3">
      <c r="A36" s="1544" t="s">
        <v>313</v>
      </c>
      <c r="B36" s="1544" t="s">
        <v>313</v>
      </c>
      <c r="C36" s="1545"/>
    </row>
    <row r="37" spans="1:3">
      <c r="A37" s="1544" t="s">
        <v>313</v>
      </c>
      <c r="B37" s="1544" t="s">
        <v>313</v>
      </c>
      <c r="C37" s="1545"/>
    </row>
    <row r="38" spans="1:3">
      <c r="A38" s="1544" t="s">
        <v>313</v>
      </c>
      <c r="B38" s="1544" t="s">
        <v>313</v>
      </c>
      <c r="C38" s="1545"/>
    </row>
    <row r="39" spans="1:3">
      <c r="A39" s="1544" t="s">
        <v>313</v>
      </c>
      <c r="B39" s="1544" t="s">
        <v>313</v>
      </c>
      <c r="C39" s="1545"/>
    </row>
    <row r="40" spans="1:3">
      <c r="A40" s="1544" t="s">
        <v>313</v>
      </c>
      <c r="B40" s="1544" t="s">
        <v>313</v>
      </c>
      <c r="C40" s="1545"/>
    </row>
    <row r="41" spans="1:3">
      <c r="A41" s="1544" t="s">
        <v>313</v>
      </c>
      <c r="B41" s="1544" t="s">
        <v>313</v>
      </c>
      <c r="C41" s="1545"/>
    </row>
    <row r="42" spans="1:3">
      <c r="A42" s="1544" t="s">
        <v>313</v>
      </c>
      <c r="B42" s="1544" t="s">
        <v>313</v>
      </c>
      <c r="C42" s="1545"/>
    </row>
    <row r="43" spans="1:3">
      <c r="A43" s="1544" t="s">
        <v>313</v>
      </c>
      <c r="B43" s="1544" t="s">
        <v>313</v>
      </c>
      <c r="C43" s="1545"/>
    </row>
    <row r="44" spans="1:3">
      <c r="A44" s="1544" t="s">
        <v>313</v>
      </c>
      <c r="B44" s="1544" t="s">
        <v>313</v>
      </c>
      <c r="C44" s="1545"/>
    </row>
    <row r="45" spans="1:3">
      <c r="A45" s="1544" t="s">
        <v>313</v>
      </c>
      <c r="B45" s="1544" t="s">
        <v>313</v>
      </c>
      <c r="C45" s="1545"/>
    </row>
    <row r="46" spans="1:3">
      <c r="A46" s="1544" t="s">
        <v>313</v>
      </c>
      <c r="B46" s="1544" t="s">
        <v>313</v>
      </c>
      <c r="C46" s="1545"/>
    </row>
    <row r="47" spans="1:3">
      <c r="A47" s="1544" t="s">
        <v>313</v>
      </c>
      <c r="B47" s="1544" t="s">
        <v>313</v>
      </c>
      <c r="C47" s="1545"/>
    </row>
    <row r="48" spans="1:3">
      <c r="A48" s="1544" t="s">
        <v>313</v>
      </c>
      <c r="B48" s="1544" t="s">
        <v>313</v>
      </c>
      <c r="C48" s="1545"/>
    </row>
    <row r="49" spans="1:4">
      <c r="A49" s="1544" t="s">
        <v>313</v>
      </c>
      <c r="B49" s="1544" t="s">
        <v>313</v>
      </c>
      <c r="C49" s="1545"/>
    </row>
    <row r="50" spans="1:4">
      <c r="A50" s="1544" t="s">
        <v>313</v>
      </c>
      <c r="B50" s="1544" t="s">
        <v>313</v>
      </c>
      <c r="C50" s="1545"/>
    </row>
    <row r="51" spans="1:4">
      <c r="A51" s="1551" t="s">
        <v>378</v>
      </c>
      <c r="B51" s="155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52" t="s">
        <v>586</v>
      </c>
    </row>
    <row r="52" spans="1:4">
      <c r="A52" s="1551" t="s">
        <v>379</v>
      </c>
      <c r="B52" s="1551" t="s">
        <v>380</v>
      </c>
      <c r="C52" s="1549" t="s">
        <v>381</v>
      </c>
      <c r="D52" s="1549" t="s">
        <v>382</v>
      </c>
    </row>
    <row r="53" spans="1:4">
      <c r="A53" s="3567" t="s">
        <v>383</v>
      </c>
      <c r="B53" s="1552" t="s">
        <v>384</v>
      </c>
      <c r="C53" s="154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5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67"/>
      <c r="B54" s="1552" t="s">
        <v>385</v>
      </c>
      <c r="C54" s="1549" t="s">
        <v>583</v>
      </c>
    </row>
    <row r="55" spans="1:4">
      <c r="A55" s="3567"/>
      <c r="B55" s="1552" t="s">
        <v>386</v>
      </c>
      <c r="C55" s="1549" t="s">
        <v>584</v>
      </c>
    </row>
    <row r="56" spans="1:4">
      <c r="A56" s="3567"/>
      <c r="B56" s="1552" t="s">
        <v>387</v>
      </c>
      <c r="C56" s="1549" t="s">
        <v>588</v>
      </c>
    </row>
    <row r="57" spans="1:4">
      <c r="A57" s="3567"/>
      <c r="B57" s="1552" t="s">
        <v>388</v>
      </c>
      <c r="C57" s="1549" t="s">
        <v>585</v>
      </c>
    </row>
    <row r="58" spans="1:4">
      <c r="A58" s="1553"/>
      <c r="B58" s="1549"/>
    </row>
    <row r="59" spans="1:4">
      <c r="A59" s="1553"/>
      <c r="B59" s="1549"/>
    </row>
    <row r="60" spans="1:4">
      <c r="A60" s="1553"/>
      <c r="B60" s="1549"/>
    </row>
    <row r="61" spans="1:4">
      <c r="A61" s="1553"/>
      <c r="B61" s="1549"/>
    </row>
    <row r="62" spans="1:4">
      <c r="A62" s="1553"/>
      <c r="B62" s="1549"/>
    </row>
    <row r="63" spans="1:4">
      <c r="A63" s="1553"/>
      <c r="B63" s="1549"/>
    </row>
    <row r="64" spans="1:4">
      <c r="A64" s="1553"/>
      <c r="B64" s="1549"/>
    </row>
    <row r="65" spans="1:2">
      <c r="A65" s="1553"/>
      <c r="B65" s="1549"/>
    </row>
    <row r="66" spans="1:2">
      <c r="A66" s="1553"/>
      <c r="B66" s="1549"/>
    </row>
    <row r="67" spans="1:2">
      <c r="A67" s="1553"/>
      <c r="B67" s="1549"/>
    </row>
    <row r="68" spans="1:2">
      <c r="A68" s="1553"/>
      <c r="B68" s="1549"/>
    </row>
    <row r="69" spans="1:2">
      <c r="A69" s="1553"/>
      <c r="B69" s="1549"/>
    </row>
    <row r="70" spans="1:2">
      <c r="A70" s="1553"/>
      <c r="B70" s="1549"/>
    </row>
    <row r="71" spans="1:2">
      <c r="A71" s="1553"/>
      <c r="B71" s="1549"/>
    </row>
    <row r="72" spans="1:2">
      <c r="A72" s="1553"/>
      <c r="B72" s="1549"/>
    </row>
    <row r="73" spans="1:2">
      <c r="A73" s="1553"/>
      <c r="B73" s="1549"/>
    </row>
    <row r="74" spans="1:2">
      <c r="A74" s="1553"/>
      <c r="B74" s="1549"/>
    </row>
    <row r="75" spans="1:2">
      <c r="A75" s="1553"/>
      <c r="B75" s="1549"/>
    </row>
    <row r="76" spans="1:2">
      <c r="A76" s="1553"/>
      <c r="B76" s="1549"/>
    </row>
    <row r="77" spans="1:2">
      <c r="A77" s="1553"/>
      <c r="B77" s="1549"/>
    </row>
    <row r="78" spans="1:2">
      <c r="A78" s="1553"/>
      <c r="B78" s="1549"/>
    </row>
    <row r="79" spans="1:2">
      <c r="A79" s="1553"/>
      <c r="B79" s="1549"/>
    </row>
    <row r="80" spans="1:2">
      <c r="A80" s="1553"/>
      <c r="B80" s="1549"/>
    </row>
    <row r="81" spans="1:2">
      <c r="A81" s="1553"/>
      <c r="B81" s="1549"/>
    </row>
    <row r="82" spans="1:2">
      <c r="A82" s="1553"/>
      <c r="B82" s="1549"/>
    </row>
    <row r="83" spans="1:2">
      <c r="A83" s="1553"/>
      <c r="B83" s="1549"/>
    </row>
    <row r="84" spans="1:2">
      <c r="A84" s="1553"/>
      <c r="B84" s="1549"/>
    </row>
    <row r="85" spans="1:2">
      <c r="A85" s="1553"/>
      <c r="B85" s="1549"/>
    </row>
    <row r="86" spans="1:2">
      <c r="A86" s="1553"/>
      <c r="B86" s="1549"/>
    </row>
    <row r="87" spans="1:2">
      <c r="A87" s="1553"/>
      <c r="B87" s="1549"/>
    </row>
    <row r="88" spans="1:2">
      <c r="A88" s="1553"/>
      <c r="B88" s="1549"/>
    </row>
    <row r="89" spans="1:2">
      <c r="A89" s="1553"/>
      <c r="B89" s="1549"/>
    </row>
    <row r="90" spans="1:2">
      <c r="A90" s="1553"/>
      <c r="B90" s="1549"/>
    </row>
    <row r="91" spans="1:2">
      <c r="A91" s="1553"/>
      <c r="B91" s="1549"/>
    </row>
    <row r="92" spans="1:2">
      <c r="A92" s="1553"/>
      <c r="B92" s="1549"/>
    </row>
    <row r="93" spans="1:2">
      <c r="A93" s="1553"/>
      <c r="B93" s="1549"/>
    </row>
    <row r="94" spans="1:2">
      <c r="A94" s="1553"/>
      <c r="B94" s="1549"/>
    </row>
    <row r="95" spans="1:2">
      <c r="A95" s="1553"/>
      <c r="B95" s="1549"/>
    </row>
    <row r="96" spans="1:2">
      <c r="A96" s="1553"/>
      <c r="B96" s="1549"/>
    </row>
    <row r="97" spans="1:2">
      <c r="A97" s="1553"/>
      <c r="B97" s="1549"/>
    </row>
    <row r="98" spans="1:2">
      <c r="A98" s="1553"/>
      <c r="B98" s="1549"/>
    </row>
    <row r="99" spans="1:2">
      <c r="A99" s="1553"/>
      <c r="B99" s="1549"/>
    </row>
    <row r="100" spans="1:2">
      <c r="A100" s="1553"/>
      <c r="B100" s="1549"/>
    </row>
    <row r="101" spans="1:2">
      <c r="A101" s="1553"/>
      <c r="B101" s="1549"/>
    </row>
    <row r="102" spans="1:2">
      <c r="A102" s="1553"/>
      <c r="B102" s="1549"/>
    </row>
    <row r="103" spans="1:2">
      <c r="A103" s="1553"/>
      <c r="B103" s="1549"/>
    </row>
    <row r="104" spans="1:2">
      <c r="A104" s="1553"/>
      <c r="B104" s="1549"/>
    </row>
    <row r="105" spans="1:2">
      <c r="A105" s="1553"/>
      <c r="B105" s="1549"/>
    </row>
    <row r="106" spans="1:2">
      <c r="A106" s="1553"/>
      <c r="B106" s="1549"/>
    </row>
    <row r="107" spans="1:2">
      <c r="A107" s="1553"/>
      <c r="B107" s="1549"/>
    </row>
    <row r="108" spans="1:2">
      <c r="A108" s="1553"/>
      <c r="B108" s="1549"/>
    </row>
    <row r="109" spans="1:2">
      <c r="A109" s="1553"/>
      <c r="B109" s="1549"/>
    </row>
    <row r="110" spans="1:2">
      <c r="A110" s="1553"/>
      <c r="B110" s="1549"/>
    </row>
    <row r="111" spans="1:2">
      <c r="A111" s="1553"/>
      <c r="B111" s="1549"/>
    </row>
    <row r="112" spans="1:2">
      <c r="A112" s="1553"/>
      <c r="B112" s="1549"/>
    </row>
    <row r="113" spans="1:2">
      <c r="A113" s="1553"/>
      <c r="B113" s="1549"/>
    </row>
    <row r="114" spans="1:2">
      <c r="A114" s="1553"/>
      <c r="B114" s="1549"/>
    </row>
    <row r="115" spans="1:2">
      <c r="A115" s="1553"/>
      <c r="B115" s="1549"/>
    </row>
    <row r="116" spans="1:2">
      <c r="A116" s="1553"/>
      <c r="B116" s="1549"/>
    </row>
    <row r="117" spans="1:2">
      <c r="A117" s="1553"/>
      <c r="B117" s="1549"/>
    </row>
    <row r="118" spans="1:2">
      <c r="A118" s="1553"/>
      <c r="B118" s="1549"/>
    </row>
    <row r="119" spans="1:2">
      <c r="A119" s="1553"/>
      <c r="B119" s="1549"/>
    </row>
    <row r="120" spans="1:2">
      <c r="A120" s="1553"/>
      <c r="B120" s="1549"/>
    </row>
    <row r="121" spans="1:2">
      <c r="A121" s="1553"/>
      <c r="B121" s="1549"/>
    </row>
    <row r="122" spans="1:2">
      <c r="A122" s="1553"/>
      <c r="B122" s="1549"/>
    </row>
    <row r="123" spans="1:2">
      <c r="A123" s="1553"/>
      <c r="B123" s="1549"/>
    </row>
    <row r="124" spans="1:2">
      <c r="A124" s="1553"/>
      <c r="B124" s="1549"/>
    </row>
    <row r="125" spans="1:2">
      <c r="A125" s="1553"/>
      <c r="B125" s="1549"/>
    </row>
    <row r="126" spans="1:2">
      <c r="A126" s="1553"/>
      <c r="B126" s="1549"/>
    </row>
    <row r="127" spans="1:2">
      <c r="A127" s="1553"/>
      <c r="B127" s="1549"/>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12"/>
    <col min="8" max="8" width="5.5" style="3012" customWidth="1"/>
    <col min="9" max="13" width="9.5" style="3054" customWidth="1"/>
    <col min="14" max="18" width="9.5" style="3012" customWidth="1"/>
    <col min="19" max="16384" width="15.25" style="3012"/>
  </cols>
  <sheetData>
    <row r="1" spans="1:18">
      <c r="A1" s="3009" t="s">
        <v>2501</v>
      </c>
      <c r="B1" s="3010"/>
      <c r="C1" s="3010"/>
      <c r="D1" s="3010"/>
      <c r="E1" s="3010"/>
      <c r="F1" s="3011"/>
      <c r="I1" s="3433" t="s">
        <v>2594</v>
      </c>
      <c r="J1" s="3222"/>
      <c r="K1" s="3222"/>
      <c r="L1" s="3222"/>
      <c r="M1" s="3222"/>
      <c r="N1" s="3434"/>
      <c r="O1" s="3434"/>
      <c r="P1" s="3434"/>
      <c r="Q1" s="3434"/>
      <c r="R1" s="3434"/>
    </row>
    <row r="2" spans="1:18">
      <c r="A2" s="3013"/>
      <c r="B2" s="3014"/>
      <c r="C2" s="3014"/>
      <c r="D2" s="3014"/>
      <c r="E2" s="3014"/>
      <c r="F2" s="3015"/>
      <c r="I2" s="3568" t="s">
        <v>2581</v>
      </c>
      <c r="J2" s="3568"/>
      <c r="K2" s="3568"/>
      <c r="L2" s="3568"/>
      <c r="M2" s="3568"/>
      <c r="N2" s="3568"/>
      <c r="O2" s="3568"/>
      <c r="P2" s="3568"/>
      <c r="Q2" s="3568"/>
      <c r="R2" s="3568"/>
    </row>
    <row r="3" spans="1:18">
      <c r="A3" s="3016" t="s">
        <v>2502</v>
      </c>
      <c r="B3" s="3017">
        <f>项目基本情况!D3</f>
        <v>45068</v>
      </c>
      <c r="C3" s="3019"/>
      <c r="D3" s="3019"/>
      <c r="E3" s="3019"/>
      <c r="F3" s="3015"/>
      <c r="I3" s="3435"/>
      <c r="J3" s="3435" t="s">
        <v>2585</v>
      </c>
      <c r="K3" s="3435" t="s">
        <v>2586</v>
      </c>
      <c r="L3" s="3435" t="s">
        <v>2587</v>
      </c>
      <c r="M3" s="3435" t="s">
        <v>2588</v>
      </c>
      <c r="N3" s="3436" t="s">
        <v>2589</v>
      </c>
      <c r="O3" s="3436" t="s">
        <v>2590</v>
      </c>
      <c r="P3" s="3436" t="s">
        <v>2591</v>
      </c>
      <c r="Q3" s="3436" t="s">
        <v>2592</v>
      </c>
      <c r="R3" s="3436" t="s">
        <v>2593</v>
      </c>
    </row>
    <row r="4" spans="1:18">
      <c r="A4" s="3016" t="s">
        <v>2503</v>
      </c>
      <c r="B4" s="3019" t="s">
        <v>2504</v>
      </c>
      <c r="C4" s="3019" t="s">
        <v>2505</v>
      </c>
      <c r="D4" s="3019" t="s">
        <v>2506</v>
      </c>
      <c r="E4" s="3019" t="s">
        <v>2507</v>
      </c>
      <c r="F4" s="3015"/>
      <c r="I4" s="3435" t="s">
        <v>2582</v>
      </c>
      <c r="J4" s="3435">
        <v>80</v>
      </c>
      <c r="K4" s="3435">
        <v>70</v>
      </c>
      <c r="L4" s="3435">
        <v>20</v>
      </c>
      <c r="M4" s="3435">
        <v>30</v>
      </c>
      <c r="N4" s="3019">
        <v>45</v>
      </c>
      <c r="O4" s="3019">
        <v>60</v>
      </c>
      <c r="P4" s="3019">
        <v>50</v>
      </c>
      <c r="Q4" s="3019">
        <v>20</v>
      </c>
      <c r="R4" s="3019">
        <v>375</v>
      </c>
    </row>
    <row r="5" spans="1:18">
      <c r="A5" s="3020">
        <v>40</v>
      </c>
      <c r="B5" s="3017">
        <v>46375</v>
      </c>
      <c r="C5" s="3019">
        <f>ROUNDDOWN(MIN((B5-B3)/365,A5),2)</f>
        <v>3.58</v>
      </c>
      <c r="D5" s="3021">
        <f>IF(ISERROR(ROUND(POWER(1+E5,A5-C5)*(POWER(1+E5,C5)-1)/(POWER(1+E5,A5)-1),3)),0,ROUND(POWER(1+E5,A5-C5)*(POWER(1+E5,C5)-1)/(POWER(1+E5,A5)-1),4))</f>
        <v>0.16550000000000001</v>
      </c>
      <c r="E5" s="3022">
        <v>0.04</v>
      </c>
      <c r="F5" s="3015"/>
      <c r="I5" s="3435" t="s">
        <v>2583</v>
      </c>
      <c r="J5" s="3435">
        <v>70</v>
      </c>
      <c r="K5" s="3435">
        <v>60</v>
      </c>
      <c r="L5" s="3435">
        <v>15</v>
      </c>
      <c r="M5" s="3435">
        <v>25</v>
      </c>
      <c r="N5" s="3019">
        <v>40</v>
      </c>
      <c r="O5" s="3019">
        <v>50</v>
      </c>
      <c r="P5" s="3019">
        <v>40</v>
      </c>
      <c r="Q5" s="3019">
        <v>15</v>
      </c>
      <c r="R5" s="3019">
        <v>315</v>
      </c>
    </row>
    <row r="6" spans="1:18">
      <c r="A6" s="3020">
        <v>50</v>
      </c>
      <c r="B6" s="3017">
        <v>50028</v>
      </c>
      <c r="C6" s="3019">
        <f>ROUNDDOWN(MIN((B6-B3)/365,A6),2)</f>
        <v>13.58</v>
      </c>
      <c r="D6" s="3021">
        <f>IF(ISERROR(ROUND(POWER(1+E6,A6-C6)*(POWER(1+E6,C6)-1)/(POWER(1+E6,A6)-1),3)),0,ROUND(POWER(1+E6,A6-C6)*(POWER(1+E6,C6)-1)/(POWER(1+E6,A6)-1),4))</f>
        <v>0.48060000000000003</v>
      </c>
      <c r="E6" s="3022">
        <v>0.04</v>
      </c>
      <c r="F6" s="3015"/>
      <c r="I6" s="3435" t="s">
        <v>2584</v>
      </c>
      <c r="J6" s="3435">
        <v>60</v>
      </c>
      <c r="K6" s="3435">
        <v>50</v>
      </c>
      <c r="L6" s="3435">
        <v>10</v>
      </c>
      <c r="M6" s="3435">
        <v>20</v>
      </c>
      <c r="N6" s="3019">
        <v>35</v>
      </c>
      <c r="O6" s="3019">
        <v>40</v>
      </c>
      <c r="P6" s="3019">
        <v>30</v>
      </c>
      <c r="Q6" s="3019">
        <v>10</v>
      </c>
      <c r="R6" s="3019">
        <v>255</v>
      </c>
    </row>
    <row r="7" spans="1:18">
      <c r="A7" s="3020">
        <v>70</v>
      </c>
      <c r="B7" s="3017">
        <v>57333</v>
      </c>
      <c r="C7" s="3019">
        <f>ROUNDDOWN(MIN((B7-B3)/365,A7),2)</f>
        <v>33.6</v>
      </c>
      <c r="D7" s="3021">
        <f>IF(ISERROR(ROUND(POWER(1+E7,A7-C7)*(POWER(1+E7,C7)-1)/(POWER(1+E7,A7)-1),3)),0,ROUND(POWER(1+E7,A7-C7)*(POWER(1+E7,C7)-1)/(POWER(1+E7,A7)-1),4))</f>
        <v>0.78249999999999997</v>
      </c>
      <c r="E7" s="3022">
        <v>0.04</v>
      </c>
      <c r="F7" s="3015"/>
    </row>
    <row r="8" spans="1:18">
      <c r="A8" s="3013"/>
      <c r="B8" s="3014"/>
      <c r="C8" s="3014"/>
      <c r="D8" s="3014"/>
      <c r="E8" s="3014"/>
      <c r="F8" s="3015"/>
    </row>
    <row r="9" spans="1:18">
      <c r="A9" s="3016" t="s">
        <v>2508</v>
      </c>
      <c r="B9" s="3019"/>
      <c r="C9" s="3019"/>
      <c r="D9" s="3019"/>
      <c r="E9" s="3019"/>
      <c r="F9" s="3023"/>
    </row>
    <row r="10" spans="1:18">
      <c r="A10" s="3016" t="s">
        <v>2509</v>
      </c>
      <c r="B10" s="3019"/>
      <c r="C10" s="3019"/>
      <c r="D10" s="3019" t="s">
        <v>2507</v>
      </c>
      <c r="E10" s="3019"/>
      <c r="F10" s="3023" t="s">
        <v>2506</v>
      </c>
    </row>
    <row r="11" spans="1:18">
      <c r="A11" s="3016" t="s">
        <v>2510</v>
      </c>
      <c r="B11" s="3024">
        <v>70</v>
      </c>
      <c r="C11" s="3019" t="s">
        <v>2511</v>
      </c>
      <c r="D11" s="3025">
        <v>4.4999999999999998E-2</v>
      </c>
      <c r="E11" s="3019" t="s">
        <v>2512</v>
      </c>
      <c r="F11" s="3026">
        <f>ROUND(1-(1/(POWER(1+D11,B11))),4)</f>
        <v>0.95409999999999995</v>
      </c>
    </row>
    <row r="12" spans="1:18">
      <c r="A12" s="3016" t="s">
        <v>2513</v>
      </c>
      <c r="B12" s="3024">
        <v>40</v>
      </c>
      <c r="C12" s="3019" t="s">
        <v>2514</v>
      </c>
      <c r="D12" s="3025">
        <v>4.4999999999999998E-2</v>
      </c>
      <c r="E12" s="3019" t="s">
        <v>2515</v>
      </c>
      <c r="F12" s="3026">
        <f>ROUND(1-(1/(POWER(1+D12,B12))),4)</f>
        <v>0.82809999999999995</v>
      </c>
    </row>
    <row r="13" spans="1:18">
      <c r="A13" s="3016" t="s">
        <v>2516</v>
      </c>
      <c r="B13" s="3019"/>
      <c r="C13" s="3019"/>
      <c r="D13" s="3014"/>
      <c r="E13" s="3014"/>
      <c r="F13" s="3015"/>
    </row>
    <row r="14" spans="1:18">
      <c r="A14" s="3016" t="s">
        <v>2517</v>
      </c>
      <c r="B14" s="3024">
        <v>5000</v>
      </c>
      <c r="C14" s="3018"/>
      <c r="D14" s="3014"/>
      <c r="E14" s="3014"/>
      <c r="F14" s="3015"/>
    </row>
    <row r="15" spans="1:18">
      <c r="A15" s="3016" t="s">
        <v>2518</v>
      </c>
      <c r="B15" s="3019">
        <f>ROUND(B14*F12/F11,2)</f>
        <v>4339.6899999999996</v>
      </c>
      <c r="C15" s="3019">
        <f>ROUND(F12/F11,4)</f>
        <v>0.8679</v>
      </c>
      <c r="D15" s="3014"/>
      <c r="E15" s="3014"/>
      <c r="F15" s="3015"/>
    </row>
    <row r="16" spans="1:18">
      <c r="A16" s="3016" t="s">
        <v>2519</v>
      </c>
      <c r="B16" s="3019"/>
      <c r="C16" s="3019"/>
      <c r="D16" s="3014"/>
      <c r="E16" s="3014"/>
      <c r="F16" s="3015"/>
    </row>
    <row r="17" spans="1:13">
      <c r="A17" s="3016" t="s">
        <v>2518</v>
      </c>
      <c r="B17" s="3025">
        <v>4810</v>
      </c>
      <c r="C17" s="3018"/>
      <c r="D17" s="3014"/>
      <c r="E17" s="3014"/>
      <c r="F17" s="3015"/>
    </row>
    <row r="18" spans="1:13" ht="14.25" thickBot="1">
      <c r="A18" s="3027" t="s">
        <v>2517</v>
      </c>
      <c r="B18" s="3028">
        <f>ROUND(B17*F11/F12,2)</f>
        <v>5541.87</v>
      </c>
      <c r="C18" s="3028">
        <f>ROUND(F11/F12,4)</f>
        <v>1.1521999999999999</v>
      </c>
      <c r="D18" s="3029"/>
      <c r="E18" s="3029"/>
      <c r="F18" s="3030"/>
    </row>
    <row r="19" spans="1:13" ht="14.25" thickBot="1"/>
    <row r="20" spans="1:13" s="3065" customFormat="1" ht="14.25" thickTop="1">
      <c r="A20" s="3062" t="s">
        <v>2520</v>
      </c>
      <c r="B20" s="3063"/>
      <c r="C20" s="3063"/>
      <c r="D20" s="3063"/>
      <c r="E20" s="3063"/>
      <c r="F20" s="3063"/>
      <c r="G20" s="3064"/>
      <c r="I20" s="3066" t="s">
        <v>2565</v>
      </c>
      <c r="J20" s="3066" t="s">
        <v>2570</v>
      </c>
      <c r="K20" s="3066"/>
      <c r="L20" s="3066"/>
      <c r="M20" s="3066"/>
    </row>
    <row r="21" spans="1:13">
      <c r="A21" s="3031"/>
      <c r="B21" s="3032" t="s">
        <v>2521</v>
      </c>
      <c r="C21" s="3032" t="s">
        <v>2522</v>
      </c>
      <c r="D21" s="3032" t="s">
        <v>2523</v>
      </c>
      <c r="E21" s="3032" t="s">
        <v>2524</v>
      </c>
      <c r="F21" s="3032" t="s">
        <v>2525</v>
      </c>
      <c r="G21" s="3033" t="s">
        <v>2526</v>
      </c>
      <c r="I21" s="3054">
        <v>5</v>
      </c>
      <c r="J21" s="3054">
        <v>54.2</v>
      </c>
    </row>
    <row r="22" spans="1:13">
      <c r="A22" s="3031" t="s">
        <v>2527</v>
      </c>
      <c r="B22" s="3034">
        <v>70</v>
      </c>
      <c r="C22" s="3034">
        <v>30</v>
      </c>
      <c r="D22" s="3035">
        <v>0.04</v>
      </c>
      <c r="E22" s="3032">
        <f>ROUND(POWER(1+D22,B22-C22)*(POWER(1+D22,C22)-1)/(POWER(1+D22,B22)-1),3)</f>
        <v>0.73899999999999999</v>
      </c>
      <c r="F22" s="3035">
        <v>0.7</v>
      </c>
      <c r="G22" s="3033">
        <f>ROUND(100*(1-(1-E22)*F22),1)</f>
        <v>81.7</v>
      </c>
      <c r="I22" s="3054">
        <v>10</v>
      </c>
      <c r="J22" s="3054">
        <v>65.400000000000006</v>
      </c>
      <c r="K22" s="3054">
        <f>J22-J21</f>
        <v>11.200000000000003</v>
      </c>
    </row>
    <row r="23" spans="1:13">
      <c r="A23" s="3031" t="s">
        <v>2528</v>
      </c>
      <c r="B23" s="3034">
        <v>70</v>
      </c>
      <c r="C23" s="3034">
        <v>40</v>
      </c>
      <c r="D23" s="3035">
        <v>0.04</v>
      </c>
      <c r="E23" s="3032">
        <f t="shared" ref="E23:E25" si="0">ROUND(POWER(1+D23,B23-C23)*(POWER(1+D23,C23)-1)/(POWER(1+D23,B23)-1),3)</f>
        <v>0.84599999999999997</v>
      </c>
      <c r="F23" s="3035">
        <f>F22</f>
        <v>0.7</v>
      </c>
      <c r="G23" s="3033">
        <f t="shared" ref="G23:G25" si="1">ROUND(100*(1-(1-E23)*F23),1)</f>
        <v>89.2</v>
      </c>
      <c r="I23" s="3054">
        <v>15</v>
      </c>
      <c r="J23" s="3054">
        <v>74.099999999999994</v>
      </c>
      <c r="K23" s="3054">
        <f t="shared" ref="K23:K30" si="2">J23-J22</f>
        <v>8.6999999999999886</v>
      </c>
      <c r="L23" s="3054" t="s">
        <v>2568</v>
      </c>
      <c r="M23" s="3054" t="s">
        <v>2569</v>
      </c>
    </row>
    <row r="24" spans="1:13">
      <c r="A24" s="3031" t="s">
        <v>2529</v>
      </c>
      <c r="B24" s="3034">
        <v>70</v>
      </c>
      <c r="C24" s="3034">
        <v>50</v>
      </c>
      <c r="D24" s="3035">
        <v>0.04</v>
      </c>
      <c r="E24" s="3032">
        <f t="shared" si="0"/>
        <v>0.91800000000000004</v>
      </c>
      <c r="F24" s="3035">
        <f>F23</f>
        <v>0.7</v>
      </c>
      <c r="G24" s="3033">
        <f t="shared" si="1"/>
        <v>94.3</v>
      </c>
      <c r="I24" s="3054">
        <v>20</v>
      </c>
      <c r="J24" s="3054">
        <v>81</v>
      </c>
      <c r="K24" s="3054">
        <f t="shared" si="2"/>
        <v>6.9000000000000057</v>
      </c>
      <c r="L24" s="3054" t="s">
        <v>2567</v>
      </c>
      <c r="M24" s="3054">
        <v>10</v>
      </c>
    </row>
    <row r="25" spans="1:13">
      <c r="A25" s="3031" t="s">
        <v>2530</v>
      </c>
      <c r="B25" s="3034">
        <v>70</v>
      </c>
      <c r="C25" s="3034">
        <v>60</v>
      </c>
      <c r="D25" s="3035">
        <v>0.04</v>
      </c>
      <c r="E25" s="3032">
        <f t="shared" si="0"/>
        <v>0.96699999999999997</v>
      </c>
      <c r="F25" s="3035">
        <f>F24</f>
        <v>0.7</v>
      </c>
      <c r="G25" s="3033">
        <f t="shared" si="1"/>
        <v>97.7</v>
      </c>
      <c r="I25" s="3054">
        <v>25</v>
      </c>
      <c r="J25" s="3054">
        <v>86.3</v>
      </c>
      <c r="K25" s="3054">
        <f t="shared" si="2"/>
        <v>5.2999999999999972</v>
      </c>
      <c r="L25" s="3054" t="s">
        <v>2571</v>
      </c>
      <c r="M25" s="3054">
        <v>8</v>
      </c>
    </row>
    <row r="26" spans="1:13">
      <c r="A26" s="3036"/>
      <c r="B26" s="3037"/>
      <c r="C26" s="3037"/>
      <c r="D26" s="3037"/>
      <c r="E26" s="3037"/>
      <c r="F26" s="3037"/>
      <c r="G26" s="3038"/>
      <c r="I26" s="3054">
        <v>30</v>
      </c>
      <c r="J26" s="3054">
        <v>90.5</v>
      </c>
      <c r="K26" s="3054">
        <f t="shared" si="2"/>
        <v>4.2000000000000028</v>
      </c>
      <c r="L26" s="3054" t="s">
        <v>2572</v>
      </c>
      <c r="M26" s="3054">
        <v>5</v>
      </c>
    </row>
    <row r="27" spans="1:13">
      <c r="A27" s="3036" t="s">
        <v>2531</v>
      </c>
      <c r="B27" s="3037"/>
      <c r="C27" s="3037"/>
      <c r="D27" s="3037"/>
      <c r="E27" s="3037"/>
      <c r="F27" s="3037"/>
      <c r="G27" s="3038"/>
      <c r="I27" s="3054">
        <v>35</v>
      </c>
      <c r="J27" s="3054">
        <v>93.8</v>
      </c>
      <c r="K27" s="3054">
        <f t="shared" si="2"/>
        <v>3.2999999999999972</v>
      </c>
      <c r="L27" s="3054" t="s">
        <v>2573</v>
      </c>
      <c r="M27" s="3054">
        <v>3</v>
      </c>
    </row>
    <row r="28" spans="1:13">
      <c r="A28" s="3036" t="s">
        <v>2532</v>
      </c>
      <c r="B28" s="3037"/>
      <c r="C28" s="3037"/>
      <c r="D28" s="3037"/>
      <c r="E28" s="3037"/>
      <c r="F28" s="3037"/>
      <c r="G28" s="3038"/>
      <c r="I28" s="3054">
        <v>40</v>
      </c>
      <c r="J28" s="3054">
        <v>96.4</v>
      </c>
      <c r="K28" s="3054">
        <f t="shared" si="2"/>
        <v>2.6000000000000085</v>
      </c>
      <c r="L28" s="3054" t="s">
        <v>2574</v>
      </c>
      <c r="M28" s="3054">
        <v>2</v>
      </c>
    </row>
    <row r="29" spans="1:13">
      <c r="A29" s="3036" t="s">
        <v>2533</v>
      </c>
      <c r="B29" s="3037"/>
      <c r="C29" s="3037"/>
      <c r="D29" s="3037"/>
      <c r="E29" s="3037"/>
      <c r="F29" s="3037"/>
      <c r="G29" s="3038"/>
      <c r="I29" s="3054">
        <v>45</v>
      </c>
      <c r="J29" s="3054">
        <v>98.4</v>
      </c>
      <c r="K29" s="3054">
        <f t="shared" si="2"/>
        <v>2</v>
      </c>
    </row>
    <row r="30" spans="1:13">
      <c r="A30" s="3036" t="s">
        <v>2534</v>
      </c>
      <c r="B30" s="3037"/>
      <c r="C30" s="3037"/>
      <c r="D30" s="3037"/>
      <c r="E30" s="3037"/>
      <c r="F30" s="3037"/>
      <c r="G30" s="3038"/>
      <c r="I30" s="3054">
        <v>50</v>
      </c>
      <c r="J30" s="3054">
        <v>100</v>
      </c>
      <c r="K30" s="3054">
        <f t="shared" si="2"/>
        <v>1.5999999999999943</v>
      </c>
    </row>
    <row r="31" spans="1:13">
      <c r="A31" s="3036" t="s">
        <v>2535</v>
      </c>
      <c r="B31" s="3037"/>
      <c r="C31" s="3037"/>
      <c r="D31" s="3037"/>
      <c r="E31" s="3037"/>
      <c r="F31" s="3037"/>
      <c r="G31" s="3038"/>
      <c r="I31" s="3054" t="s">
        <v>2566</v>
      </c>
    </row>
    <row r="32" spans="1:13">
      <c r="A32" s="3036" t="s">
        <v>2536</v>
      </c>
      <c r="B32" s="3037"/>
      <c r="C32" s="3037"/>
      <c r="D32" s="3037"/>
      <c r="E32" s="3037"/>
      <c r="F32" s="3037"/>
      <c r="G32" s="3038"/>
    </row>
    <row r="33" spans="1:13">
      <c r="A33" s="3036" t="s">
        <v>2537</v>
      </c>
      <c r="B33" s="3037"/>
      <c r="C33" s="3037"/>
      <c r="D33" s="3037"/>
      <c r="E33" s="3037"/>
      <c r="F33" s="3037"/>
      <c r="G33" s="3038"/>
      <c r="I33" s="3054" t="s">
        <v>2565</v>
      </c>
      <c r="J33" s="3054" t="s">
        <v>2575</v>
      </c>
    </row>
    <row r="34" spans="1:13">
      <c r="A34" s="3036" t="s">
        <v>2538</v>
      </c>
      <c r="B34" s="3037"/>
      <c r="C34" s="3037"/>
      <c r="D34" s="3037"/>
      <c r="E34" s="3037"/>
      <c r="F34" s="3037"/>
      <c r="G34" s="3038"/>
      <c r="I34" s="3054">
        <v>5</v>
      </c>
      <c r="J34" s="3054">
        <v>55.1</v>
      </c>
    </row>
    <row r="35" spans="1:13">
      <c r="A35" s="3036" t="s">
        <v>2539</v>
      </c>
      <c r="B35" s="3037"/>
      <c r="C35" s="3037"/>
      <c r="D35" s="3037"/>
      <c r="E35" s="3037"/>
      <c r="F35" s="3037"/>
      <c r="G35" s="3038"/>
      <c r="I35" s="3054">
        <v>10</v>
      </c>
      <c r="J35" s="3054">
        <v>67</v>
      </c>
      <c r="K35" s="3054">
        <f>J35-J34</f>
        <v>11.899999999999999</v>
      </c>
    </row>
    <row r="36" spans="1:13">
      <c r="A36" s="3036" t="s">
        <v>2540</v>
      </c>
      <c r="B36" s="3037"/>
      <c r="C36" s="3037"/>
      <c r="D36" s="3037"/>
      <c r="E36" s="3037"/>
      <c r="F36" s="3037"/>
      <c r="G36" s="3038"/>
      <c r="I36" s="3054">
        <v>15</v>
      </c>
      <c r="J36" s="3054">
        <v>76.3</v>
      </c>
      <c r="K36" s="3054">
        <f t="shared" ref="K36:K41" si="3">J36-J35</f>
        <v>9.2999999999999972</v>
      </c>
      <c r="L36" s="3054" t="s">
        <v>2568</v>
      </c>
      <c r="M36" s="3054" t="s">
        <v>2569</v>
      </c>
    </row>
    <row r="37" spans="1:13">
      <c r="A37" s="3036" t="s">
        <v>2541</v>
      </c>
      <c r="B37" s="3037"/>
      <c r="C37" s="3037"/>
      <c r="D37" s="3037"/>
      <c r="E37" s="3037"/>
      <c r="F37" s="3037"/>
      <c r="G37" s="3038"/>
      <c r="I37" s="3054">
        <v>20</v>
      </c>
      <c r="J37" s="3054">
        <v>83.6</v>
      </c>
      <c r="K37" s="3054">
        <f t="shared" si="3"/>
        <v>7.2999999999999972</v>
      </c>
      <c r="L37" s="3054" t="s">
        <v>2567</v>
      </c>
      <c r="M37" s="3054">
        <v>10</v>
      </c>
    </row>
    <row r="38" spans="1:13">
      <c r="A38" s="3036" t="s">
        <v>2542</v>
      </c>
      <c r="B38" s="3037"/>
      <c r="C38" s="3037"/>
      <c r="D38" s="3037"/>
      <c r="E38" s="3037"/>
      <c r="F38" s="3037"/>
      <c r="G38" s="3038"/>
      <c r="I38" s="3054">
        <v>25</v>
      </c>
      <c r="J38" s="3054">
        <v>89.3</v>
      </c>
      <c r="K38" s="3054">
        <f t="shared" si="3"/>
        <v>5.7000000000000028</v>
      </c>
      <c r="L38" s="3054" t="s">
        <v>2571</v>
      </c>
      <c r="M38" s="3054">
        <v>8</v>
      </c>
    </row>
    <row r="39" spans="1:13">
      <c r="A39" s="3036"/>
      <c r="B39" s="3037"/>
      <c r="C39" s="3037"/>
      <c r="D39" s="3037"/>
      <c r="E39" s="3037"/>
      <c r="F39" s="3037"/>
      <c r="G39" s="3038"/>
      <c r="I39" s="3054">
        <v>30</v>
      </c>
      <c r="J39" s="3054">
        <v>93.8</v>
      </c>
      <c r="K39" s="3054">
        <f t="shared" si="3"/>
        <v>4.5</v>
      </c>
      <c r="L39" s="3054" t="s">
        <v>2572</v>
      </c>
      <c r="M39" s="3054">
        <v>6</v>
      </c>
    </row>
    <row r="40" spans="1:13">
      <c r="A40" s="3039" t="s">
        <v>2543</v>
      </c>
      <c r="B40" s="3040"/>
      <c r="C40" s="3040"/>
      <c r="D40" s="3040"/>
      <c r="E40" s="3040"/>
      <c r="F40" s="3040"/>
      <c r="G40" s="3041"/>
      <c r="I40" s="3054">
        <v>35</v>
      </c>
      <c r="J40" s="3054">
        <v>97.2</v>
      </c>
      <c r="K40" s="3054">
        <f t="shared" si="3"/>
        <v>3.4000000000000057</v>
      </c>
      <c r="L40" s="3054" t="s">
        <v>2573</v>
      </c>
      <c r="M40" s="3054">
        <v>3</v>
      </c>
    </row>
    <row r="41" spans="1:13">
      <c r="A41" s="3042" t="s">
        <v>2544</v>
      </c>
      <c r="B41" s="3043" t="s">
        <v>2545</v>
      </c>
      <c r="C41" s="3044" t="s">
        <v>2546</v>
      </c>
      <c r="D41" s="3044" t="s">
        <v>2547</v>
      </c>
      <c r="E41" s="3045"/>
      <c r="F41" s="3046"/>
      <c r="G41" s="3047"/>
      <c r="I41" s="3054">
        <v>40</v>
      </c>
      <c r="J41" s="3054">
        <v>100</v>
      </c>
      <c r="K41" s="3054">
        <f t="shared" si="3"/>
        <v>2.7999999999999972</v>
      </c>
    </row>
    <row r="42" spans="1:13">
      <c r="A42" s="3042" t="s">
        <v>2548</v>
      </c>
      <c r="B42" s="3043" t="s">
        <v>2549</v>
      </c>
      <c r="C42" s="3044" t="s">
        <v>2550</v>
      </c>
      <c r="D42" s="3048" t="s">
        <v>2551</v>
      </c>
      <c r="E42" s="3040" t="s">
        <v>2552</v>
      </c>
      <c r="F42" s="3040"/>
      <c r="G42" s="3041"/>
    </row>
    <row r="43" spans="1:13">
      <c r="A43" s="3042" t="s">
        <v>2553</v>
      </c>
      <c r="B43" s="3043" t="s">
        <v>2554</v>
      </c>
      <c r="C43" s="3044" t="s">
        <v>2555</v>
      </c>
      <c r="D43" s="3044" t="s">
        <v>2556</v>
      </c>
      <c r="E43" s="3045" t="s">
        <v>2557</v>
      </c>
      <c r="F43" s="3046"/>
      <c r="G43" s="3047"/>
      <c r="I43" s="3054" t="s">
        <v>2565</v>
      </c>
      <c r="J43" s="3054" t="s">
        <v>2576</v>
      </c>
    </row>
    <row r="44" spans="1:13">
      <c r="A44" s="3042" t="s">
        <v>2558</v>
      </c>
      <c r="B44" s="3043" t="s">
        <v>2559</v>
      </c>
      <c r="C44" s="3044" t="s">
        <v>2560</v>
      </c>
      <c r="D44" s="3048">
        <v>0.5</v>
      </c>
      <c r="E44" s="3045" t="s">
        <v>2561</v>
      </c>
      <c r="F44" s="3046"/>
      <c r="G44" s="3047"/>
      <c r="I44" s="3054">
        <v>30</v>
      </c>
      <c r="J44" s="3054">
        <v>81.7</v>
      </c>
    </row>
    <row r="45" spans="1:13" ht="14.25" thickBot="1">
      <c r="A45" s="3049" t="s">
        <v>2562</v>
      </c>
      <c r="B45" s="3050" t="s">
        <v>2549</v>
      </c>
      <c r="C45" s="3051" t="s">
        <v>2549</v>
      </c>
      <c r="D45" s="3051" t="s">
        <v>2563</v>
      </c>
      <c r="E45" s="3052" t="s">
        <v>2564</v>
      </c>
      <c r="F45" s="3052"/>
      <c r="G45" s="3053"/>
      <c r="I45" s="3054">
        <v>40</v>
      </c>
      <c r="J45" s="3054">
        <v>89.2</v>
      </c>
      <c r="K45" s="3054">
        <f>J45-J44</f>
        <v>7.5</v>
      </c>
    </row>
    <row r="46" spans="1:13">
      <c r="I46" s="3054">
        <v>50</v>
      </c>
      <c r="J46" s="3054">
        <v>94.3</v>
      </c>
      <c r="K46" s="3054">
        <f t="shared" ref="K46:K47" si="4">J46-J45</f>
        <v>5.0999999999999943</v>
      </c>
    </row>
    <row r="47" spans="1:13">
      <c r="I47" s="3054">
        <v>60</v>
      </c>
      <c r="J47" s="3054">
        <v>97.7</v>
      </c>
      <c r="K47" s="3054">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F13" sqref="F13"/>
    </sheetView>
  </sheetViews>
  <sheetFormatPr defaultColWidth="10" defaultRowHeight="12.75"/>
  <cols>
    <col min="1" max="1" width="16.875" style="1743" customWidth="1"/>
    <col min="2" max="2" width="10" style="1743" customWidth="1"/>
    <col min="3" max="3" width="11.5" style="1743" customWidth="1"/>
    <col min="4" max="4" width="10" style="1743" customWidth="1"/>
    <col min="5" max="5" width="12.625" style="1743" customWidth="1"/>
    <col min="6" max="6" width="10" style="1743" customWidth="1"/>
    <col min="7" max="7" width="10.75" style="1743" customWidth="1"/>
    <col min="8" max="8" width="10" style="1743" customWidth="1"/>
    <col min="9" max="9" width="11.125" style="1577" customWidth="1"/>
    <col min="10" max="10" width="10" style="1741" customWidth="1"/>
    <col min="11" max="11" width="10" style="2625" customWidth="1"/>
    <col min="12" max="13" width="10" style="2626" customWidth="1"/>
    <col min="14" max="14" width="10" style="1741" customWidth="1"/>
    <col min="15" max="15" width="10" style="9" customWidth="1"/>
    <col min="16" max="17" width="10" style="1741"/>
    <col min="18" max="18" width="10" style="1741" customWidth="1"/>
    <col min="19" max="30" width="10" style="1741"/>
    <col min="31" max="16384" width="10" style="1743"/>
  </cols>
  <sheetData>
    <row r="1" spans="1:30" ht="13.5" thickBot="1">
      <c r="A1" s="2363" t="s">
        <v>2166</v>
      </c>
      <c r="B1" s="3569" t="str">
        <f>IF(B10="北京市","北京市",C10)&amp;F10&amp;IF(结果表!G1="在建","出让国有建设用地使用权及在建建筑物",IF(结果表!G1="土地","出让国有建设用地使用权",))&amp;B9&amp;"预评估"</f>
        <v>北京市房地产抵押价值预评估</v>
      </c>
      <c r="C1" s="3570"/>
      <c r="D1" s="3570"/>
      <c r="E1" s="3570"/>
      <c r="F1" s="3570"/>
      <c r="G1" s="3570"/>
      <c r="H1" s="3570"/>
      <c r="I1" s="3571"/>
      <c r="J1" s="2468"/>
      <c r="K1" s="2365"/>
      <c r="L1" s="2366"/>
      <c r="M1" s="2366"/>
      <c r="N1" s="2367"/>
      <c r="O1" s="1574"/>
      <c r="P1" s="2367"/>
      <c r="Q1" s="2367"/>
      <c r="R1" s="2367"/>
      <c r="S1" s="1680" t="str">
        <f>IF(B10="北京市","北京市",C10)&amp;F10&amp;IF(结果表!G1="在建","出让国有建设用地使用权及在建建筑物房地产抵押价值",IF(结果表!G1="土地","出让国有建设用地使用权抵押价值",B9))</f>
        <v>北京市房地产抵押价值</v>
      </c>
      <c r="T1" s="1743"/>
      <c r="U1" s="1743"/>
      <c r="V1" s="1743"/>
      <c r="W1" s="1743"/>
      <c r="X1" s="1743"/>
      <c r="Y1" s="1743"/>
      <c r="Z1" s="1743"/>
      <c r="AA1" s="1743"/>
      <c r="AB1" s="1743"/>
    </row>
    <row r="2" spans="1:30">
      <c r="A2" s="2364" t="s">
        <v>2167</v>
      </c>
      <c r="B2" s="2368"/>
      <c r="C2" s="2369"/>
      <c r="D2" s="2667"/>
      <c r="E2" s="2659"/>
      <c r="F2" s="2659"/>
      <c r="G2" s="2660"/>
      <c r="H2" s="2660"/>
      <c r="I2" s="2660"/>
      <c r="J2" s="2468"/>
      <c r="K2" s="2365"/>
      <c r="L2" s="2366"/>
      <c r="M2" s="2366"/>
      <c r="N2" s="2367"/>
      <c r="O2" s="1574"/>
      <c r="P2" s="2367"/>
      <c r="Q2" s="2367"/>
      <c r="R2" s="2367"/>
      <c r="S2" s="1680" t="str">
        <f>IF(B10="北京市","北京市",C10)&amp;F10&amp;IF(结果表!G1="在建","出让国有建设用地使用权及在建建筑物房地产",IF(结果表!G1="土地","出让国有建设用地使用权","房地产"))</f>
        <v>北京市房地产</v>
      </c>
      <c r="T2" s="1743"/>
      <c r="U2" s="1743"/>
      <c r="V2" s="1743"/>
      <c r="W2" s="1743"/>
      <c r="X2" s="1743"/>
      <c r="Y2" s="1743"/>
      <c r="Z2" s="1743"/>
      <c r="AA2" s="1743"/>
      <c r="AB2" s="1743"/>
    </row>
    <row r="3" spans="1:30">
      <c r="A3" s="302" t="s">
        <v>2168</v>
      </c>
      <c r="B3" s="2370"/>
      <c r="C3" s="2371" t="s">
        <v>2169</v>
      </c>
      <c r="D3" s="2370">
        <v>45068</v>
      </c>
      <c r="E3" s="2660"/>
      <c r="F3" s="2660"/>
      <c r="G3" s="2660"/>
      <c r="H3" s="2660"/>
      <c r="I3" s="2660"/>
      <c r="J3" s="2468"/>
      <c r="K3" s="2365"/>
      <c r="L3" s="2366"/>
      <c r="M3" s="2366"/>
      <c r="N3" s="2367"/>
      <c r="O3" s="1574"/>
      <c r="P3" s="2367"/>
      <c r="Q3" s="2367"/>
      <c r="R3" s="2367"/>
      <c r="S3" s="1680"/>
      <c r="T3" s="1743"/>
      <c r="U3" s="1743"/>
      <c r="V3" s="1743"/>
      <c r="W3" s="1743"/>
      <c r="X3" s="1743"/>
      <c r="Y3" s="1743"/>
      <c r="Z3" s="1743"/>
      <c r="AA3" s="1743"/>
      <c r="AB3" s="1743"/>
    </row>
    <row r="4" spans="1:30" ht="13.5" thickBot="1">
      <c r="A4" s="1089" t="s">
        <v>2170</v>
      </c>
      <c r="B4" s="2372"/>
      <c r="C4" s="2373">
        <f>SUMIF(注册房地产估价师,B4,估价师及机构信息!B3:B24)</f>
        <v>0</v>
      </c>
      <c r="D4" s="2372"/>
      <c r="E4" s="2374">
        <f>SUMIF(注册房地产估价师,D4,估价师及机构信息!B3:B24)</f>
        <v>0</v>
      </c>
      <c r="F4" s="2372"/>
      <c r="G4" s="2374">
        <f>SUMIF(注册房地产估价师,F4,估价师及机构信息!B3:B24)</f>
        <v>0</v>
      </c>
      <c r="H4" s="2372"/>
      <c r="I4" s="2374">
        <f>SUMIF(注册房地产估价师,H4,估价师及机构信息!B3:B24)</f>
        <v>0</v>
      </c>
      <c r="J4" s="2436"/>
      <c r="K4" s="2375" t="str">
        <f>CONCATENATE(B4,"（注册号：",C4,")、",D4,"（注册号：",E4,")")</f>
        <v>（注册号：0)、（注册号：0)</v>
      </c>
      <c r="L4" s="2366"/>
      <c r="M4" s="2366"/>
      <c r="N4" s="2367"/>
      <c r="O4" s="1574"/>
      <c r="P4" s="2367"/>
      <c r="Q4" s="2367"/>
      <c r="R4" s="2367"/>
      <c r="S4" s="1680"/>
      <c r="T4" s="1743"/>
      <c r="U4" s="1743"/>
      <c r="V4" s="1743"/>
      <c r="W4" s="1743"/>
      <c r="X4" s="1743"/>
      <c r="Y4" s="1743"/>
      <c r="Z4" s="1743"/>
      <c r="AA4" s="1743"/>
      <c r="AB4" s="1743"/>
    </row>
    <row r="5" spans="1:30" ht="13.5" thickTop="1">
      <c r="A5" s="2376" t="s">
        <v>2171</v>
      </c>
      <c r="B5" s="2377"/>
      <c r="C5" s="2378"/>
      <c r="D5" s="2379"/>
      <c r="E5" s="2661"/>
      <c r="F5" s="2661"/>
      <c r="G5" s="2661"/>
      <c r="H5" s="2661"/>
      <c r="I5" s="2661"/>
      <c r="J5" s="2436"/>
      <c r="K5" s="2375" t="str">
        <f>IF(F4="——","",IF(H4="——",F4&amp;"（注册号："&amp;G4&amp;")",CONCATENATE(F4,"（注册号：",G4,")、",H4,"（注册号：",I4,")")))</f>
        <v>（注册号：0)、（注册号：0)</v>
      </c>
      <c r="L5" s="2366"/>
      <c r="M5" s="2366"/>
      <c r="N5" s="2367"/>
      <c r="O5" s="1574"/>
      <c r="P5" s="2367"/>
      <c r="Q5" s="2367"/>
      <c r="R5" s="2367"/>
      <c r="S5" s="1743"/>
      <c r="T5" s="1743"/>
      <c r="U5" s="1743"/>
      <c r="V5" s="1743"/>
      <c r="W5" s="1743"/>
      <c r="X5" s="1743"/>
      <c r="Y5" s="1743"/>
      <c r="Z5" s="1743"/>
      <c r="AA5" s="1743"/>
      <c r="AB5" s="1743"/>
    </row>
    <row r="6" spans="1:30">
      <c r="A6" s="2380" t="s">
        <v>2172</v>
      </c>
      <c r="B6" s="2381"/>
      <c r="C6" s="2382"/>
      <c r="D6" s="2383"/>
      <c r="E6" s="2659"/>
      <c r="F6" s="2661"/>
      <c r="G6" s="2661"/>
      <c r="H6" s="2661"/>
      <c r="I6" s="2661"/>
      <c r="J6" s="2436"/>
      <c r="K6" s="2612" t="str">
        <f>IF(COUNTIF(B6,"*上海银行*"),"上海银行","")</f>
        <v/>
      </c>
      <c r="L6" s="2610"/>
      <c r="M6" s="2610"/>
      <c r="N6" s="2436"/>
      <c r="O6" s="2447"/>
      <c r="P6" s="2436"/>
      <c r="Q6" s="2436"/>
      <c r="R6" s="2436"/>
    </row>
    <row r="7" spans="1:30">
      <c r="A7" s="2380" t="s">
        <v>2173</v>
      </c>
      <c r="B7" s="2384"/>
      <c r="C7" s="2382"/>
      <c r="D7" s="2383"/>
      <c r="E7" s="2659"/>
      <c r="F7" s="2661"/>
      <c r="G7" s="2661"/>
      <c r="H7" s="2661"/>
      <c r="I7" s="2661"/>
      <c r="J7" s="2436"/>
      <c r="K7" s="2613"/>
      <c r="L7" s="2610"/>
      <c r="M7" s="2610"/>
      <c r="N7" s="2436"/>
      <c r="O7" s="2447"/>
      <c r="P7" s="2436"/>
      <c r="Q7" s="2436"/>
      <c r="R7" s="2436"/>
    </row>
    <row r="8" spans="1:30">
      <c r="A8" s="2385" t="s">
        <v>2174</v>
      </c>
      <c r="B8" s="2386" t="s">
        <v>3379</v>
      </c>
      <c r="C8" s="2387"/>
      <c r="D8" s="3572" t="s">
        <v>2175</v>
      </c>
      <c r="E8" s="2388" t="s">
        <v>3380</v>
      </c>
      <c r="F8" s="2389"/>
      <c r="G8" s="2660"/>
      <c r="H8" s="2660"/>
      <c r="I8" s="2660"/>
      <c r="J8" s="2436"/>
      <c r="K8" s="2611"/>
      <c r="L8" s="2610"/>
      <c r="M8" s="2610"/>
      <c r="N8" s="2436"/>
      <c r="O8" s="2447"/>
      <c r="P8" s="2436"/>
      <c r="Q8" s="2436"/>
      <c r="R8" s="2436"/>
    </row>
    <row r="9" spans="1:30" ht="13.5" thickBot="1">
      <c r="A9" s="2390" t="s">
        <v>2176</v>
      </c>
      <c r="B9" s="2391" t="s">
        <v>3380</v>
      </c>
      <c r="C9" s="2392"/>
      <c r="D9" s="3573"/>
      <c r="E9" s="2391"/>
      <c r="F9" s="2393"/>
      <c r="G9" s="2662"/>
      <c r="H9" s="2662"/>
      <c r="I9" s="2662"/>
      <c r="J9" s="2436"/>
      <c r="K9" s="2613"/>
      <c r="L9" s="2610"/>
      <c r="M9" s="2610"/>
      <c r="N9" s="2436"/>
      <c r="O9" s="2447"/>
      <c r="P9" s="2436"/>
      <c r="Q9" s="2436"/>
      <c r="R9" s="2436"/>
    </row>
    <row r="10" spans="1:30" ht="13.5" thickTop="1">
      <c r="A10" s="2394" t="s">
        <v>2177</v>
      </c>
      <c r="B10" s="2395" t="s">
        <v>3381</v>
      </c>
      <c r="C10" s="2396"/>
      <c r="D10" s="2379"/>
      <c r="E10" s="2397" t="s">
        <v>2178</v>
      </c>
      <c r="F10" s="2663"/>
      <c r="G10" s="2664"/>
      <c r="H10" s="2665"/>
      <c r="I10" s="2666"/>
      <c r="J10" s="2436"/>
      <c r="K10" s="2613"/>
      <c r="L10" s="2610"/>
      <c r="M10" s="2610"/>
      <c r="N10" s="2436"/>
      <c r="O10" s="2447"/>
      <c r="P10" s="2436"/>
      <c r="Q10" s="2436"/>
      <c r="R10" s="2436"/>
    </row>
    <row r="11" spans="1:30">
      <c r="A11" s="2398" t="s">
        <v>2179</v>
      </c>
      <c r="B11" s="2399" t="s">
        <v>3382</v>
      </c>
      <c r="C11" s="2400"/>
      <c r="D11" s="2401"/>
      <c r="E11" s="2367"/>
      <c r="F11" s="2367"/>
      <c r="G11" s="2367"/>
      <c r="H11" s="2367"/>
      <c r="I11" s="2367"/>
      <c r="J11" s="3057"/>
      <c r="K11" s="3056"/>
      <c r="L11" s="2610"/>
      <c r="M11" s="2610"/>
      <c r="N11" s="2436"/>
      <c r="O11" s="2447"/>
      <c r="P11" s="2436"/>
      <c r="Q11" s="2436"/>
      <c r="R11" s="2436"/>
    </row>
    <row r="12" spans="1:30">
      <c r="A12" s="2402" t="s">
        <v>2180</v>
      </c>
      <c r="B12" s="323" t="s">
        <v>2181</v>
      </c>
      <c r="C12" s="2403" t="s">
        <v>2182</v>
      </c>
      <c r="D12" s="2403" t="s">
        <v>2183</v>
      </c>
      <c r="E12" s="2403" t="s">
        <v>2184</v>
      </c>
      <c r="F12" s="2403" t="s">
        <v>2185</v>
      </c>
      <c r="G12" s="2403" t="s">
        <v>2186</v>
      </c>
      <c r="H12" s="2403" t="s">
        <v>2187</v>
      </c>
      <c r="I12" s="3055" t="s">
        <v>2577</v>
      </c>
      <c r="J12" s="3058"/>
      <c r="K12" s="2610"/>
      <c r="L12" s="2610"/>
      <c r="M12" s="2436"/>
      <c r="N12" s="2447"/>
      <c r="O12" s="2436"/>
      <c r="P12" s="2436"/>
      <c r="Q12" s="2436"/>
      <c r="AD12" s="1743"/>
    </row>
    <row r="13" spans="1:30">
      <c r="A13" s="3419" t="s">
        <v>3334</v>
      </c>
      <c r="B13" s="2404" t="s">
        <v>2188</v>
      </c>
      <c r="C13" s="855"/>
      <c r="D13" s="855">
        <v>51945</v>
      </c>
      <c r="E13" s="855"/>
      <c r="F13" s="855">
        <v>51945</v>
      </c>
      <c r="G13" s="855"/>
      <c r="H13" s="855"/>
      <c r="I13" s="855"/>
      <c r="J13" s="3058"/>
      <c r="K13" s="2610"/>
      <c r="L13" s="2610"/>
      <c r="M13" s="2436"/>
      <c r="N13" s="2447"/>
      <c r="O13" s="2436"/>
      <c r="P13" s="2436"/>
      <c r="Q13" s="2436"/>
      <c r="AD13" s="1743"/>
    </row>
    <row r="14" spans="1:30">
      <c r="A14" s="1080"/>
      <c r="B14" s="2404" t="s">
        <v>2189</v>
      </c>
      <c r="C14" s="2405"/>
      <c r="D14" s="2405">
        <v>40</v>
      </c>
      <c r="E14" s="2405"/>
      <c r="F14" s="2405">
        <v>40</v>
      </c>
      <c r="G14" s="2405"/>
      <c r="H14" s="2405"/>
      <c r="I14" s="2405"/>
      <c r="J14" s="3059"/>
      <c r="K14" s="2610"/>
      <c r="L14" s="2610"/>
      <c r="M14" s="2436"/>
      <c r="N14" s="2447"/>
      <c r="O14" s="2436"/>
      <c r="P14" s="2436"/>
      <c r="Q14" s="2436"/>
      <c r="AD14" s="1743"/>
    </row>
    <row r="15" spans="1:30">
      <c r="A15" s="320"/>
      <c r="B15" s="2406" t="s">
        <v>2190</v>
      </c>
      <c r="C15" s="2407" t="str">
        <f>IF(A13="出让",IF(C13="","",ROUNDDOWN(MIN((C13-$D$3)/365,C14),2)),C14)</f>
        <v/>
      </c>
      <c r="D15" s="2407">
        <f>IF(A13="出让",IF(D13="","",ROUNDDOWN(MIN((D13-$D$3)/365,D14),2)),D14)</f>
        <v>18.84</v>
      </c>
      <c r="E15" s="2407" t="str">
        <f>IF(A13="出让",IF(E13="","",ROUNDDOWN(MIN((E13-$D$3)/365,E14),2)),E14)</f>
        <v/>
      </c>
      <c r="F15" s="2407">
        <f>IF(A13="出让",IF(F13="","",ROUNDDOWN(MIN((F13-$D$3)/365,F14),2)),F14)</f>
        <v>18.84</v>
      </c>
      <c r="G15" s="2407" t="str">
        <f>IF(A13="出让",IF(G13="","",ROUNDDOWN(MIN((G13-$D$3)/365,G14),2)),G14)</f>
        <v/>
      </c>
      <c r="H15" s="2407" t="str">
        <f>IF(A13="出让",IF(H13="","",ROUNDDOWN(MIN((H13-$D$3)/365,H14),2)),H14)</f>
        <v/>
      </c>
      <c r="I15" s="2407" t="str">
        <f>IF(A13="出让",IF(I13="","",ROUNDDOWN(MIN((I13-$D$3)/365,I14),2)),I14)</f>
        <v/>
      </c>
      <c r="J15" s="3060"/>
      <c r="K15" s="2448"/>
      <c r="L15" s="2448"/>
      <c r="M15" s="2506"/>
      <c r="N15" s="2448"/>
      <c r="O15" s="2506"/>
      <c r="P15" s="2436"/>
      <c r="Q15" s="2436"/>
      <c r="AD15" s="1743"/>
    </row>
    <row r="16" spans="1:30">
      <c r="A16" s="2397" t="s">
        <v>2191</v>
      </c>
      <c r="B16" s="3579"/>
      <c r="C16" s="3580"/>
      <c r="D16" s="3581"/>
      <c r="E16" s="2410" t="s">
        <v>2192</v>
      </c>
      <c r="F16" s="3582"/>
      <c r="G16" s="3583"/>
      <c r="H16" s="3583"/>
      <c r="I16" s="3584"/>
      <c r="J16" s="2436"/>
      <c r="K16" s="2614"/>
      <c r="L16" s="2448"/>
      <c r="M16" s="2448"/>
      <c r="N16" s="2506"/>
      <c r="O16" s="2448"/>
      <c r="P16" s="2506"/>
      <c r="Q16" s="2436"/>
      <c r="R16" s="2436"/>
    </row>
    <row r="17" spans="1:28">
      <c r="A17" s="313" t="s">
        <v>2193</v>
      </c>
      <c r="B17" s="302" t="s">
        <v>2194</v>
      </c>
      <c r="C17" s="8">
        <f>'数据-汇总表'!E3</f>
        <v>20062.899999999998</v>
      </c>
      <c r="D17" s="2319" t="s">
        <v>2195</v>
      </c>
      <c r="E17" s="3585" t="s">
        <v>2196</v>
      </c>
      <c r="F17" s="3586"/>
      <c r="G17" s="3586"/>
      <c r="H17" s="3586"/>
      <c r="I17" s="3587"/>
      <c r="J17" s="2436"/>
      <c r="K17" s="2615"/>
      <c r="L17" s="2448"/>
      <c r="M17" s="2448"/>
      <c r="N17" s="2506"/>
      <c r="O17" s="2448"/>
      <c r="P17" s="2506"/>
      <c r="Q17" s="2436"/>
      <c r="R17" s="2436"/>
      <c r="S17" s="2436"/>
      <c r="T17" s="2436"/>
      <c r="U17" s="2436"/>
      <c r="V17" s="2436"/>
    </row>
    <row r="18" spans="1:28" ht="24.75" thickBot="1">
      <c r="A18" s="2411" t="s">
        <v>2197</v>
      </c>
      <c r="B18" s="1089" t="s">
        <v>2198</v>
      </c>
      <c r="C18" s="2412">
        <f>'数据-汇总表'!D3</f>
        <v>10405.33</v>
      </c>
      <c r="D18" s="1091" t="s">
        <v>2199</v>
      </c>
      <c r="E18" s="3588" t="s">
        <v>2200</v>
      </c>
      <c r="F18" s="3589"/>
      <c r="G18" s="3589"/>
      <c r="H18" s="3589"/>
      <c r="I18" s="3590"/>
      <c r="J18" s="2436"/>
      <c r="K18" s="2615"/>
      <c r="L18" s="2448"/>
      <c r="M18" s="2448"/>
      <c r="N18" s="2506"/>
      <c r="O18" s="2448"/>
      <c r="P18" s="2506"/>
      <c r="Q18" s="2436"/>
      <c r="R18" s="2436"/>
      <c r="S18" s="2436"/>
      <c r="T18" s="2436"/>
      <c r="U18" s="2436"/>
      <c r="V18" s="2436"/>
    </row>
    <row r="19" spans="1:28" ht="37.5" thickTop="1" thickBot="1">
      <c r="A19" s="327" t="s">
        <v>1055</v>
      </c>
      <c r="B19" s="307" t="s">
        <v>2201</v>
      </c>
      <c r="C19" s="1561"/>
      <c r="D19" s="1562" t="s">
        <v>2202</v>
      </c>
      <c r="E19" s="1563"/>
      <c r="F19" s="1564" t="str">
        <f>IF(AND(C19="是",E19="否"),"是否提供他项权证或相关说明","")</f>
        <v/>
      </c>
      <c r="G19" s="1565"/>
      <c r="H19" s="2661"/>
      <c r="I19" s="2661"/>
      <c r="J19" s="2436"/>
      <c r="K19" s="2613"/>
      <c r="L19" s="2610"/>
      <c r="M19" s="2610"/>
      <c r="N19" s="2506"/>
      <c r="O19" s="2448"/>
      <c r="P19" s="2506"/>
      <c r="Q19" s="2436"/>
      <c r="R19" s="2436"/>
      <c r="S19" s="2436"/>
      <c r="T19" s="2436"/>
      <c r="U19" s="2436"/>
      <c r="V19" s="2436"/>
    </row>
    <row r="20" spans="1:28">
      <c r="A20" s="2629" t="s">
        <v>2203</v>
      </c>
      <c r="B20" s="3575" t="s">
        <v>2204</v>
      </c>
      <c r="C20" s="3576"/>
      <c r="D20" s="3577" t="s">
        <v>2205</v>
      </c>
      <c r="E20" s="3578"/>
      <c r="F20" s="2644" t="s">
        <v>1056</v>
      </c>
      <c r="G20" s="2661"/>
      <c r="H20" s="2661"/>
      <c r="I20" s="2661"/>
      <c r="J20" s="2436"/>
      <c r="K20" s="3574" t="s">
        <v>2206</v>
      </c>
      <c r="L20" s="68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6"/>
      <c r="N20" s="2409"/>
      <c r="O20" s="2408"/>
      <c r="P20" s="2409"/>
      <c r="Q20" s="2367"/>
      <c r="R20" s="2367"/>
      <c r="S20" s="2367"/>
      <c r="T20" s="2367"/>
      <c r="U20" s="2367"/>
      <c r="V20" s="2367"/>
      <c r="W20" s="1743"/>
      <c r="X20" s="1743"/>
      <c r="Y20" s="1743"/>
      <c r="Z20" s="1743"/>
      <c r="AA20" s="1743"/>
      <c r="AB20" s="1743"/>
    </row>
    <row r="21" spans="1:28" ht="24.75" thickBot="1">
      <c r="A21" s="2629"/>
      <c r="B21" s="2630" t="s">
        <v>2207</v>
      </c>
      <c r="C21" s="2631" t="s">
        <v>1057</v>
      </c>
      <c r="D21" s="1566" t="s">
        <v>2208</v>
      </c>
      <c r="E21" s="2632" t="s">
        <v>1057</v>
      </c>
      <c r="F21" s="2645"/>
      <c r="G21" s="2661"/>
      <c r="H21" s="2661"/>
      <c r="I21" s="2661"/>
      <c r="J21" s="2436"/>
      <c r="K21" s="3574"/>
      <c r="L21" s="68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6"/>
      <c r="N21" s="2409"/>
      <c r="O21" s="2408"/>
      <c r="P21" s="2409"/>
      <c r="Q21" s="2367"/>
      <c r="R21" s="2367"/>
      <c r="S21" s="2367"/>
      <c r="T21" s="2367"/>
      <c r="U21" s="2367"/>
      <c r="V21" s="2367"/>
      <c r="W21" s="1743"/>
      <c r="X21" s="1743"/>
      <c r="Y21" s="1743"/>
      <c r="Z21" s="1743"/>
      <c r="AA21" s="1743"/>
      <c r="AB21" s="1743"/>
    </row>
    <row r="22" spans="1:28" ht="24.75" thickBot="1">
      <c r="A22" s="2629"/>
      <c r="B22" s="2633" t="s">
        <v>2209</v>
      </c>
      <c r="C22" s="2631" t="s">
        <v>1058</v>
      </c>
      <c r="D22" s="2660"/>
      <c r="E22" s="2660"/>
      <c r="F22" s="2660"/>
      <c r="G22" s="2661"/>
      <c r="H22" s="2661"/>
      <c r="I22" s="2661"/>
      <c r="J22" s="2436"/>
      <c r="K22" s="3574"/>
      <c r="L22" s="68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6"/>
      <c r="N22" s="2409"/>
      <c r="O22" s="2408"/>
      <c r="P22" s="2409"/>
      <c r="Q22" s="2367"/>
      <c r="R22" s="2367"/>
      <c r="S22" s="2367"/>
      <c r="T22" s="2367"/>
      <c r="U22" s="2367"/>
      <c r="V22" s="2367"/>
      <c r="W22" s="1743"/>
      <c r="X22" s="1743"/>
      <c r="Y22" s="1743"/>
      <c r="Z22" s="1743"/>
      <c r="AA22" s="1743"/>
      <c r="AB22" s="1743"/>
    </row>
    <row r="23" spans="1:28">
      <c r="A23" s="2634" t="s">
        <v>2210</v>
      </c>
      <c r="B23" s="2499" t="s">
        <v>2211</v>
      </c>
      <c r="C23" s="2635"/>
      <c r="D23" s="2636" t="s">
        <v>2211</v>
      </c>
      <c r="E23" s="2637"/>
      <c r="F23" s="2660"/>
      <c r="G23" s="2661"/>
      <c r="H23" s="2661"/>
      <c r="I23" s="2661"/>
      <c r="J23" s="2436"/>
      <c r="K23" s="2616"/>
      <c r="L23" s="2472"/>
      <c r="M23" s="2610"/>
      <c r="N23" s="2506"/>
      <c r="O23" s="2448"/>
      <c r="P23" s="2506"/>
      <c r="Q23" s="2436"/>
      <c r="R23" s="2436"/>
      <c r="S23" s="2436"/>
      <c r="T23" s="2436"/>
      <c r="U23" s="2436"/>
      <c r="V23" s="2436"/>
    </row>
    <row r="24" spans="1:28">
      <c r="A24" s="2634"/>
      <c r="B24" s="2499" t="s">
        <v>1059</v>
      </c>
      <c r="C24" s="2638"/>
      <c r="D24" s="2634" t="s">
        <v>1059</v>
      </c>
      <c r="E24" s="2639"/>
      <c r="F24" s="2660"/>
      <c r="G24" s="2661"/>
      <c r="H24" s="2661"/>
      <c r="I24" s="2661"/>
      <c r="J24" s="2436"/>
      <c r="K24" s="2616"/>
      <c r="L24" s="2472"/>
      <c r="M24" s="2610"/>
      <c r="N24" s="2506"/>
      <c r="O24" s="2448"/>
      <c r="P24" s="2506"/>
      <c r="Q24" s="2436"/>
      <c r="R24" s="2436"/>
      <c r="S24" s="2436"/>
      <c r="T24" s="2436"/>
      <c r="U24" s="2436"/>
      <c r="V24" s="2436"/>
    </row>
    <row r="25" spans="1:28">
      <c r="A25" s="2634"/>
      <c r="B25" s="2499" t="s">
        <v>1060</v>
      </c>
      <c r="C25" s="2638"/>
      <c r="D25" s="2634" t="s">
        <v>1060</v>
      </c>
      <c r="E25" s="2639"/>
      <c r="F25" s="2660"/>
      <c r="G25" s="2661"/>
      <c r="H25" s="2661"/>
      <c r="I25" s="2661"/>
      <c r="J25" s="2436"/>
      <c r="K25" s="2613"/>
      <c r="L25" s="2610"/>
      <c r="M25" s="2610"/>
      <c r="N25" s="2506"/>
      <c r="O25" s="2448"/>
      <c r="P25" s="2506"/>
      <c r="Q25" s="2436"/>
      <c r="R25" s="2436"/>
      <c r="S25" s="2436"/>
      <c r="T25" s="2436"/>
      <c r="U25" s="2436"/>
      <c r="V25" s="2436"/>
    </row>
    <row r="26" spans="1:28" ht="13.5" thickBot="1">
      <c r="A26" s="2640"/>
      <c r="B26" s="2641" t="s">
        <v>1061</v>
      </c>
      <c r="C26" s="2642"/>
      <c r="D26" s="2640" t="s">
        <v>1061</v>
      </c>
      <c r="E26" s="2643"/>
      <c r="F26" s="2662"/>
      <c r="G26" s="2662"/>
      <c r="H26" s="2662"/>
      <c r="I26" s="2662"/>
      <c r="J26" s="2436"/>
      <c r="K26" s="2613"/>
      <c r="L26" s="2610"/>
      <c r="M26" s="2610"/>
      <c r="N26" s="2506"/>
      <c r="O26" s="2448"/>
      <c r="P26" s="2506"/>
      <c r="Q26" s="2436"/>
      <c r="R26" s="2436"/>
      <c r="S26" s="2436"/>
      <c r="T26" s="2436"/>
      <c r="U26" s="2436"/>
      <c r="V26" s="2436"/>
    </row>
    <row r="27" spans="1:28" ht="13.5" thickTop="1">
      <c r="A27" s="3592" t="s">
        <v>2212</v>
      </c>
      <c r="B27" s="320" t="s">
        <v>2213</v>
      </c>
      <c r="C27" s="2413"/>
      <c r="D27" s="2414"/>
      <c r="E27" s="2661"/>
      <c r="F27" s="2661"/>
      <c r="G27" s="2661"/>
      <c r="H27" s="2661"/>
      <c r="I27" s="2661"/>
      <c r="J27" s="2436"/>
      <c r="K27" s="2614"/>
      <c r="L27" s="2448"/>
      <c r="M27" s="2448"/>
      <c r="N27" s="2506"/>
      <c r="O27" s="2448"/>
      <c r="P27" s="2506"/>
      <c r="Q27" s="2436"/>
      <c r="R27" s="2436"/>
      <c r="S27" s="2436"/>
      <c r="T27" s="2436"/>
      <c r="U27" s="2436"/>
      <c r="V27" s="2436"/>
    </row>
    <row r="28" spans="1:28">
      <c r="A28" s="3592"/>
      <c r="B28" s="302" t="s">
        <v>2214</v>
      </c>
      <c r="C28" s="2415"/>
      <c r="D28" s="2416"/>
      <c r="E28" s="2661"/>
      <c r="F28" s="2661"/>
      <c r="G28" s="2661"/>
      <c r="H28" s="2661"/>
      <c r="I28" s="2661"/>
      <c r="J28" s="2436"/>
      <c r="K28" s="2613"/>
      <c r="L28" s="2610"/>
      <c r="M28" s="2610"/>
      <c r="N28" s="2436"/>
      <c r="O28" s="2447"/>
      <c r="P28" s="2436"/>
      <c r="Q28" s="2436"/>
      <c r="R28" s="2436"/>
      <c r="S28" s="2436"/>
      <c r="T28" s="2436"/>
      <c r="U28" s="2436"/>
      <c r="V28" s="2436"/>
    </row>
    <row r="29" spans="1:28">
      <c r="A29" s="3592"/>
      <c r="B29" s="302" t="s">
        <v>2215</v>
      </c>
      <c r="C29" s="2417"/>
      <c r="D29" s="2418"/>
      <c r="E29" s="2661"/>
      <c r="F29" s="2661"/>
      <c r="G29" s="2661"/>
      <c r="H29" s="2661"/>
      <c r="I29" s="2661"/>
      <c r="J29" s="2436"/>
      <c r="K29" s="2613"/>
      <c r="L29" s="2610"/>
      <c r="M29" s="2610"/>
      <c r="N29" s="2436"/>
      <c r="O29" s="2447"/>
      <c r="P29" s="2436"/>
      <c r="Q29" s="2436"/>
      <c r="R29" s="2436"/>
      <c r="S29" s="2436"/>
      <c r="T29" s="2436"/>
      <c r="U29" s="2436"/>
      <c r="V29" s="2436"/>
    </row>
    <row r="30" spans="1:28">
      <c r="A30" s="3593"/>
      <c r="B30" s="302" t="s">
        <v>2216</v>
      </c>
      <c r="C30" s="3594"/>
      <c r="D30" s="3595"/>
      <c r="E30" s="2661"/>
      <c r="F30" s="2661"/>
      <c r="G30" s="2661"/>
      <c r="H30" s="2661"/>
      <c r="I30" s="2661"/>
      <c r="J30" s="2436"/>
      <c r="K30" s="2613"/>
      <c r="L30" s="2610"/>
      <c r="M30" s="2610"/>
      <c r="N30" s="2436"/>
      <c r="O30" s="2447"/>
      <c r="P30" s="2436"/>
      <c r="Q30" s="2436"/>
      <c r="R30" s="2436"/>
      <c r="S30" s="2436"/>
      <c r="T30" s="2436"/>
      <c r="U30" s="2436"/>
      <c r="V30" s="2436"/>
    </row>
    <row r="31" spans="1:28">
      <c r="A31" s="3596" t="s">
        <v>2217</v>
      </c>
      <c r="B31" s="2419"/>
      <c r="C31" s="2320" t="str">
        <f>IF(B31="现房","成新及维护状况正常否",IF(B31="在建","工程状态是否正常",IF(B31="土地","是否闲置","-")))</f>
        <v>-</v>
      </c>
      <c r="D31" s="1371"/>
      <c r="E31" s="2420"/>
      <c r="F31" s="2661"/>
      <c r="G31" s="2661"/>
      <c r="H31" s="2661"/>
      <c r="I31" s="2661"/>
      <c r="J31" s="2436"/>
      <c r="K31" s="2612"/>
      <c r="L31" s="2610"/>
      <c r="M31" s="2610"/>
      <c r="N31" s="2436"/>
      <c r="O31" s="2447"/>
      <c r="P31" s="2436"/>
      <c r="Q31" s="2436"/>
      <c r="R31" s="2436"/>
      <c r="S31" s="2436"/>
      <c r="T31" s="2436"/>
      <c r="U31" s="2436"/>
      <c r="V31" s="2436"/>
    </row>
    <row r="32" spans="1:28">
      <c r="A32" s="3597"/>
      <c r="B32" s="2419"/>
      <c r="C32" s="2320" t="str">
        <f>IF(B32="现房","成新及维护状况是否正常",IF(B32="在建","工程状态是否正常",IF(B32="土地","是否闲置","-")))</f>
        <v>-</v>
      </c>
      <c r="D32" s="1371"/>
      <c r="E32" s="2420"/>
      <c r="F32" s="2661"/>
      <c r="G32" s="2661"/>
      <c r="H32" s="2661"/>
      <c r="I32" s="2661"/>
      <c r="J32" s="2436"/>
      <c r="K32" s="2613"/>
      <c r="L32" s="2610"/>
      <c r="M32" s="2610"/>
      <c r="N32" s="2436"/>
      <c r="O32" s="2447"/>
      <c r="P32" s="2436"/>
      <c r="Q32" s="2436"/>
      <c r="R32" s="2436"/>
      <c r="S32" s="2436"/>
      <c r="T32" s="2436"/>
      <c r="U32" s="2436"/>
      <c r="V32" s="2436"/>
    </row>
    <row r="33" spans="1:30">
      <c r="A33" s="3597"/>
      <c r="B33" s="2422"/>
      <c r="C33" s="1588" t="str">
        <f>IF(B33="现房","成新及维护状况是否正常",IF(B33="在建","工程状态是否正常",IF(B33="土地","是否闲置","-")))</f>
        <v>-</v>
      </c>
      <c r="D33" s="1363"/>
      <c r="E33" s="2423"/>
      <c r="F33" s="2661"/>
      <c r="G33" s="2661"/>
      <c r="H33" s="2661"/>
      <c r="I33" s="2661"/>
      <c r="J33" s="2436"/>
      <c r="K33" s="2613"/>
      <c r="L33" s="2610"/>
      <c r="M33" s="2610"/>
      <c r="N33" s="2436"/>
      <c r="O33" s="2447"/>
      <c r="P33" s="2436"/>
      <c r="Q33" s="2436"/>
      <c r="R33" s="2436"/>
      <c r="S33" s="2436"/>
      <c r="T33" s="2436"/>
      <c r="U33" s="2436"/>
      <c r="V33" s="2436"/>
    </row>
    <row r="34" spans="1:30">
      <c r="A34" s="302" t="s">
        <v>2218</v>
      </c>
      <c r="B34" s="2023"/>
      <c r="C34" s="2023"/>
      <c r="D34" s="2023"/>
      <c r="E34" s="2023"/>
      <c r="F34" s="2023"/>
      <c r="G34" s="2023"/>
      <c r="H34" s="2023"/>
      <c r="I34" s="2661"/>
      <c r="J34" s="2436"/>
      <c r="K34" s="2424">
        <f>COUNTIF(B34:H34,"——")</f>
        <v>0</v>
      </c>
      <c r="L34" s="323" t="s">
        <v>2219</v>
      </c>
      <c r="M34" s="323" t="s">
        <v>2220</v>
      </c>
      <c r="N34" s="323" t="s">
        <v>2221</v>
      </c>
      <c r="O34" s="323" t="s">
        <v>2222</v>
      </c>
      <c r="P34" s="323" t="s">
        <v>2223</v>
      </c>
      <c r="Q34" s="323" t="s">
        <v>2224</v>
      </c>
      <c r="R34" s="323" t="s">
        <v>2225</v>
      </c>
      <c r="S34" s="3591" t="s">
        <v>2226</v>
      </c>
      <c r="T34" s="2425" t="str">
        <f>NUMBERSTRING(7-K34,1)&amp;"通"</f>
        <v>七通</v>
      </c>
      <c r="U34" s="2436"/>
      <c r="V34" s="2436"/>
    </row>
    <row r="35" spans="1:30">
      <c r="A35" s="2426"/>
      <c r="B35" s="3598" t="s">
        <v>2227</v>
      </c>
      <c r="C35" s="3598"/>
      <c r="D35" s="3598"/>
      <c r="E35" s="3598"/>
      <c r="F35" s="663">
        <f>C10</f>
        <v>0</v>
      </c>
      <c r="G35" s="2661"/>
      <c r="H35" s="2661"/>
      <c r="I35" s="2661"/>
      <c r="J35" s="2436"/>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591"/>
      <c r="T35" s="329" t="str">
        <f>IF(T34="一通",L35,IF(T34="二通",M35,IF(T34="三通",N35,IF(T34="四通",O35,IF(T34="五通",P35,IF(T34="六通",Q35,R35))))))</f>
        <v>、、、、、、</v>
      </c>
      <c r="U35" s="2436"/>
      <c r="V35" s="2436"/>
    </row>
    <row r="36" spans="1:30">
      <c r="A36" s="2427"/>
      <c r="B36" s="663" t="s">
        <v>2183</v>
      </c>
      <c r="C36" s="663" t="s">
        <v>2184</v>
      </c>
      <c r="D36" s="663" t="s">
        <v>2182</v>
      </c>
      <c r="E36" s="663" t="s">
        <v>2187</v>
      </c>
      <c r="F36" s="3061" t="s">
        <v>2580</v>
      </c>
      <c r="G36" s="2661"/>
      <c r="H36" s="2661"/>
      <c r="I36" s="2661"/>
      <c r="J36" s="2436"/>
      <c r="K36" s="2613"/>
      <c r="L36" s="2610"/>
      <c r="M36" s="2610"/>
      <c r="N36" s="2436"/>
      <c r="O36" s="2447"/>
      <c r="P36" s="2436"/>
      <c r="Q36" s="2436"/>
      <c r="R36" s="2436"/>
      <c r="S36" s="2436"/>
      <c r="T36" s="2436"/>
      <c r="U36" s="2436"/>
      <c r="V36" s="2436"/>
    </row>
    <row r="37" spans="1:30">
      <c r="A37" s="2627" t="s">
        <v>2228</v>
      </c>
      <c r="B37" s="2428" t="s">
        <v>307</v>
      </c>
      <c r="C37" s="2428"/>
      <c r="D37" s="2428"/>
      <c r="E37" s="2428"/>
      <c r="F37" s="2428"/>
      <c r="G37" s="2661"/>
      <c r="H37" s="2661"/>
      <c r="I37" s="2661"/>
      <c r="J37" s="2436"/>
      <c r="K37" s="2613"/>
      <c r="L37" s="2610"/>
      <c r="M37" s="2610"/>
      <c r="N37" s="2436"/>
      <c r="O37" s="2447"/>
      <c r="P37" s="2436"/>
      <c r="Q37" s="2436"/>
      <c r="R37" s="2436"/>
      <c r="S37" s="2436"/>
      <c r="T37" s="2436"/>
      <c r="U37" s="2436"/>
      <c r="V37" s="2436"/>
    </row>
    <row r="38" spans="1:30" ht="13.5" thickBot="1">
      <c r="A38" s="2628" t="s">
        <v>2229</v>
      </c>
      <c r="B38" s="2429" t="s">
        <v>161</v>
      </c>
      <c r="C38" s="2429"/>
      <c r="D38" s="2429"/>
      <c r="E38" s="2429"/>
      <c r="F38" s="2429"/>
      <c r="G38" s="2662"/>
      <c r="H38" s="2662"/>
      <c r="I38" s="2662"/>
      <c r="J38" s="2436"/>
      <c r="K38" s="2613"/>
      <c r="L38" s="2610"/>
      <c r="M38" s="2610"/>
      <c r="N38" s="2436"/>
      <c r="O38" s="2447"/>
      <c r="P38" s="2436"/>
      <c r="Q38" s="2436"/>
      <c r="R38" s="2436"/>
      <c r="S38" s="2436"/>
      <c r="T38" s="2436"/>
      <c r="U38" s="2436"/>
      <c r="V38" s="2436"/>
    </row>
    <row r="39" spans="1:30" s="2432" customFormat="1" ht="14.25" thickTop="1" thickBot="1">
      <c r="A39" s="2430" t="s">
        <v>2230</v>
      </c>
      <c r="B39" s="2431"/>
      <c r="C39" s="2431"/>
      <c r="D39" s="2431"/>
      <c r="E39" s="2431"/>
      <c r="F39" s="2431"/>
      <c r="G39" s="2431"/>
      <c r="H39" s="2431"/>
      <c r="I39" s="2431"/>
      <c r="J39" s="2619"/>
      <c r="K39" s="2620"/>
      <c r="L39" s="2619"/>
      <c r="M39" s="2619"/>
      <c r="N39" s="2619"/>
      <c r="O39" s="2621"/>
      <c r="P39" s="2619"/>
      <c r="Q39" s="2619"/>
      <c r="R39" s="2619"/>
      <c r="S39" s="2619"/>
      <c r="T39" s="2619"/>
      <c r="U39" s="2619"/>
      <c r="V39" s="2619"/>
      <c r="W39" s="2622"/>
      <c r="X39" s="2622"/>
      <c r="Y39" s="2622"/>
      <c r="Z39" s="2622"/>
      <c r="AA39" s="2622"/>
      <c r="AB39" s="2622"/>
      <c r="AC39" s="2622"/>
      <c r="AD39" s="2622"/>
    </row>
    <row r="40" spans="1:30">
      <c r="A40" s="2367"/>
      <c r="B40" s="2367"/>
      <c r="C40" s="2367"/>
      <c r="D40" s="2367"/>
      <c r="E40" s="2367"/>
      <c r="F40" s="2367"/>
      <c r="G40" s="2367"/>
      <c r="H40" s="2367"/>
      <c r="I40" s="1576"/>
      <c r="J40" s="2506"/>
      <c r="K40" s="2612"/>
      <c r="L40" s="2448"/>
      <c r="M40" s="2448"/>
      <c r="N40" s="2506"/>
      <c r="O40" s="2448"/>
      <c r="P40" s="2436"/>
      <c r="Q40" s="2436"/>
      <c r="R40" s="2436"/>
      <c r="S40" s="2436"/>
      <c r="T40" s="2436"/>
      <c r="U40" s="2436"/>
      <c r="V40" s="2436"/>
    </row>
    <row r="41" spans="1:30">
      <c r="A41" s="2433" t="s">
        <v>2231</v>
      </c>
      <c r="B41" s="1755"/>
      <c r="C41" s="1371"/>
      <c r="D41" s="2367"/>
      <c r="E41" s="2367"/>
      <c r="F41" s="2367"/>
      <c r="G41" s="2367"/>
      <c r="H41" s="2367"/>
      <c r="I41" s="1574"/>
      <c r="J41" s="2436"/>
      <c r="K41" s="2613"/>
      <c r="L41" s="2610"/>
      <c r="M41" s="2610"/>
      <c r="N41" s="2436"/>
      <c r="O41" s="2447"/>
      <c r="P41" s="2436"/>
      <c r="Q41" s="2436"/>
      <c r="R41" s="2436"/>
      <c r="S41" s="2436"/>
      <c r="T41" s="2436"/>
      <c r="U41" s="2436"/>
      <c r="V41" s="2436"/>
    </row>
    <row r="42" spans="1:30" ht="25.5">
      <c r="A42" s="323" t="s">
        <v>2232</v>
      </c>
      <c r="B42" s="8" t="s">
        <v>2233</v>
      </c>
      <c r="C42" s="8" t="s">
        <v>2234</v>
      </c>
      <c r="D42" s="8" t="s">
        <v>2235</v>
      </c>
      <c r="E42" s="8" t="s">
        <v>2236</v>
      </c>
      <c r="F42" s="8" t="s">
        <v>2237</v>
      </c>
      <c r="G42" s="8" t="s">
        <v>2238</v>
      </c>
      <c r="H42" s="8" t="s">
        <v>2239</v>
      </c>
      <c r="I42" s="8" t="s">
        <v>2240</v>
      </c>
      <c r="J42" s="2623" t="s">
        <v>2241</v>
      </c>
      <c r="K42" s="2624" t="s">
        <v>2242</v>
      </c>
      <c r="L42" s="2624" t="s">
        <v>2243</v>
      </c>
      <c r="M42" s="2624" t="s">
        <v>2244</v>
      </c>
      <c r="N42" s="2617" t="s">
        <v>2245</v>
      </c>
      <c r="O42" s="2617" t="s">
        <v>2246</v>
      </c>
      <c r="P42" s="2617" t="s">
        <v>2247</v>
      </c>
      <c r="Q42" s="2618" t="s">
        <v>2248</v>
      </c>
      <c r="R42" s="2618" t="s">
        <v>2249</v>
      </c>
      <c r="S42" s="2436"/>
      <c r="T42" s="2436"/>
      <c r="U42" s="2436"/>
      <c r="V42" s="2436"/>
    </row>
    <row r="43" spans="1:30" s="1741" customFormat="1">
      <c r="A43" s="1568"/>
      <c r="B43" s="1050"/>
      <c r="C43" s="1050"/>
      <c r="D43" s="1050"/>
      <c r="E43" s="1050"/>
      <c r="F43" s="1050"/>
      <c r="G43" s="1050"/>
      <c r="H43" s="1050"/>
      <c r="I43" s="1050"/>
      <c r="J43" s="2434"/>
      <c r="K43" s="2435"/>
      <c r="L43" s="2435"/>
      <c r="M43" s="1050"/>
      <c r="N43" s="1050"/>
      <c r="O43" s="1050"/>
      <c r="P43" s="1050"/>
      <c r="Q43" s="1050"/>
      <c r="R43" s="1050"/>
      <c r="S43" s="2436"/>
      <c r="T43" s="2436"/>
      <c r="U43" s="2436"/>
      <c r="V43" s="2436"/>
    </row>
    <row r="44" spans="1:30" s="1741" customFormat="1">
      <c r="A44" s="1568"/>
      <c r="B44" s="1568"/>
      <c r="C44" s="1050"/>
      <c r="D44" s="1050"/>
      <c r="E44" s="1050"/>
      <c r="F44" s="1050"/>
      <c r="G44" s="1050"/>
      <c r="H44" s="1050"/>
      <c r="I44" s="1050"/>
      <c r="J44" s="2434"/>
      <c r="K44" s="2435"/>
      <c r="L44" s="2435"/>
      <c r="M44" s="1050"/>
      <c r="N44" s="1050"/>
      <c r="O44" s="1050"/>
      <c r="P44" s="1050"/>
      <c r="Q44" s="1050"/>
      <c r="R44" s="1050"/>
      <c r="S44" s="2436"/>
      <c r="T44" s="2436"/>
      <c r="U44" s="2436"/>
      <c r="V44" s="2436"/>
    </row>
    <row r="45" spans="1:30" s="1741" customFormat="1">
      <c r="A45" s="1568"/>
      <c r="B45" s="1568"/>
      <c r="C45" s="1050"/>
      <c r="D45" s="1050"/>
      <c r="E45" s="1050"/>
      <c r="F45" s="1050"/>
      <c r="G45" s="1050"/>
      <c r="H45" s="1050"/>
      <c r="I45" s="1050"/>
      <c r="J45" s="2434"/>
      <c r="K45" s="2435"/>
      <c r="L45" s="2435"/>
      <c r="M45" s="1050"/>
      <c r="N45" s="1050"/>
      <c r="O45" s="1050"/>
      <c r="P45" s="1050"/>
      <c r="Q45" s="1050"/>
      <c r="R45" s="1050"/>
      <c r="S45" s="2436"/>
      <c r="T45" s="2436"/>
      <c r="U45" s="2436"/>
      <c r="V45" s="2436"/>
    </row>
    <row r="46" spans="1:30" s="1741" customFormat="1">
      <c r="A46" s="1568"/>
      <c r="B46" s="1568"/>
      <c r="C46" s="1050"/>
      <c r="D46" s="1050"/>
      <c r="E46" s="1050"/>
      <c r="F46" s="1050"/>
      <c r="G46" s="1050"/>
      <c r="H46" s="1050"/>
      <c r="I46" s="1050"/>
      <c r="J46" s="2434"/>
      <c r="K46" s="2435"/>
      <c r="L46" s="2435"/>
      <c r="M46" s="1050"/>
      <c r="N46" s="1050"/>
      <c r="O46" s="1050"/>
      <c r="P46" s="1050"/>
      <c r="Q46" s="1050"/>
      <c r="R46" s="1050"/>
      <c r="S46" s="2436"/>
      <c r="T46" s="2436"/>
      <c r="U46" s="2436"/>
      <c r="V46" s="2436"/>
    </row>
    <row r="47" spans="1:30" s="1741" customFormat="1">
      <c r="A47" s="1568"/>
      <c r="B47" s="1568"/>
      <c r="C47" s="1050"/>
      <c r="D47" s="1050"/>
      <c r="E47" s="1050"/>
      <c r="F47" s="1050"/>
      <c r="G47" s="1050"/>
      <c r="H47" s="1050"/>
      <c r="I47" s="1050"/>
      <c r="J47" s="2434"/>
      <c r="K47" s="2435"/>
      <c r="L47" s="2435"/>
      <c r="M47" s="1050"/>
      <c r="N47" s="1050"/>
      <c r="O47" s="1050"/>
      <c r="P47" s="1050"/>
      <c r="Q47" s="1050"/>
      <c r="R47" s="1050"/>
      <c r="S47" s="2436"/>
      <c r="T47" s="2436"/>
      <c r="U47" s="2436"/>
      <c r="V47" s="2436"/>
    </row>
    <row r="48" spans="1:30" s="1741" customFormat="1">
      <c r="A48" s="1568"/>
      <c r="B48" s="1568"/>
      <c r="C48" s="1050"/>
      <c r="D48" s="1050"/>
      <c r="E48" s="1050"/>
      <c r="F48" s="1050"/>
      <c r="G48" s="1050"/>
      <c r="H48" s="1050"/>
      <c r="I48" s="1050"/>
      <c r="J48" s="2434"/>
      <c r="K48" s="2435"/>
      <c r="L48" s="2435"/>
      <c r="M48" s="1050"/>
      <c r="N48" s="1050"/>
      <c r="O48" s="1050"/>
      <c r="P48" s="1050"/>
      <c r="Q48" s="1050"/>
      <c r="R48" s="1050"/>
      <c r="S48" s="2436"/>
      <c r="T48" s="2436"/>
      <c r="U48" s="2436"/>
      <c r="V48" s="2436"/>
    </row>
    <row r="49" spans="1:22" s="1741" customFormat="1">
      <c r="A49" s="1568"/>
      <c r="B49" s="1568"/>
      <c r="C49" s="1050"/>
      <c r="D49" s="1050"/>
      <c r="E49" s="1050"/>
      <c r="F49" s="1050"/>
      <c r="G49" s="1050"/>
      <c r="H49" s="1050"/>
      <c r="I49" s="1050"/>
      <c r="J49" s="2434"/>
      <c r="K49" s="2435"/>
      <c r="L49" s="2435"/>
      <c r="M49" s="1050"/>
      <c r="N49" s="1050"/>
      <c r="O49" s="1050"/>
      <c r="P49" s="1050"/>
      <c r="Q49" s="1050"/>
      <c r="R49" s="1050"/>
      <c r="S49" s="2436"/>
      <c r="T49" s="2436"/>
      <c r="U49" s="2436"/>
      <c r="V49" s="2436"/>
    </row>
    <row r="50" spans="1:22" s="1741" customFormat="1">
      <c r="A50" s="1568"/>
      <c r="B50" s="1568"/>
      <c r="C50" s="1050"/>
      <c r="D50" s="1050"/>
      <c r="E50" s="1050"/>
      <c r="F50" s="1050"/>
      <c r="G50" s="1050"/>
      <c r="H50" s="1050"/>
      <c r="I50" s="1050"/>
      <c r="J50" s="2434"/>
      <c r="K50" s="2435"/>
      <c r="L50" s="2435"/>
      <c r="M50" s="1050"/>
      <c r="N50" s="1050"/>
      <c r="O50" s="1050"/>
      <c r="P50" s="1050"/>
      <c r="Q50" s="1050"/>
      <c r="R50" s="1050"/>
      <c r="S50" s="2436"/>
      <c r="T50" s="2436"/>
      <c r="U50" s="2436"/>
      <c r="V50" s="2436"/>
    </row>
    <row r="51" spans="1:22" s="1741" customFormat="1">
      <c r="A51" s="1568"/>
      <c r="B51" s="1568"/>
      <c r="C51" s="1050"/>
      <c r="D51" s="1050"/>
      <c r="E51" s="1050"/>
      <c r="F51" s="1050"/>
      <c r="G51" s="1050"/>
      <c r="H51" s="1050"/>
      <c r="I51" s="1050"/>
      <c r="J51" s="2434"/>
      <c r="K51" s="2435"/>
      <c r="L51" s="2435"/>
      <c r="M51" s="1050"/>
      <c r="N51" s="1050"/>
      <c r="O51" s="1050"/>
      <c r="P51" s="1050"/>
      <c r="Q51" s="1050"/>
      <c r="R51" s="1050"/>
    </row>
    <row r="52" spans="1:22" s="1741" customFormat="1">
      <c r="A52" s="1568"/>
      <c r="B52" s="1568"/>
      <c r="C52" s="1568"/>
      <c r="D52" s="1568"/>
      <c r="E52" s="1568"/>
      <c r="F52" s="1050"/>
      <c r="G52" s="1568"/>
      <c r="H52" s="1568"/>
      <c r="I52" s="1568"/>
      <c r="J52" s="2437"/>
      <c r="K52" s="2435"/>
      <c r="L52" s="2435"/>
      <c r="M52" s="2435"/>
      <c r="N52" s="1568"/>
      <c r="O52" s="1568"/>
      <c r="P52" s="1568"/>
      <c r="Q52" s="1568"/>
      <c r="R52" s="1568"/>
    </row>
    <row r="53" spans="1:22" s="1741" customFormat="1">
      <c r="A53" s="1568"/>
      <c r="B53" s="1568"/>
      <c r="C53" s="1568"/>
      <c r="D53" s="1568"/>
      <c r="E53" s="1568"/>
      <c r="F53" s="1050"/>
      <c r="G53" s="1568"/>
      <c r="H53" s="1568"/>
      <c r="I53" s="1568"/>
      <c r="J53" s="2437"/>
      <c r="K53" s="2435"/>
      <c r="L53" s="2435"/>
      <c r="M53" s="2435"/>
      <c r="N53" s="1568"/>
      <c r="O53" s="1568"/>
      <c r="P53" s="1568"/>
      <c r="Q53" s="1568"/>
      <c r="R53" s="1568"/>
    </row>
    <row r="54" spans="1:22" s="1741" customFormat="1">
      <c r="A54" s="1568"/>
      <c r="B54" s="1568"/>
      <c r="C54" s="1568"/>
      <c r="D54" s="1568"/>
      <c r="E54" s="1568"/>
      <c r="F54" s="1050"/>
      <c r="G54" s="1568"/>
      <c r="H54" s="1568"/>
      <c r="I54" s="1568"/>
      <c r="J54" s="2437"/>
      <c r="K54" s="2435"/>
      <c r="L54" s="2435"/>
      <c r="M54" s="2435"/>
      <c r="N54" s="1568"/>
      <c r="O54" s="1568"/>
      <c r="P54" s="1568"/>
      <c r="Q54" s="1568"/>
      <c r="R54" s="1568"/>
    </row>
    <row r="55" spans="1:22" s="1741" customFormat="1">
      <c r="A55" s="1568"/>
      <c r="B55" s="1568"/>
      <c r="C55" s="1568"/>
      <c r="D55" s="1568"/>
      <c r="E55" s="1568"/>
      <c r="F55" s="1050"/>
      <c r="G55" s="1568"/>
      <c r="H55" s="1568"/>
      <c r="I55" s="1568"/>
      <c r="J55" s="2437"/>
      <c r="K55" s="2435"/>
      <c r="L55" s="2435"/>
      <c r="M55" s="2435"/>
      <c r="N55" s="1568"/>
      <c r="O55" s="1568"/>
      <c r="P55" s="1568"/>
      <c r="Q55" s="1568"/>
      <c r="R55" s="1568"/>
    </row>
    <row r="56" spans="1:22" s="1741" customFormat="1">
      <c r="A56" s="1568"/>
      <c r="B56" s="1568"/>
      <c r="C56" s="1568"/>
      <c r="D56" s="1568"/>
      <c r="E56" s="1568"/>
      <c r="F56" s="1050"/>
      <c r="G56" s="1568"/>
      <c r="H56" s="1568"/>
      <c r="I56" s="1568"/>
      <c r="J56" s="2437"/>
      <c r="K56" s="2435"/>
      <c r="L56" s="2435"/>
      <c r="M56" s="2435"/>
      <c r="N56" s="1568"/>
      <c r="O56" s="1568"/>
      <c r="P56" s="1568"/>
      <c r="Q56" s="1568"/>
      <c r="R56" s="1568"/>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0" sqref="J20"/>
    </sheetView>
  </sheetViews>
  <sheetFormatPr defaultColWidth="8.875" defaultRowHeight="14.25"/>
  <cols>
    <col min="1" max="1" width="10.625" style="1571" customWidth="1"/>
    <col min="2" max="2" width="11" style="1571" customWidth="1"/>
    <col min="3" max="3" width="10.375" style="1571" customWidth="1"/>
    <col min="4" max="4" width="9.125" style="1571" customWidth="1"/>
    <col min="5" max="6" width="10" style="1632" customWidth="1"/>
    <col min="7" max="8" width="10" style="1571" customWidth="1"/>
    <col min="9" max="9" width="10.625" style="1571" customWidth="1"/>
    <col min="10" max="10" width="9.5" style="1571" customWidth="1"/>
    <col min="11" max="11" width="11" style="1571" customWidth="1"/>
    <col min="12" max="14" width="9.5" style="1571" customWidth="1"/>
    <col min="15" max="15" width="9.875" style="1571" customWidth="1"/>
    <col min="16" max="16" width="9.75" style="1571" customWidth="1"/>
    <col min="17" max="17" width="9.375" style="1571" customWidth="1"/>
    <col min="18" max="18" width="9.25" style="1571" customWidth="1"/>
    <col min="19" max="19" width="10.875" style="1571" customWidth="1"/>
    <col min="20" max="21" width="10.75" style="1571" customWidth="1"/>
    <col min="22" max="22" width="10.875" style="1571" customWidth="1"/>
    <col min="23" max="27" width="10.75" style="1571" customWidth="1"/>
    <col min="28" max="28" width="10.875" style="1571" customWidth="1"/>
    <col min="29" max="29" width="11" style="1571" bestFit="1" customWidth="1"/>
    <col min="30" max="30" width="10" style="1571" bestFit="1" customWidth="1"/>
    <col min="31" max="31" width="9.75" style="1571" customWidth="1"/>
    <col min="32" max="46" width="9.5" style="1571" customWidth="1"/>
    <col min="47" max="47" width="18.125" style="1571" customWidth="1"/>
    <col min="48" max="50" width="9.75" style="1571" customWidth="1"/>
    <col min="51" max="55" width="10.5" style="1571" bestFit="1" customWidth="1"/>
    <col min="56" max="56" width="9.5" style="1571" bestFit="1" customWidth="1"/>
    <col min="57" max="63" width="9.125" style="1571" bestFit="1" customWidth="1"/>
    <col min="64" max="64" width="9.5" style="1571" bestFit="1" customWidth="1"/>
    <col min="65" max="65" width="9.125" style="1571" bestFit="1" customWidth="1"/>
    <col min="66" max="66" width="9.5" style="1571" bestFit="1" customWidth="1"/>
    <col min="67" max="69" width="9.125" style="1571" bestFit="1" customWidth="1"/>
    <col min="70" max="70" width="9.5" style="1571" bestFit="1" customWidth="1"/>
    <col min="71" max="71" width="9" style="1571" customWidth="1"/>
    <col min="72" max="72" width="9.125" style="1571" bestFit="1" customWidth="1"/>
    <col min="73" max="16384" width="8.875" style="1571"/>
  </cols>
  <sheetData>
    <row r="1" spans="1:72" ht="20.25">
      <c r="A1" s="1572" t="s">
        <v>1062</v>
      </c>
      <c r="B1" s="1556"/>
      <c r="C1" s="1556"/>
      <c r="D1" s="1556"/>
      <c r="E1" s="1556"/>
      <c r="F1" s="1556"/>
      <c r="G1" s="1556"/>
      <c r="H1" s="1556"/>
      <c r="I1" s="1556"/>
      <c r="J1" s="1556"/>
      <c r="K1" s="1556"/>
      <c r="L1" s="1556"/>
      <c r="M1" s="1556"/>
      <c r="N1" s="1556"/>
      <c r="O1" s="1556"/>
      <c r="P1" s="1556"/>
      <c r="Q1" s="1556"/>
      <c r="R1" s="1556"/>
      <c r="S1" s="1556"/>
      <c r="T1" s="1556"/>
      <c r="U1" s="1556"/>
      <c r="V1" s="1556"/>
      <c r="W1" s="1556"/>
      <c r="X1" s="1556"/>
      <c r="Y1" s="1556"/>
      <c r="Z1" s="1556"/>
      <c r="AA1" s="1556"/>
      <c r="AB1" s="1556"/>
      <c r="AC1" s="1556"/>
      <c r="AD1" s="1556"/>
      <c r="AE1" s="1556"/>
      <c r="AF1" s="1556"/>
      <c r="AG1" s="1556"/>
      <c r="AH1" s="1556"/>
      <c r="AI1" s="1556"/>
      <c r="AJ1" s="1556"/>
      <c r="AK1" s="1556"/>
      <c r="AL1" s="1556"/>
      <c r="AM1" s="1556"/>
      <c r="AN1" s="1556"/>
      <c r="AO1" s="1556"/>
      <c r="AP1" s="1556"/>
      <c r="AQ1" s="1556"/>
      <c r="AR1" s="1556"/>
      <c r="AS1" s="1556"/>
      <c r="AT1" s="1556"/>
      <c r="AU1" s="1556"/>
      <c r="AV1" s="1573" t="s">
        <v>1063</v>
      </c>
      <c r="AW1" s="1556"/>
      <c r="AX1" s="1556"/>
      <c r="AY1" s="1556"/>
      <c r="AZ1" s="1556"/>
      <c r="BA1" s="1556"/>
      <c r="BB1" s="1556"/>
      <c r="BC1" s="1556"/>
      <c r="BD1" s="1556"/>
      <c r="BE1" s="1556"/>
      <c r="BF1" s="1556"/>
      <c r="BG1" s="1556"/>
      <c r="BH1" s="1556"/>
      <c r="BI1" s="1556"/>
      <c r="BJ1" s="1556"/>
      <c r="BK1" s="1556"/>
      <c r="BL1" s="1556"/>
      <c r="BM1" s="1556"/>
      <c r="BN1" s="1556"/>
      <c r="BO1" s="1556"/>
      <c r="BP1" s="1556"/>
      <c r="BQ1" s="1556"/>
      <c r="BR1" s="1556"/>
      <c r="BS1" s="1556"/>
      <c r="BT1" s="1556"/>
    </row>
    <row r="2" spans="1:72" s="1577" customFormat="1" ht="24">
      <c r="A2" s="8" t="s">
        <v>1064</v>
      </c>
      <c r="B2" s="8" t="s">
        <v>1065</v>
      </c>
      <c r="C2" s="8" t="s">
        <v>1066</v>
      </c>
      <c r="D2" s="1574"/>
      <c r="E2" s="1575"/>
      <c r="F2" s="1576"/>
      <c r="G2" s="1574"/>
      <c r="H2" s="1574"/>
      <c r="I2" s="1574"/>
      <c r="J2" s="1574"/>
      <c r="K2" s="1574"/>
      <c r="L2" s="1574"/>
      <c r="M2" s="1574"/>
      <c r="N2" s="1574"/>
      <c r="O2" s="1574"/>
      <c r="P2" s="1574"/>
      <c r="Q2" s="1574"/>
      <c r="R2" s="1574"/>
      <c r="S2" s="1574"/>
      <c r="T2" s="1574"/>
      <c r="U2" s="1574"/>
      <c r="V2" s="1574"/>
      <c r="W2" s="1574"/>
      <c r="X2" s="1574"/>
      <c r="Y2" s="1574"/>
      <c r="Z2" s="1574"/>
      <c r="AA2" s="1574"/>
      <c r="AB2" s="1574"/>
      <c r="AC2" s="1574"/>
      <c r="AD2" s="1574"/>
      <c r="AE2" s="1574"/>
      <c r="AF2" s="1574"/>
      <c r="AG2" s="1574"/>
      <c r="AH2" s="1574"/>
      <c r="AI2" s="1574"/>
      <c r="AJ2" s="1574"/>
      <c r="AK2" s="1574"/>
      <c r="AL2" s="1574"/>
      <c r="AM2" s="1574"/>
      <c r="AN2" s="1574"/>
      <c r="AO2" s="1574"/>
      <c r="AP2" s="1574"/>
      <c r="AQ2" s="1574"/>
      <c r="AR2" s="1574"/>
      <c r="AS2" s="1574"/>
      <c r="AT2" s="1574"/>
      <c r="AU2" s="1574"/>
      <c r="AV2" s="1574"/>
      <c r="AW2" s="1574"/>
      <c r="AX2" s="1574"/>
      <c r="AY2" s="1047" t="s">
        <v>1067</v>
      </c>
      <c r="AZ2" s="1048" t="s">
        <v>1068</v>
      </c>
      <c r="BA2" s="8" t="s">
        <v>1069</v>
      </c>
      <c r="BB2" s="1574"/>
      <c r="BC2" s="1574"/>
      <c r="BD2" s="1574"/>
      <c r="BE2" s="1574"/>
      <c r="BF2" s="1574"/>
      <c r="BG2" s="1574"/>
      <c r="BH2" s="1574"/>
      <c r="BI2" s="1574"/>
      <c r="BJ2" s="1574"/>
      <c r="BK2" s="1574"/>
      <c r="BL2" s="1574"/>
      <c r="BM2" s="1574"/>
      <c r="BN2" s="1574"/>
      <c r="BO2" s="1574"/>
      <c r="BP2" s="1574"/>
      <c r="BQ2" s="1574"/>
      <c r="BR2" s="1574"/>
      <c r="BS2" s="1574"/>
      <c r="BT2" s="1574"/>
    </row>
    <row r="3" spans="1:72" s="1577" customFormat="1" ht="12.75">
      <c r="A3" s="10">
        <v>10405.33</v>
      </c>
      <c r="B3" s="11">
        <f>IF(C3="否",G5-AT5,G5)</f>
        <v>20062.899999999998</v>
      </c>
      <c r="C3" s="1578" t="s">
        <v>1070</v>
      </c>
      <c r="D3" s="1574"/>
      <c r="E3" s="1574"/>
      <c r="F3" s="1574"/>
      <c r="G3" s="1574"/>
      <c r="H3" s="1574"/>
      <c r="I3" s="1574"/>
      <c r="J3" s="1574"/>
      <c r="K3" s="1574"/>
      <c r="L3" s="1574"/>
      <c r="M3" s="1574"/>
      <c r="N3" s="1574"/>
      <c r="O3" s="1574"/>
      <c r="P3" s="1574"/>
      <c r="Q3" s="1574"/>
      <c r="R3" s="1574"/>
      <c r="S3" s="1574"/>
      <c r="T3" s="1574"/>
      <c r="U3" s="1574"/>
      <c r="V3" s="1574"/>
      <c r="W3" s="1574"/>
      <c r="X3" s="1574"/>
      <c r="Y3" s="1574"/>
      <c r="Z3" s="1574"/>
      <c r="AA3" s="1574"/>
      <c r="AB3" s="1574"/>
      <c r="AC3" s="1574"/>
      <c r="AD3" s="1574"/>
      <c r="AE3" s="1574"/>
      <c r="AF3" s="1574"/>
      <c r="AG3" s="1574"/>
      <c r="AH3" s="1574"/>
      <c r="AI3" s="1574"/>
      <c r="AJ3" s="1574"/>
      <c r="AK3" s="1574"/>
      <c r="AL3" s="1574"/>
      <c r="AM3" s="1574"/>
      <c r="AN3" s="1574"/>
      <c r="AO3" s="1574"/>
      <c r="AP3" s="1574"/>
      <c r="AQ3" s="1574"/>
      <c r="AR3" s="1574"/>
      <c r="AS3" s="1574"/>
      <c r="AT3" s="1574"/>
      <c r="AU3" s="1574"/>
      <c r="AV3" s="1574"/>
      <c r="AW3" s="1574"/>
      <c r="AX3" s="1574"/>
      <c r="AY3" s="1049"/>
      <c r="AZ3" s="1050"/>
      <c r="BA3" s="1051"/>
      <c r="BB3" s="1574"/>
      <c r="BC3" s="1574"/>
      <c r="BD3" s="1574"/>
      <c r="BE3" s="1574"/>
      <c r="BF3" s="1574"/>
      <c r="BG3" s="1574"/>
      <c r="BH3" s="1574"/>
      <c r="BI3" s="1574"/>
      <c r="BJ3" s="1574"/>
      <c r="BK3" s="1574"/>
      <c r="BL3" s="1574"/>
      <c r="BM3" s="1574"/>
      <c r="BN3" s="1574"/>
      <c r="BO3" s="1574"/>
      <c r="BP3" s="1574"/>
      <c r="BQ3" s="1574"/>
      <c r="BR3" s="1574"/>
      <c r="BS3" s="1574"/>
      <c r="BT3" s="1574"/>
    </row>
    <row r="4" spans="1:72" s="1583" customFormat="1" ht="13.5" thickBot="1">
      <c r="A4" s="1579"/>
      <c r="B4" s="1580"/>
      <c r="C4" s="1581"/>
      <c r="D4" s="1574"/>
      <c r="E4" s="1574"/>
      <c r="F4" s="1574"/>
      <c r="G4" s="1574"/>
      <c r="H4" s="1574"/>
      <c r="I4" s="1574"/>
      <c r="J4" s="1574"/>
      <c r="K4" s="1574"/>
      <c r="L4" s="1574"/>
      <c r="M4" s="1574"/>
      <c r="N4" s="1574"/>
      <c r="O4" s="1574"/>
      <c r="P4" s="1574"/>
      <c r="Q4" s="1574"/>
      <c r="R4" s="1574"/>
      <c r="S4" s="1574"/>
      <c r="T4" s="1574"/>
      <c r="U4" s="1574"/>
      <c r="V4" s="1574"/>
      <c r="W4" s="1574"/>
      <c r="X4" s="1574"/>
      <c r="Y4" s="1574"/>
      <c r="Z4" s="1574"/>
      <c r="AA4" s="1574"/>
      <c r="AB4" s="1574"/>
      <c r="AC4" s="1574"/>
      <c r="AD4" s="1574"/>
      <c r="AE4" s="1574"/>
      <c r="AF4" s="1574"/>
      <c r="AG4" s="1574"/>
      <c r="AH4" s="1574"/>
      <c r="AI4" s="1574"/>
      <c r="AJ4" s="1574"/>
      <c r="AK4" s="1574"/>
      <c r="AL4" s="1574"/>
      <c r="AM4" s="1574"/>
      <c r="AN4" s="1574"/>
      <c r="AO4" s="1574"/>
      <c r="AP4" s="1574"/>
      <c r="AQ4" s="1574"/>
      <c r="AR4" s="1574"/>
      <c r="AS4" s="1574"/>
      <c r="AT4" s="1574"/>
      <c r="AU4" s="1574"/>
      <c r="AV4" s="1574"/>
      <c r="AW4" s="1574"/>
      <c r="AX4" s="1574"/>
      <c r="AY4" s="1574"/>
      <c r="AZ4" s="1574"/>
      <c r="BA4" s="1582"/>
      <c r="BB4" s="1574"/>
      <c r="BC4" s="1574"/>
      <c r="BD4" s="1574"/>
      <c r="BE4" s="1574"/>
      <c r="BF4" s="1574"/>
      <c r="BG4" s="1574"/>
      <c r="BH4" s="1574"/>
      <c r="BI4" s="1574"/>
      <c r="BJ4" s="1574"/>
      <c r="BK4" s="1574"/>
      <c r="BL4" s="1574"/>
      <c r="BM4" s="1574"/>
      <c r="BN4" s="1574"/>
      <c r="BO4" s="1574"/>
      <c r="BP4" s="1574"/>
      <c r="BQ4" s="1574"/>
      <c r="BR4" s="1574"/>
      <c r="BS4" s="1574"/>
      <c r="BT4" s="1574"/>
    </row>
    <row r="5" spans="1:72" s="1577" customFormat="1" ht="12.75">
      <c r="A5" s="12" t="s">
        <v>1071</v>
      </c>
      <c r="B5" s="1345"/>
      <c r="C5" s="1345"/>
      <c r="D5" s="1347"/>
      <c r="E5" s="13" t="s">
        <v>0</v>
      </c>
      <c r="F5" s="13">
        <f>SUM(F13:F587)</f>
        <v>0</v>
      </c>
      <c r="G5" s="13">
        <f>SUM(G13:G587)</f>
        <v>20062.899999999998</v>
      </c>
      <c r="H5" s="13">
        <f t="shared" ref="H5:AT5" si="0">SUM(H13:H656)</f>
        <v>20062.899999999998</v>
      </c>
      <c r="I5" s="13">
        <f t="shared" si="0"/>
        <v>17193.62</v>
      </c>
      <c r="J5" s="13">
        <f t="shared" si="0"/>
        <v>0</v>
      </c>
      <c r="K5" s="13">
        <f t="shared" si="0"/>
        <v>0</v>
      </c>
      <c r="L5" s="13">
        <f t="shared" si="0"/>
        <v>0</v>
      </c>
      <c r="M5" s="13">
        <f t="shared" si="0"/>
        <v>2869.28</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4"/>
      <c r="AV5" s="12" t="s">
        <v>1071</v>
      </c>
      <c r="AW5" s="1345"/>
      <c r="AX5" s="1345"/>
      <c r="AY5" s="14" t="s">
        <v>2</v>
      </c>
      <c r="AZ5" s="15">
        <f t="shared" ref="AZ5:BT5" si="1">SUM(AZ13:AZ656)</f>
        <v>20062.899999999998</v>
      </c>
      <c r="BA5" s="15">
        <f t="shared" si="1"/>
        <v>20062.899999999998</v>
      </c>
      <c r="BB5" s="15">
        <f t="shared" si="1"/>
        <v>17193.62</v>
      </c>
      <c r="BC5" s="15">
        <f t="shared" si="1"/>
        <v>0</v>
      </c>
      <c r="BD5" s="15">
        <f t="shared" si="1"/>
        <v>2869.28</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7" customFormat="1" ht="12.75">
      <c r="A6" s="12" t="s">
        <v>1072</v>
      </c>
      <c r="B6" s="1584"/>
      <c r="C6" s="1584"/>
      <c r="D6" s="1585"/>
      <c r="E6" s="13">
        <f>H6+AC6+AT6</f>
        <v>10405.33</v>
      </c>
      <c r="F6" s="13" t="s">
        <v>0</v>
      </c>
      <c r="G6" s="13" t="s">
        <v>1</v>
      </c>
      <c r="H6" s="17">
        <f>SUMIF(I$12:AB$12,"总值",I6:AB6)</f>
        <v>10405.33</v>
      </c>
      <c r="I6" s="13">
        <f t="shared" ref="I6:AB6" si="2">ROUND($A$3*I5/$B$3,2)</f>
        <v>8917.2199999999993</v>
      </c>
      <c r="J6" s="13">
        <f t="shared" si="2"/>
        <v>0</v>
      </c>
      <c r="K6" s="13">
        <f t="shared" si="2"/>
        <v>0</v>
      </c>
      <c r="L6" s="13">
        <f t="shared" si="2"/>
        <v>0</v>
      </c>
      <c r="M6" s="13">
        <f t="shared" si="2"/>
        <v>1488.11</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6"/>
      <c r="AV6" s="12" t="s">
        <v>1072</v>
      </c>
      <c r="AW6" s="1584"/>
      <c r="AX6" s="1584"/>
      <c r="AY6" s="18">
        <f>IF(AY3&gt;0,AY3,ROUND($A$3*AZ5/$B$3,2))</f>
        <v>10405.33</v>
      </c>
      <c r="AZ6" s="13" t="s">
        <v>2</v>
      </c>
      <c r="BA6" s="13">
        <f>ROUND($AY$6*BA5/$AZ$5,2)</f>
        <v>10405.33</v>
      </c>
      <c r="BB6" s="13">
        <f>ROUND($AY$6*BB5/$AZ$5,2)</f>
        <v>8917.2199999999993</v>
      </c>
      <c r="BC6" s="13">
        <f t="shared" ref="BC6:BH6" si="4">ROUND($AY$6*BC5/$AZ$5,2)</f>
        <v>0</v>
      </c>
      <c r="BD6" s="13">
        <f t="shared" si="4"/>
        <v>1488.11</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7" customFormat="1" ht="24.75">
      <c r="A7" s="1567" t="s">
        <v>1073</v>
      </c>
      <c r="B7" s="1567" t="s">
        <v>1074</v>
      </c>
      <c r="C7" s="1567" t="s">
        <v>1075</v>
      </c>
      <c r="D7" s="1567" t="s">
        <v>1076</v>
      </c>
      <c r="E7" s="1567" t="s">
        <v>1077</v>
      </c>
      <c r="F7" s="1567" t="s">
        <v>1078</v>
      </c>
      <c r="G7" s="1588" t="s">
        <v>1079</v>
      </c>
      <c r="H7" s="1589"/>
      <c r="I7" s="1589"/>
      <c r="J7" s="1589"/>
      <c r="K7" s="1589"/>
      <c r="L7" s="1589"/>
      <c r="M7" s="1589"/>
      <c r="N7" s="1589"/>
      <c r="O7" s="1589"/>
      <c r="P7" s="1589"/>
      <c r="Q7" s="1589"/>
      <c r="R7" s="1589"/>
      <c r="S7" s="1589"/>
      <c r="T7" s="1589"/>
      <c r="U7" s="1589"/>
      <c r="V7" s="1589"/>
      <c r="W7" s="1589"/>
      <c r="X7" s="1589"/>
      <c r="Y7" s="1589"/>
      <c r="Z7" s="1589"/>
      <c r="AA7" s="1589"/>
      <c r="AB7" s="1589"/>
      <c r="AC7" s="1589"/>
      <c r="AD7" s="1589"/>
      <c r="AE7" s="1589"/>
      <c r="AF7" s="1589"/>
      <c r="AG7" s="1589"/>
      <c r="AH7" s="1589"/>
      <c r="AI7" s="1589"/>
      <c r="AJ7" s="1589"/>
      <c r="AK7" s="1589"/>
      <c r="AL7" s="1589"/>
      <c r="AM7" s="1589"/>
      <c r="AN7" s="1589"/>
      <c r="AO7" s="1589"/>
      <c r="AP7" s="1589"/>
      <c r="AQ7" s="1589"/>
      <c r="AR7" s="1589"/>
      <c r="AS7" s="1589"/>
      <c r="AT7" s="1347"/>
      <c r="AU7" s="1589" t="s">
        <v>1080</v>
      </c>
      <c r="AV7" s="20" t="s">
        <v>1081</v>
      </c>
      <c r="AW7" s="1576" t="s">
        <v>1082</v>
      </c>
      <c r="AX7" s="20" t="s">
        <v>1075</v>
      </c>
      <c r="AY7" s="1345" t="s">
        <v>1083</v>
      </c>
      <c r="AZ7" s="1590"/>
      <c r="BA7" s="1589"/>
      <c r="BB7" s="1589"/>
      <c r="BC7" s="1589"/>
      <c r="BD7" s="1589"/>
      <c r="BE7" s="1589"/>
      <c r="BF7" s="1589"/>
      <c r="BG7" s="1589"/>
      <c r="BH7" s="1589"/>
      <c r="BI7" s="1589"/>
      <c r="BJ7" s="1589"/>
      <c r="BK7" s="1589"/>
      <c r="BL7" s="1589"/>
      <c r="BM7" s="1589"/>
      <c r="BN7" s="1589"/>
      <c r="BO7" s="1589"/>
      <c r="BP7" s="1589"/>
      <c r="BQ7" s="1589"/>
      <c r="BR7" s="1589"/>
      <c r="BS7" s="1589"/>
      <c r="BT7" s="1591"/>
    </row>
    <row r="8" spans="1:72" s="1599" customFormat="1" ht="24">
      <c r="A8" s="1592"/>
      <c r="B8" s="1592"/>
      <c r="C8" s="1592"/>
      <c r="D8" s="1592"/>
      <c r="E8" s="1592"/>
      <c r="F8" s="1592"/>
      <c r="G8" s="1593" t="s">
        <v>1084</v>
      </c>
      <c r="H8" s="1594" t="s">
        <v>1085</v>
      </c>
      <c r="I8" s="1595"/>
      <c r="J8" s="1358"/>
      <c r="K8" s="1358"/>
      <c r="L8" s="1358"/>
      <c r="M8" s="1358"/>
      <c r="N8" s="1358"/>
      <c r="O8" s="1358"/>
      <c r="P8" s="1358"/>
      <c r="Q8" s="1358"/>
      <c r="R8" s="1358"/>
      <c r="S8" s="1358"/>
      <c r="T8" s="1358"/>
      <c r="U8" s="1358"/>
      <c r="V8" s="1596"/>
      <c r="W8" s="1358"/>
      <c r="X8" s="1358"/>
      <c r="Y8" s="1358"/>
      <c r="Z8" s="1358"/>
      <c r="AA8" s="1596"/>
      <c r="AB8" s="1597"/>
      <c r="AC8" s="808" t="s">
        <v>1086</v>
      </c>
      <c r="AD8" s="1598"/>
      <c r="AE8" s="1590"/>
      <c r="AF8" s="1358"/>
      <c r="AG8" s="1358"/>
      <c r="AH8" s="1358"/>
      <c r="AI8" s="1358"/>
      <c r="AJ8" s="1358"/>
      <c r="AK8" s="1358"/>
      <c r="AL8" s="1358"/>
      <c r="AM8" s="1358"/>
      <c r="AN8" s="1358"/>
      <c r="AO8" s="1358"/>
      <c r="AP8" s="1358"/>
      <c r="AQ8" s="1358"/>
      <c r="AR8" s="1358"/>
      <c r="AS8" s="1358"/>
      <c r="AT8" s="1069" t="s">
        <v>1087</v>
      </c>
      <c r="AU8" s="1592" t="s">
        <v>1088</v>
      </c>
      <c r="AV8" s="1069"/>
      <c r="AW8" s="1575"/>
      <c r="AX8" s="1069"/>
      <c r="AY8" s="1576" t="s">
        <v>1089</v>
      </c>
      <c r="AZ8" s="1357" t="s">
        <v>1090</v>
      </c>
      <c r="BA8" s="1358"/>
      <c r="BB8" s="1358"/>
      <c r="BC8" s="1358"/>
      <c r="BD8" s="1358"/>
      <c r="BE8" s="1358"/>
      <c r="BF8" s="1358"/>
      <c r="BG8" s="1358"/>
      <c r="BH8" s="1358"/>
      <c r="BI8" s="1358"/>
      <c r="BJ8" s="1358"/>
      <c r="BK8" s="1358"/>
      <c r="BL8" s="1358"/>
      <c r="BM8" s="1358"/>
      <c r="BN8" s="1358"/>
      <c r="BO8" s="1358"/>
      <c r="BP8" s="1358"/>
      <c r="BQ8" s="1358"/>
      <c r="BR8" s="1358"/>
      <c r="BS8" s="1358"/>
      <c r="BT8" s="23"/>
    </row>
    <row r="9" spans="1:72" s="1599" customFormat="1" ht="12.75">
      <c r="A9" s="1592"/>
      <c r="B9" s="1592"/>
      <c r="C9" s="1592"/>
      <c r="D9" s="1592"/>
      <c r="E9" s="1592"/>
      <c r="F9" s="1592"/>
      <c r="G9" s="1069"/>
      <c r="H9" s="1600" t="s">
        <v>1091</v>
      </c>
      <c r="I9" s="1601" t="s">
        <v>3374</v>
      </c>
      <c r="J9" s="808"/>
      <c r="K9" s="1601" t="s">
        <v>3374</v>
      </c>
      <c r="L9" s="808"/>
      <c r="M9" s="1601" t="s">
        <v>3375</v>
      </c>
      <c r="N9" s="808"/>
      <c r="O9" s="1601"/>
      <c r="P9" s="808"/>
      <c r="Q9" s="1601"/>
      <c r="R9" s="808"/>
      <c r="S9" s="1601"/>
      <c r="T9" s="808"/>
      <c r="U9" s="1601"/>
      <c r="V9" s="808"/>
      <c r="W9" s="1601"/>
      <c r="X9" s="1602"/>
      <c r="Y9" s="1601"/>
      <c r="Z9" s="808"/>
      <c r="AA9" s="1601"/>
      <c r="AB9" s="808"/>
      <c r="AC9" s="1593" t="s">
        <v>1091</v>
      </c>
      <c r="AD9" s="12" t="s">
        <v>1092</v>
      </c>
      <c r="AE9" s="1075"/>
      <c r="AF9" s="12" t="s">
        <v>1093</v>
      </c>
      <c r="AG9" s="1075"/>
      <c r="AH9" s="12" t="s">
        <v>1092</v>
      </c>
      <c r="AI9" s="1075"/>
      <c r="AJ9" s="12" t="s">
        <v>1093</v>
      </c>
      <c r="AK9" s="1075"/>
      <c r="AL9" s="12" t="s">
        <v>1092</v>
      </c>
      <c r="AM9" s="1075"/>
      <c r="AN9" s="12" t="s">
        <v>1093</v>
      </c>
      <c r="AO9" s="1075"/>
      <c r="AP9" s="12" t="s">
        <v>1092</v>
      </c>
      <c r="AQ9" s="1075"/>
      <c r="AR9" s="12" t="s">
        <v>1093</v>
      </c>
      <c r="AS9" s="1603"/>
      <c r="AT9" s="1592"/>
      <c r="AU9" s="1592" t="s">
        <v>1094</v>
      </c>
      <c r="AV9" s="1069"/>
      <c r="AW9" s="1575"/>
      <c r="AX9" s="1069"/>
      <c r="AY9" s="25"/>
      <c r="AZ9" s="25" t="s">
        <v>1084</v>
      </c>
      <c r="BA9" s="1604" t="s">
        <v>1095</v>
      </c>
      <c r="BB9" s="1605"/>
      <c r="BC9" s="1087"/>
      <c r="BD9" s="1087"/>
      <c r="BE9" s="1087"/>
      <c r="BF9" s="1087"/>
      <c r="BG9" s="1087"/>
      <c r="BH9" s="1087"/>
      <c r="BI9" s="1087"/>
      <c r="BJ9" s="1087"/>
      <c r="BK9" s="1606"/>
      <c r="BL9" s="12" t="s">
        <v>1096</v>
      </c>
      <c r="BM9" s="1358"/>
      <c r="BN9" s="1595"/>
      <c r="BO9" s="1358"/>
      <c r="BP9" s="1358"/>
      <c r="BQ9" s="1358"/>
      <c r="BR9" s="1358"/>
      <c r="BS9" s="1358"/>
      <c r="BT9" s="23"/>
    </row>
    <row r="10" spans="1:72" s="1599" customFormat="1" ht="12.75">
      <c r="A10" s="1592"/>
      <c r="B10" s="1592"/>
      <c r="C10" s="1592"/>
      <c r="D10" s="1592"/>
      <c r="E10" s="1592"/>
      <c r="F10" s="1592"/>
      <c r="G10" s="1069"/>
      <c r="H10" s="25"/>
      <c r="I10" s="1601" t="s">
        <v>673</v>
      </c>
      <c r="J10" s="808"/>
      <c r="K10" s="1607" t="s">
        <v>673</v>
      </c>
      <c r="L10" s="808"/>
      <c r="M10" s="1607" t="s">
        <v>3376</v>
      </c>
      <c r="N10" s="808"/>
      <c r="O10" s="1607"/>
      <c r="P10" s="808"/>
      <c r="Q10" s="1607"/>
      <c r="R10" s="808"/>
      <c r="S10" s="1607"/>
      <c r="T10" s="808"/>
      <c r="U10" s="1607"/>
      <c r="V10" s="808"/>
      <c r="W10" s="1607"/>
      <c r="X10" s="808"/>
      <c r="Y10" s="1607"/>
      <c r="Z10" s="808"/>
      <c r="AA10" s="1607"/>
      <c r="AB10" s="808"/>
      <c r="AC10" s="1069"/>
      <c r="AD10" s="12" t="s">
        <v>1097</v>
      </c>
      <c r="AE10" s="1608"/>
      <c r="AF10" s="12" t="s">
        <v>1097</v>
      </c>
      <c r="AG10" s="1608"/>
      <c r="AH10" s="12" t="s">
        <v>1098</v>
      </c>
      <c r="AI10" s="1608"/>
      <c r="AJ10" s="12" t="s">
        <v>1098</v>
      </c>
      <c r="AK10" s="1608"/>
      <c r="AL10" s="12" t="s">
        <v>1099</v>
      </c>
      <c r="AM10" s="1075"/>
      <c r="AN10" s="12" t="s">
        <v>1099</v>
      </c>
      <c r="AO10" s="1075"/>
      <c r="AP10" s="12" t="s">
        <v>1100</v>
      </c>
      <c r="AQ10" s="1075"/>
      <c r="AR10" s="12" t="s">
        <v>1100</v>
      </c>
      <c r="AS10" s="1075"/>
      <c r="AT10" s="1592"/>
      <c r="AU10" s="1592"/>
      <c r="AV10" s="1069"/>
      <c r="AW10" s="1575"/>
      <c r="AX10" s="1069"/>
      <c r="AY10" s="25"/>
      <c r="AZ10" s="25"/>
      <c r="BA10" s="1609" t="s">
        <v>1091</v>
      </c>
      <c r="BB10" s="1610" t="str">
        <f>I9</f>
        <v>地上</v>
      </c>
      <c r="BC10" s="26" t="str">
        <f>K9</f>
        <v>地上</v>
      </c>
      <c r="BD10" s="26" t="str">
        <f>M9</f>
        <v>地下</v>
      </c>
      <c r="BE10" s="26">
        <f>O9</f>
        <v>0</v>
      </c>
      <c r="BF10" s="26">
        <f>Q9</f>
        <v>0</v>
      </c>
      <c r="BG10" s="26">
        <f>S9</f>
        <v>0</v>
      </c>
      <c r="BH10" s="26">
        <f>U9</f>
        <v>0</v>
      </c>
      <c r="BI10" s="26">
        <f>W9</f>
        <v>0</v>
      </c>
      <c r="BJ10" s="26">
        <f>Y9</f>
        <v>0</v>
      </c>
      <c r="BK10" s="26">
        <f>AA9</f>
        <v>0</v>
      </c>
      <c r="BL10" s="22" t="s">
        <v>1091</v>
      </c>
      <c r="BM10" s="1357" t="str">
        <f>AD9</f>
        <v>地上</v>
      </c>
      <c r="BN10" s="26" t="str">
        <f>AF9</f>
        <v>地下</v>
      </c>
      <c r="BO10" s="1357" t="str">
        <f>AH9</f>
        <v>地上</v>
      </c>
      <c r="BP10" s="26" t="str">
        <f>AJ9</f>
        <v>地下</v>
      </c>
      <c r="BQ10" s="1357" t="str">
        <f>AL9</f>
        <v>地上</v>
      </c>
      <c r="BR10" s="26" t="str">
        <f>AN9</f>
        <v>地下</v>
      </c>
      <c r="BS10" s="1357" t="str">
        <f>AP9</f>
        <v>地上</v>
      </c>
      <c r="BT10" s="1611" t="str">
        <f>AR9</f>
        <v>地下</v>
      </c>
    </row>
    <row r="11" spans="1:72" s="1599" customFormat="1" ht="12.75">
      <c r="A11" s="1592"/>
      <c r="B11" s="1592"/>
      <c r="C11" s="1592"/>
      <c r="D11" s="1592"/>
      <c r="E11" s="1592"/>
      <c r="F11" s="1592"/>
      <c r="G11" s="1069"/>
      <c r="H11" s="1609"/>
      <c r="I11" s="1612"/>
      <c r="J11" s="1613"/>
      <c r="K11" s="1612"/>
      <c r="L11" s="1613"/>
      <c r="M11" s="1612"/>
      <c r="N11" s="1613"/>
      <c r="O11" s="1612"/>
      <c r="P11" s="1613"/>
      <c r="Q11" s="1612"/>
      <c r="R11" s="1613"/>
      <c r="S11" s="1612"/>
      <c r="T11" s="1613"/>
      <c r="U11" s="1612"/>
      <c r="V11" s="1613"/>
      <c r="W11" s="1612"/>
      <c r="X11" s="1613"/>
      <c r="Y11" s="1612"/>
      <c r="Z11" s="1613"/>
      <c r="AA11" s="1612"/>
      <c r="AB11" s="1613"/>
      <c r="AC11" s="1069"/>
      <c r="AD11" s="1614" t="s">
        <v>1101</v>
      </c>
      <c r="AE11" s="1359"/>
      <c r="AF11" s="1614" t="s">
        <v>1101</v>
      </c>
      <c r="AG11" s="1359"/>
      <c r="AH11" s="1614" t="s">
        <v>1102</v>
      </c>
      <c r="AI11" s="1615"/>
      <c r="AJ11" s="1614" t="s">
        <v>1102</v>
      </c>
      <c r="AK11" s="1359"/>
      <c r="AL11" s="1357"/>
      <c r="AM11" s="1359"/>
      <c r="AN11" s="1357"/>
      <c r="AO11" s="1359"/>
      <c r="AP11" s="1357"/>
      <c r="AQ11" s="1359"/>
      <c r="AR11" s="1357"/>
      <c r="AS11" s="1359"/>
      <c r="AT11" s="1575"/>
      <c r="AU11" s="1592"/>
      <c r="AV11" s="1069"/>
      <c r="AW11" s="1575"/>
      <c r="AX11" s="1069"/>
      <c r="AY11" s="25"/>
      <c r="AZ11" s="25"/>
      <c r="BA11" s="25"/>
      <c r="BB11" s="1597" t="str">
        <f>I10</f>
        <v>商业</v>
      </c>
      <c r="BC11" s="1597" t="str">
        <f>K10</f>
        <v>商业</v>
      </c>
      <c r="BD11" s="1597" t="str">
        <f>M10</f>
        <v>车库—商业</v>
      </c>
      <c r="BE11" s="1597">
        <f>O10</f>
        <v>0</v>
      </c>
      <c r="BF11" s="1597">
        <f>Q10</f>
        <v>0</v>
      </c>
      <c r="BG11" s="1597">
        <f>S10</f>
        <v>0</v>
      </c>
      <c r="BH11" s="1597">
        <f>U10</f>
        <v>0</v>
      </c>
      <c r="BI11" s="1597">
        <f>W10</f>
        <v>0</v>
      </c>
      <c r="BJ11" s="1597">
        <f>Y10</f>
        <v>0</v>
      </c>
      <c r="BK11" s="1597">
        <f>AA10</f>
        <v>0</v>
      </c>
      <c r="BL11" s="1069"/>
      <c r="BM11" s="1357" t="str">
        <f>AD10</f>
        <v>公共配套设施</v>
      </c>
      <c r="BN11" s="1357" t="str">
        <f>AF10</f>
        <v>公共配套设施</v>
      </c>
      <c r="BO11" s="21" t="str">
        <f>AH10</f>
        <v>物业管理用房</v>
      </c>
      <c r="BP11" s="21" t="str">
        <f>AJ10</f>
        <v>物业管理用房</v>
      </c>
      <c r="BQ11" s="21" t="str">
        <f>AL10</f>
        <v>设备及其他</v>
      </c>
      <c r="BR11" s="21" t="str">
        <f>AN10</f>
        <v>设备及其他</v>
      </c>
      <c r="BS11" s="22" t="str">
        <f>AP10</f>
        <v>未注明</v>
      </c>
      <c r="BT11" s="1616" t="str">
        <f>AR10</f>
        <v>未注明</v>
      </c>
    </row>
    <row r="12" spans="1:72" s="1577" customFormat="1" ht="12.75">
      <c r="A12" s="1617"/>
      <c r="B12" s="1617"/>
      <c r="C12" s="1617"/>
      <c r="D12" s="1617"/>
      <c r="E12" s="1617"/>
      <c r="F12" s="1617"/>
      <c r="G12" s="27"/>
      <c r="H12" s="1618"/>
      <c r="I12" s="1347"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4" t="s">
        <v>1104</v>
      </c>
      <c r="W12" s="8" t="s">
        <v>1103</v>
      </c>
      <c r="X12" s="8" t="s">
        <v>1104</v>
      </c>
      <c r="Y12" s="8" t="s">
        <v>1103</v>
      </c>
      <c r="Z12" s="8" t="s">
        <v>1104</v>
      </c>
      <c r="AA12" s="8" t="s">
        <v>1103</v>
      </c>
      <c r="AB12" s="8" t="s">
        <v>1104</v>
      </c>
      <c r="AC12" s="1619"/>
      <c r="AD12" s="1347"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7" t="s">
        <v>1104</v>
      </c>
      <c r="AT12" s="1620"/>
      <c r="AU12" s="1617"/>
      <c r="AV12" s="28"/>
      <c r="AW12" s="1576"/>
      <c r="AX12" s="28"/>
      <c r="AY12" s="1621"/>
      <c r="AZ12" s="25"/>
      <c r="BA12" s="1609"/>
      <c r="BB12" s="21">
        <f>I11</f>
        <v>0</v>
      </c>
      <c r="BC12" s="1622">
        <f>K11</f>
        <v>0</v>
      </c>
      <c r="BD12" s="1622">
        <f>M11</f>
        <v>0</v>
      </c>
      <c r="BE12" s="1597">
        <f>O11</f>
        <v>0</v>
      </c>
      <c r="BF12" s="1597">
        <f>Q11</f>
        <v>0</v>
      </c>
      <c r="BG12" s="1597">
        <f>S11</f>
        <v>0</v>
      </c>
      <c r="BH12" s="1597">
        <f>U11</f>
        <v>0</v>
      </c>
      <c r="BI12" s="1597">
        <f>W11</f>
        <v>0</v>
      </c>
      <c r="BJ12" s="1597">
        <f>Y11</f>
        <v>0</v>
      </c>
      <c r="BK12" s="1597">
        <f>AA11</f>
        <v>0</v>
      </c>
      <c r="BL12" s="1069"/>
      <c r="BM12" s="1357" t="str">
        <f>AD11</f>
        <v>（住宅）</v>
      </c>
      <c r="BN12" s="1357" t="str">
        <f>AF11</f>
        <v>（住宅）</v>
      </c>
      <c r="BO12" s="21" t="str">
        <f>AH11</f>
        <v>（住宅、计出让金）</v>
      </c>
      <c r="BP12" s="21" t="str">
        <f>AJ11</f>
        <v>（住宅、计出让金）</v>
      </c>
      <c r="BQ12" s="21">
        <f>AL11</f>
        <v>0</v>
      </c>
      <c r="BR12" s="21">
        <f>AN11</f>
        <v>0</v>
      </c>
      <c r="BS12" s="22">
        <f>AP11</f>
        <v>0</v>
      </c>
      <c r="BT12" s="1616">
        <f>AR11</f>
        <v>0</v>
      </c>
    </row>
    <row r="13" spans="1:72" s="1577" customFormat="1" ht="12.75">
      <c r="A13" s="1050"/>
      <c r="B13" s="1050"/>
      <c r="C13" s="1050"/>
      <c r="D13" s="1623" t="s">
        <v>3377</v>
      </c>
      <c r="E13" s="13">
        <f>IF($C$3="是",ROUND($A$3*G13/$B$3,2),ROUND($A$3*(G13-AT13)/$B$3,2))</f>
        <v>10405.33</v>
      </c>
      <c r="F13" s="29"/>
      <c r="G13" s="30">
        <f>H13+AC13+AT13</f>
        <v>20062.899999999998</v>
      </c>
      <c r="H13" s="17">
        <f>SUMIF(I$12:AB$12,"总值",I13:AB13)</f>
        <v>20062.899999999998</v>
      </c>
      <c r="I13" s="1624">
        <f>6456.64+5099.48+5637.5</f>
        <v>17193.62</v>
      </c>
      <c r="J13" s="1624"/>
      <c r="K13" s="1624"/>
      <c r="L13" s="1624"/>
      <c r="M13" s="1624">
        <v>2869.28</v>
      </c>
      <c r="N13" s="1624"/>
      <c r="O13" s="1624"/>
      <c r="P13" s="1624"/>
      <c r="Q13" s="1624"/>
      <c r="R13" s="1624"/>
      <c r="S13" s="1624"/>
      <c r="T13" s="1624"/>
      <c r="U13" s="1624"/>
      <c r="V13" s="1624"/>
      <c r="W13" s="1624"/>
      <c r="X13" s="1624"/>
      <c r="Y13" s="1624"/>
      <c r="Z13" s="1624"/>
      <c r="AA13" s="1624"/>
      <c r="AB13" s="1624"/>
      <c r="AC13" s="13">
        <f>SUMIF(AD$12:AS$12,"总值",AD13:AS13)</f>
        <v>0</v>
      </c>
      <c r="AD13" s="1625"/>
      <c r="AE13" s="1625"/>
      <c r="AF13" s="1625"/>
      <c r="AG13" s="1625"/>
      <c r="AH13" s="1625"/>
      <c r="AI13" s="1625"/>
      <c r="AJ13" s="1625"/>
      <c r="AK13" s="1625"/>
      <c r="AL13" s="1625"/>
      <c r="AM13" s="1625"/>
      <c r="AN13" s="1625"/>
      <c r="AO13" s="1625"/>
      <c r="AP13" s="1625"/>
      <c r="AQ13" s="1625"/>
      <c r="AR13" s="1625"/>
      <c r="AS13" s="1625"/>
      <c r="AT13" s="1626"/>
      <c r="AU13" s="1627"/>
      <c r="AV13" s="8">
        <f t="shared" ref="AV13:AX17" si="6">A13</f>
        <v>0</v>
      </c>
      <c r="AW13" s="8">
        <f t="shared" si="6"/>
        <v>0</v>
      </c>
      <c r="AX13" s="8">
        <f t="shared" si="6"/>
        <v>0</v>
      </c>
      <c r="AY13" s="1347">
        <f>ROUND($AY$6*AZ13/$AZ$5,2)</f>
        <v>10405.33</v>
      </c>
      <c r="AZ13" s="13">
        <f>BA13+BL13</f>
        <v>20062.899999999998</v>
      </c>
      <c r="BA13" s="13">
        <f>SUM(BB13:BK13)</f>
        <v>20062.899999999998</v>
      </c>
      <c r="BB13" s="13">
        <f>IF($D13="是",I13-J13,0)</f>
        <v>17193.62</v>
      </c>
      <c r="BC13" s="13">
        <f>IF($D13="是",K13-L13,0)</f>
        <v>0</v>
      </c>
      <c r="BD13" s="13">
        <f>IF($D13="是",M13-N13,0)</f>
        <v>2869.28</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7" customFormat="1" ht="12.75">
      <c r="A14" s="1050"/>
      <c r="B14" s="1050"/>
      <c r="C14" s="1568"/>
      <c r="D14" s="1623"/>
      <c r="E14" s="13">
        <f>IF($C$3="是",ROUND($A$3*G14/$B$3,2),ROUND($A$3*(G14-AT14)/$B$3,2))</f>
        <v>0</v>
      </c>
      <c r="F14" s="29"/>
      <c r="G14" s="30">
        <f>H14+AC14+AT14</f>
        <v>0</v>
      </c>
      <c r="H14" s="17">
        <f>SUMIF(I$12:AB$12,"总值",I14:AB14)</f>
        <v>0</v>
      </c>
      <c r="I14" s="1624"/>
      <c r="J14" s="1624"/>
      <c r="K14" s="1624"/>
      <c r="L14" s="1624"/>
      <c r="M14" s="1624"/>
      <c r="N14" s="1624"/>
      <c r="O14" s="1624"/>
      <c r="P14" s="1624"/>
      <c r="Q14" s="1624"/>
      <c r="R14" s="1624"/>
      <c r="S14" s="1624"/>
      <c r="T14" s="1624"/>
      <c r="U14" s="1624"/>
      <c r="V14" s="1624"/>
      <c r="W14" s="1624"/>
      <c r="X14" s="1624"/>
      <c r="Y14" s="1624"/>
      <c r="Z14" s="1624"/>
      <c r="AA14" s="1624"/>
      <c r="AB14" s="1624"/>
      <c r="AC14" s="13">
        <f>SUMIF(AD$12:AS$12,"总值",AD14:AS14)</f>
        <v>0</v>
      </c>
      <c r="AD14" s="1625"/>
      <c r="AE14" s="1625"/>
      <c r="AF14" s="1625"/>
      <c r="AG14" s="1625"/>
      <c r="AH14" s="1625"/>
      <c r="AI14" s="1625"/>
      <c r="AJ14" s="1625"/>
      <c r="AK14" s="1625"/>
      <c r="AL14" s="1625"/>
      <c r="AM14" s="1625"/>
      <c r="AN14" s="1625"/>
      <c r="AO14" s="1625"/>
      <c r="AP14" s="1625"/>
      <c r="AQ14" s="1625"/>
      <c r="AR14" s="1625"/>
      <c r="AS14" s="1625"/>
      <c r="AT14" s="1626"/>
      <c r="AU14" s="1627"/>
      <c r="AV14" s="8">
        <f t="shared" si="6"/>
        <v>0</v>
      </c>
      <c r="AW14" s="8">
        <f t="shared" si="6"/>
        <v>0</v>
      </c>
      <c r="AX14" s="8">
        <f t="shared" si="6"/>
        <v>0</v>
      </c>
      <c r="AY14" s="1347">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7" customFormat="1" ht="12.75">
      <c r="A15" s="1050"/>
      <c r="B15" s="1050"/>
      <c r="C15" s="1568"/>
      <c r="D15" s="1623"/>
      <c r="E15" s="13">
        <f>IF($C$3="是",ROUND($A$3*G15/$B$3,2),ROUND($A$3*(G15-AT15)/$B$3,2))</f>
        <v>0</v>
      </c>
      <c r="F15" s="29"/>
      <c r="G15" s="30">
        <f>H15+AC15+AT15</f>
        <v>0</v>
      </c>
      <c r="H15" s="17">
        <f>SUMIF(I$12:AB$12,"总值",I15:AB15)</f>
        <v>0</v>
      </c>
      <c r="I15" s="1624"/>
      <c r="J15" s="1624"/>
      <c r="K15" s="1624"/>
      <c r="L15" s="1624"/>
      <c r="M15" s="1624"/>
      <c r="N15" s="1624"/>
      <c r="O15" s="1624"/>
      <c r="P15" s="1624"/>
      <c r="Q15" s="1624"/>
      <c r="R15" s="1624"/>
      <c r="S15" s="1624"/>
      <c r="T15" s="1624"/>
      <c r="U15" s="1624"/>
      <c r="V15" s="1624"/>
      <c r="W15" s="1624"/>
      <c r="X15" s="1624"/>
      <c r="Y15" s="1624"/>
      <c r="Z15" s="1624"/>
      <c r="AA15" s="1624"/>
      <c r="AB15" s="1624"/>
      <c r="AC15" s="13">
        <f>SUMIF(AD$12:AS$12,"总值",AD15:AS15)</f>
        <v>0</v>
      </c>
      <c r="AD15" s="1625"/>
      <c r="AE15" s="1625"/>
      <c r="AF15" s="1625"/>
      <c r="AG15" s="1625"/>
      <c r="AH15" s="1625"/>
      <c r="AI15" s="1625"/>
      <c r="AJ15" s="1625"/>
      <c r="AK15" s="1625"/>
      <c r="AL15" s="1625"/>
      <c r="AM15" s="1625"/>
      <c r="AN15" s="1625"/>
      <c r="AO15" s="1625"/>
      <c r="AP15" s="1625"/>
      <c r="AQ15" s="1625"/>
      <c r="AR15" s="1625"/>
      <c r="AS15" s="1625"/>
      <c r="AT15" s="1626"/>
      <c r="AU15" s="1627"/>
      <c r="AV15" s="8">
        <f t="shared" si="6"/>
        <v>0</v>
      </c>
      <c r="AW15" s="8">
        <f t="shared" si="6"/>
        <v>0</v>
      </c>
      <c r="AX15" s="8">
        <f t="shared" si="6"/>
        <v>0</v>
      </c>
      <c r="AY15" s="1347">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7" customFormat="1" ht="12.75">
      <c r="A16" s="1050"/>
      <c r="B16" s="1050"/>
      <c r="C16" s="1568"/>
      <c r="D16" s="1623"/>
      <c r="E16" s="13">
        <f>IF($C$3="是",ROUND($A$3*G16/$B$3,2),ROUND($A$3*(G16-AT16)/$B$3,2))</f>
        <v>0</v>
      </c>
      <c r="F16" s="29"/>
      <c r="G16" s="30">
        <f>H16+AC16+AT16</f>
        <v>0</v>
      </c>
      <c r="H16" s="17">
        <f>SUMIF(I$12:AB$12,"总值",I16:AB16)</f>
        <v>0</v>
      </c>
      <c r="I16" s="1624"/>
      <c r="J16" s="1624"/>
      <c r="K16" s="1624"/>
      <c r="L16" s="1624"/>
      <c r="M16" s="1624"/>
      <c r="N16" s="1624"/>
      <c r="O16" s="1624"/>
      <c r="P16" s="1624"/>
      <c r="Q16" s="1624"/>
      <c r="R16" s="1624"/>
      <c r="S16" s="1624"/>
      <c r="T16" s="1624"/>
      <c r="U16" s="1624"/>
      <c r="V16" s="1624"/>
      <c r="W16" s="1624"/>
      <c r="X16" s="1624"/>
      <c r="Y16" s="1624"/>
      <c r="Z16" s="1624"/>
      <c r="AA16" s="1624"/>
      <c r="AB16" s="1624"/>
      <c r="AC16" s="13">
        <f>SUMIF(AD$12:AS$12,"总值",AD16:AS16)</f>
        <v>0</v>
      </c>
      <c r="AD16" s="1625"/>
      <c r="AE16" s="1625"/>
      <c r="AF16" s="1625"/>
      <c r="AG16" s="1625"/>
      <c r="AH16" s="1625"/>
      <c r="AI16" s="1625"/>
      <c r="AJ16" s="1625"/>
      <c r="AK16" s="1625"/>
      <c r="AL16" s="1625"/>
      <c r="AM16" s="1625"/>
      <c r="AN16" s="1625"/>
      <c r="AO16" s="1625"/>
      <c r="AP16" s="1625"/>
      <c r="AQ16" s="1625"/>
      <c r="AR16" s="1625"/>
      <c r="AS16" s="1625"/>
      <c r="AT16" s="1626"/>
      <c r="AU16" s="1627"/>
      <c r="AV16" s="8">
        <f t="shared" si="6"/>
        <v>0</v>
      </c>
      <c r="AW16" s="8">
        <f t="shared" si="6"/>
        <v>0</v>
      </c>
      <c r="AX16" s="8">
        <f t="shared" si="6"/>
        <v>0</v>
      </c>
      <c r="AY16" s="1347">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7" customFormat="1" ht="12.75">
      <c r="A17" s="1050"/>
      <c r="B17" s="1050"/>
      <c r="C17" s="1568"/>
      <c r="D17" s="1623"/>
      <c r="E17" s="13">
        <f>IF($C$3="是",ROUND($A$3*G17/$B$3,2),ROUND($A$3*(G17-AT17)/$B$3,2))</f>
        <v>0</v>
      </c>
      <c r="F17" s="29"/>
      <c r="G17" s="30">
        <f>H17+AC17+AT17</f>
        <v>0</v>
      </c>
      <c r="H17" s="17">
        <f>SUMIF(I$12:AB$12,"总值",I17:AB17)</f>
        <v>0</v>
      </c>
      <c r="I17" s="1624"/>
      <c r="J17" s="1624"/>
      <c r="K17" s="1624"/>
      <c r="L17" s="1624"/>
      <c r="M17" s="1624"/>
      <c r="N17" s="1624"/>
      <c r="O17" s="1624"/>
      <c r="P17" s="1624"/>
      <c r="Q17" s="1624"/>
      <c r="R17" s="1624"/>
      <c r="S17" s="1624"/>
      <c r="T17" s="1624"/>
      <c r="U17" s="1624"/>
      <c r="V17" s="1624"/>
      <c r="W17" s="1624"/>
      <c r="X17" s="1624"/>
      <c r="Y17" s="1624"/>
      <c r="Z17" s="1624"/>
      <c r="AA17" s="1624"/>
      <c r="AB17" s="1624"/>
      <c r="AC17" s="13">
        <f>SUMIF(AD$12:AS$12,"总值",AD17:AS17)</f>
        <v>0</v>
      </c>
      <c r="AD17" s="1625"/>
      <c r="AE17" s="1625"/>
      <c r="AF17" s="1625"/>
      <c r="AG17" s="1625"/>
      <c r="AH17" s="1625"/>
      <c r="AI17" s="1625"/>
      <c r="AJ17" s="1625"/>
      <c r="AK17" s="1625"/>
      <c r="AL17" s="1625"/>
      <c r="AM17" s="1625"/>
      <c r="AN17" s="1625"/>
      <c r="AO17" s="1625"/>
      <c r="AP17" s="1625"/>
      <c r="AQ17" s="1625"/>
      <c r="AR17" s="1625"/>
      <c r="AS17" s="1625"/>
      <c r="AT17" s="1626"/>
      <c r="AU17" s="1627"/>
      <c r="AV17" s="8">
        <f t="shared" si="6"/>
        <v>0</v>
      </c>
      <c r="AW17" s="8">
        <f t="shared" si="6"/>
        <v>0</v>
      </c>
      <c r="AX17" s="8">
        <f t="shared" si="6"/>
        <v>0</v>
      </c>
      <c r="AY17" s="1347">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9"/>
      <c r="AV18" s="1341">
        <f t="shared" ref="AV18:AV112" si="11">A18</f>
        <v>0</v>
      </c>
      <c r="AW18" s="1341">
        <f t="shared" ref="AW18:AW112" si="12">B18</f>
        <v>0</v>
      </c>
      <c r="AX18" s="1341">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9"/>
      <c r="AV19" s="1341">
        <f t="shared" si="11"/>
        <v>0</v>
      </c>
      <c r="AW19" s="1341">
        <f t="shared" si="12"/>
        <v>0</v>
      </c>
      <c r="AX19" s="1341">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9"/>
      <c r="AV20" s="1341">
        <f t="shared" si="11"/>
        <v>0</v>
      </c>
      <c r="AW20" s="1341">
        <f t="shared" si="12"/>
        <v>0</v>
      </c>
      <c r="AX20" s="1341">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9"/>
      <c r="AV21" s="1341">
        <f t="shared" si="11"/>
        <v>0</v>
      </c>
      <c r="AW21" s="1341">
        <f t="shared" si="12"/>
        <v>0</v>
      </c>
      <c r="AX21" s="1341">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9"/>
      <c r="AV22" s="1341">
        <f t="shared" si="11"/>
        <v>0</v>
      </c>
      <c r="AW22" s="1341">
        <f t="shared" si="12"/>
        <v>0</v>
      </c>
      <c r="AX22" s="1341">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9"/>
      <c r="AV23" s="1341">
        <f t="shared" si="11"/>
        <v>0</v>
      </c>
      <c r="AW23" s="1341">
        <f t="shared" si="12"/>
        <v>0</v>
      </c>
      <c r="AX23" s="1341">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9"/>
      <c r="AV24" s="1341">
        <f t="shared" si="11"/>
        <v>0</v>
      </c>
      <c r="AW24" s="1341">
        <f t="shared" si="12"/>
        <v>0</v>
      </c>
      <c r="AX24" s="1341">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9"/>
      <c r="AV25" s="1341">
        <f t="shared" si="11"/>
        <v>0</v>
      </c>
      <c r="AW25" s="1341">
        <f t="shared" si="12"/>
        <v>0</v>
      </c>
      <c r="AX25" s="1341">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9"/>
      <c r="AV26" s="1341">
        <f t="shared" si="11"/>
        <v>0</v>
      </c>
      <c r="AW26" s="1341">
        <f t="shared" si="12"/>
        <v>0</v>
      </c>
      <c r="AX26" s="1341">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9"/>
      <c r="AV27" s="1341">
        <f t="shared" si="11"/>
        <v>0</v>
      </c>
      <c r="AW27" s="1341">
        <f t="shared" si="12"/>
        <v>0</v>
      </c>
      <c r="AX27" s="1341">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9"/>
      <c r="AV28" s="1341">
        <f t="shared" si="11"/>
        <v>0</v>
      </c>
      <c r="AW28" s="1341">
        <f t="shared" si="12"/>
        <v>0</v>
      </c>
      <c r="AX28" s="1341">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9"/>
      <c r="AV29" s="1341">
        <f t="shared" si="11"/>
        <v>0</v>
      </c>
      <c r="AW29" s="1341">
        <f t="shared" si="12"/>
        <v>0</v>
      </c>
      <c r="AX29" s="1341">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9"/>
      <c r="AV30" s="1341">
        <f t="shared" si="11"/>
        <v>0</v>
      </c>
      <c r="AW30" s="1341">
        <f t="shared" si="12"/>
        <v>0</v>
      </c>
      <c r="AX30" s="1341">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9"/>
      <c r="AV31" s="1341">
        <f t="shared" si="11"/>
        <v>0</v>
      </c>
      <c r="AW31" s="1341">
        <f t="shared" si="12"/>
        <v>0</v>
      </c>
      <c r="AX31" s="1341">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9"/>
      <c r="AV32" s="1341">
        <f t="shared" si="11"/>
        <v>0</v>
      </c>
      <c r="AW32" s="1341">
        <f t="shared" si="12"/>
        <v>0</v>
      </c>
      <c r="AX32" s="1341">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9"/>
      <c r="AV33" s="1341">
        <f t="shared" si="11"/>
        <v>0</v>
      </c>
      <c r="AW33" s="1341">
        <f t="shared" si="12"/>
        <v>0</v>
      </c>
      <c r="AX33" s="1341">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9"/>
      <c r="AV34" s="1341">
        <f t="shared" si="11"/>
        <v>0</v>
      </c>
      <c r="AW34" s="1341">
        <f t="shared" si="12"/>
        <v>0</v>
      </c>
      <c r="AX34" s="1341">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9"/>
      <c r="AV35" s="1341">
        <f t="shared" si="11"/>
        <v>0</v>
      </c>
      <c r="AW35" s="1341">
        <f t="shared" si="12"/>
        <v>0</v>
      </c>
      <c r="AX35" s="1341">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9"/>
      <c r="AV36" s="1341">
        <f t="shared" si="11"/>
        <v>0</v>
      </c>
      <c r="AW36" s="1341">
        <f t="shared" si="12"/>
        <v>0</v>
      </c>
      <c r="AX36" s="1341">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9"/>
      <c r="AV37" s="1341">
        <f t="shared" si="11"/>
        <v>0</v>
      </c>
      <c r="AW37" s="1341">
        <f t="shared" si="12"/>
        <v>0</v>
      </c>
      <c r="AX37" s="1341">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9"/>
      <c r="AV38" s="1341">
        <f t="shared" si="11"/>
        <v>0</v>
      </c>
      <c r="AW38" s="1341">
        <f t="shared" si="12"/>
        <v>0</v>
      </c>
      <c r="AX38" s="1341">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9"/>
      <c r="AV39" s="1341">
        <f t="shared" si="11"/>
        <v>0</v>
      </c>
      <c r="AW39" s="1341">
        <f t="shared" si="12"/>
        <v>0</v>
      </c>
      <c r="AX39" s="1341">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9"/>
      <c r="AV40" s="1341">
        <f t="shared" si="11"/>
        <v>0</v>
      </c>
      <c r="AW40" s="1341">
        <f t="shared" si="12"/>
        <v>0</v>
      </c>
      <c r="AX40" s="1341">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9"/>
      <c r="AV41" s="1341">
        <f t="shared" si="11"/>
        <v>0</v>
      </c>
      <c r="AW41" s="1341">
        <f t="shared" si="12"/>
        <v>0</v>
      </c>
      <c r="AX41" s="1341">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9"/>
      <c r="AV42" s="1341">
        <f t="shared" si="11"/>
        <v>0</v>
      </c>
      <c r="AW42" s="1341">
        <f t="shared" si="12"/>
        <v>0</v>
      </c>
      <c r="AX42" s="1341">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9"/>
      <c r="AV43" s="1341">
        <f t="shared" si="11"/>
        <v>0</v>
      </c>
      <c r="AW43" s="1341">
        <f t="shared" si="12"/>
        <v>0</v>
      </c>
      <c r="AX43" s="1341">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9"/>
      <c r="AV44" s="1341">
        <f t="shared" si="11"/>
        <v>0</v>
      </c>
      <c r="AW44" s="1341">
        <f t="shared" si="12"/>
        <v>0</v>
      </c>
      <c r="AX44" s="1341">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9"/>
      <c r="AV45" s="1341">
        <f t="shared" si="11"/>
        <v>0</v>
      </c>
      <c r="AW45" s="1341">
        <f t="shared" si="12"/>
        <v>0</v>
      </c>
      <c r="AX45" s="1341">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9"/>
      <c r="AV46" s="1341">
        <f t="shared" si="11"/>
        <v>0</v>
      </c>
      <c r="AW46" s="1341">
        <f t="shared" si="12"/>
        <v>0</v>
      </c>
      <c r="AX46" s="1341">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9"/>
      <c r="AV47" s="1341">
        <f t="shared" si="11"/>
        <v>0</v>
      </c>
      <c r="AW47" s="1341">
        <f t="shared" si="12"/>
        <v>0</v>
      </c>
      <c r="AX47" s="1341">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9"/>
      <c r="AV48" s="1341">
        <f t="shared" si="11"/>
        <v>0</v>
      </c>
      <c r="AW48" s="1341">
        <f t="shared" si="12"/>
        <v>0</v>
      </c>
      <c r="AX48" s="1341">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9"/>
      <c r="AV49" s="1341">
        <f t="shared" si="11"/>
        <v>0</v>
      </c>
      <c r="AW49" s="1341">
        <f t="shared" si="12"/>
        <v>0</v>
      </c>
      <c r="AX49" s="1341">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9"/>
      <c r="AV50" s="1341">
        <f t="shared" si="11"/>
        <v>0</v>
      </c>
      <c r="AW50" s="1341">
        <f t="shared" si="12"/>
        <v>0</v>
      </c>
      <c r="AX50" s="1341">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9"/>
      <c r="AV51" s="1341">
        <f t="shared" si="11"/>
        <v>0</v>
      </c>
      <c r="AW51" s="1341">
        <f t="shared" si="12"/>
        <v>0</v>
      </c>
      <c r="AX51" s="1341">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9"/>
      <c r="AV52" s="1341">
        <f t="shared" si="11"/>
        <v>0</v>
      </c>
      <c r="AW52" s="1341">
        <f t="shared" si="12"/>
        <v>0</v>
      </c>
      <c r="AX52" s="1341">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9"/>
      <c r="AV53" s="1341">
        <f t="shared" si="11"/>
        <v>0</v>
      </c>
      <c r="AW53" s="1341">
        <f t="shared" si="12"/>
        <v>0</v>
      </c>
      <c r="AX53" s="1341">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9"/>
      <c r="AV54" s="1341">
        <f t="shared" si="11"/>
        <v>0</v>
      </c>
      <c r="AW54" s="1341">
        <f t="shared" si="12"/>
        <v>0</v>
      </c>
      <c r="AX54" s="1341">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9"/>
      <c r="AV55" s="1341">
        <f t="shared" si="11"/>
        <v>0</v>
      </c>
      <c r="AW55" s="1341">
        <f t="shared" si="12"/>
        <v>0</v>
      </c>
      <c r="AX55" s="1341">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9"/>
      <c r="AV56" s="1341">
        <f t="shared" si="11"/>
        <v>0</v>
      </c>
      <c r="AW56" s="1341">
        <f t="shared" si="12"/>
        <v>0</v>
      </c>
      <c r="AX56" s="1341">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9"/>
      <c r="AV57" s="1341">
        <f t="shared" si="11"/>
        <v>0</v>
      </c>
      <c r="AW57" s="1341">
        <f t="shared" si="12"/>
        <v>0</v>
      </c>
      <c r="AX57" s="1341">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9"/>
      <c r="AV58" s="1341">
        <f t="shared" si="11"/>
        <v>0</v>
      </c>
      <c r="AW58" s="1341">
        <f t="shared" si="12"/>
        <v>0</v>
      </c>
      <c r="AX58" s="1341">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9"/>
      <c r="AV59" s="1341">
        <f t="shared" si="11"/>
        <v>0</v>
      </c>
      <c r="AW59" s="1341">
        <f t="shared" si="12"/>
        <v>0</v>
      </c>
      <c r="AX59" s="1341">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9"/>
      <c r="AV60" s="1341">
        <f t="shared" si="11"/>
        <v>0</v>
      </c>
      <c r="AW60" s="1341">
        <f t="shared" si="12"/>
        <v>0</v>
      </c>
      <c r="AX60" s="1341">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9"/>
      <c r="AV61" s="1341">
        <f t="shared" si="11"/>
        <v>0</v>
      </c>
      <c r="AW61" s="1341">
        <f t="shared" si="12"/>
        <v>0</v>
      </c>
      <c r="AX61" s="1341">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9"/>
      <c r="AV62" s="1341">
        <f t="shared" si="11"/>
        <v>0</v>
      </c>
      <c r="AW62" s="1341">
        <f t="shared" si="12"/>
        <v>0</v>
      </c>
      <c r="AX62" s="1341">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9"/>
      <c r="AV63" s="1341">
        <f t="shared" si="11"/>
        <v>0</v>
      </c>
      <c r="AW63" s="1341">
        <f t="shared" si="12"/>
        <v>0</v>
      </c>
      <c r="AX63" s="1341">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9"/>
      <c r="AV64" s="1341">
        <f t="shared" si="11"/>
        <v>0</v>
      </c>
      <c r="AW64" s="1341">
        <f t="shared" si="12"/>
        <v>0</v>
      </c>
      <c r="AX64" s="1341">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9"/>
      <c r="AV65" s="1341">
        <f t="shared" si="11"/>
        <v>0</v>
      </c>
      <c r="AW65" s="1341">
        <f t="shared" si="12"/>
        <v>0</v>
      </c>
      <c r="AX65" s="1341">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9"/>
      <c r="AV66" s="1341">
        <f t="shared" si="11"/>
        <v>0</v>
      </c>
      <c r="AW66" s="1341">
        <f t="shared" si="12"/>
        <v>0</v>
      </c>
      <c r="AX66" s="1341">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9"/>
      <c r="AV67" s="1341">
        <f t="shared" si="11"/>
        <v>0</v>
      </c>
      <c r="AW67" s="1341">
        <f t="shared" si="12"/>
        <v>0</v>
      </c>
      <c r="AX67" s="1341">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9"/>
      <c r="AV68" s="1341">
        <f t="shared" si="11"/>
        <v>0</v>
      </c>
      <c r="AW68" s="1341">
        <f t="shared" si="12"/>
        <v>0</v>
      </c>
      <c r="AX68" s="1341">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9"/>
      <c r="AV69" s="1341">
        <f t="shared" si="11"/>
        <v>0</v>
      </c>
      <c r="AW69" s="1341">
        <f t="shared" si="12"/>
        <v>0</v>
      </c>
      <c r="AX69" s="1341">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9"/>
      <c r="AV70" s="1341">
        <f t="shared" si="11"/>
        <v>0</v>
      </c>
      <c r="AW70" s="1341">
        <f t="shared" si="12"/>
        <v>0</v>
      </c>
      <c r="AX70" s="1341">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9"/>
      <c r="AV71" s="1341">
        <f t="shared" si="11"/>
        <v>0</v>
      </c>
      <c r="AW71" s="1341">
        <f t="shared" si="12"/>
        <v>0</v>
      </c>
      <c r="AX71" s="1341">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9"/>
      <c r="AV72" s="1341">
        <f t="shared" si="11"/>
        <v>0</v>
      </c>
      <c r="AW72" s="1341">
        <f t="shared" si="12"/>
        <v>0</v>
      </c>
      <c r="AX72" s="1341">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9"/>
      <c r="AV73" s="1341">
        <f t="shared" si="11"/>
        <v>0</v>
      </c>
      <c r="AW73" s="1341">
        <f t="shared" si="12"/>
        <v>0</v>
      </c>
      <c r="AX73" s="1341">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9"/>
      <c r="AV74" s="1341">
        <f t="shared" si="11"/>
        <v>0</v>
      </c>
      <c r="AW74" s="1341">
        <f t="shared" si="12"/>
        <v>0</v>
      </c>
      <c r="AX74" s="1341">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9"/>
      <c r="AV75" s="1341">
        <f t="shared" si="11"/>
        <v>0</v>
      </c>
      <c r="AW75" s="1341">
        <f t="shared" si="12"/>
        <v>0</v>
      </c>
      <c r="AX75" s="1341">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9"/>
      <c r="AV76" s="1341">
        <f t="shared" si="11"/>
        <v>0</v>
      </c>
      <c r="AW76" s="1341">
        <f t="shared" si="12"/>
        <v>0</v>
      </c>
      <c r="AX76" s="1341">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9"/>
      <c r="AV77" s="1341">
        <f t="shared" si="11"/>
        <v>0</v>
      </c>
      <c r="AW77" s="1341">
        <f t="shared" si="12"/>
        <v>0</v>
      </c>
      <c r="AX77" s="1341">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9"/>
      <c r="AV78" s="1341">
        <f t="shared" si="11"/>
        <v>0</v>
      </c>
      <c r="AW78" s="1341">
        <f t="shared" si="12"/>
        <v>0</v>
      </c>
      <c r="AX78" s="1341">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9"/>
      <c r="AV79" s="1341">
        <f t="shared" si="11"/>
        <v>0</v>
      </c>
      <c r="AW79" s="1341">
        <f t="shared" si="12"/>
        <v>0</v>
      </c>
      <c r="AX79" s="1341">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9"/>
      <c r="AV80" s="1341">
        <f t="shared" si="11"/>
        <v>0</v>
      </c>
      <c r="AW80" s="1341">
        <f t="shared" si="12"/>
        <v>0</v>
      </c>
      <c r="AX80" s="1341">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9"/>
      <c r="AV81" s="1341">
        <f t="shared" si="11"/>
        <v>0</v>
      </c>
      <c r="AW81" s="1341">
        <f t="shared" si="12"/>
        <v>0</v>
      </c>
      <c r="AX81" s="1341">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9"/>
      <c r="AV82" s="1341">
        <f t="shared" si="11"/>
        <v>0</v>
      </c>
      <c r="AW82" s="1341">
        <f t="shared" si="12"/>
        <v>0</v>
      </c>
      <c r="AX82" s="1341">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9"/>
      <c r="AV83" s="1341">
        <f t="shared" si="11"/>
        <v>0</v>
      </c>
      <c r="AW83" s="1341">
        <f t="shared" si="12"/>
        <v>0</v>
      </c>
      <c r="AX83" s="1341">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9"/>
      <c r="AV84" s="1341">
        <f t="shared" si="11"/>
        <v>0</v>
      </c>
      <c r="AW84" s="1341">
        <f t="shared" si="12"/>
        <v>0</v>
      </c>
      <c r="AX84" s="1341">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9"/>
      <c r="AV85" s="1341">
        <f t="shared" si="11"/>
        <v>0</v>
      </c>
      <c r="AW85" s="1341">
        <f t="shared" si="12"/>
        <v>0</v>
      </c>
      <c r="AX85" s="1341">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9"/>
      <c r="AV86" s="1341">
        <f t="shared" si="11"/>
        <v>0</v>
      </c>
      <c r="AW86" s="1341">
        <f t="shared" si="12"/>
        <v>0</v>
      </c>
      <c r="AX86" s="1341">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9"/>
      <c r="AV87" s="1341">
        <f t="shared" si="11"/>
        <v>0</v>
      </c>
      <c r="AW87" s="1341">
        <f t="shared" si="12"/>
        <v>0</v>
      </c>
      <c r="AX87" s="1341">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9"/>
      <c r="AV88" s="1341">
        <f t="shared" si="11"/>
        <v>0</v>
      </c>
      <c r="AW88" s="1341">
        <f t="shared" si="12"/>
        <v>0</v>
      </c>
      <c r="AX88" s="1341">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9"/>
      <c r="AV89" s="1341">
        <f t="shared" si="11"/>
        <v>0</v>
      </c>
      <c r="AW89" s="1341">
        <f t="shared" si="12"/>
        <v>0</v>
      </c>
      <c r="AX89" s="1341">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9"/>
      <c r="AV90" s="1341">
        <f t="shared" si="11"/>
        <v>0</v>
      </c>
      <c r="AW90" s="1341">
        <f t="shared" si="12"/>
        <v>0</v>
      </c>
      <c r="AX90" s="1341">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9"/>
      <c r="AV91" s="1341">
        <f t="shared" si="11"/>
        <v>0</v>
      </c>
      <c r="AW91" s="1341">
        <f t="shared" si="12"/>
        <v>0</v>
      </c>
      <c r="AX91" s="1341">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9"/>
      <c r="AV92" s="1341">
        <f t="shared" si="11"/>
        <v>0</v>
      </c>
      <c r="AW92" s="1341">
        <f t="shared" si="12"/>
        <v>0</v>
      </c>
      <c r="AX92" s="1341">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9"/>
      <c r="AV93" s="1341">
        <f t="shared" si="11"/>
        <v>0</v>
      </c>
      <c r="AW93" s="1341">
        <f t="shared" si="12"/>
        <v>0</v>
      </c>
      <c r="AX93" s="1341">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9"/>
      <c r="AV94" s="1341">
        <f t="shared" si="11"/>
        <v>0</v>
      </c>
      <c r="AW94" s="1341">
        <f t="shared" si="12"/>
        <v>0</v>
      </c>
      <c r="AX94" s="1341">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9"/>
      <c r="AV95" s="1341">
        <f t="shared" si="11"/>
        <v>0</v>
      </c>
      <c r="AW95" s="1341">
        <f t="shared" si="12"/>
        <v>0</v>
      </c>
      <c r="AX95" s="1341">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9"/>
      <c r="AV96" s="1341">
        <f t="shared" si="11"/>
        <v>0</v>
      </c>
      <c r="AW96" s="1341">
        <f t="shared" si="12"/>
        <v>0</v>
      </c>
      <c r="AX96" s="1341">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9"/>
      <c r="AV97" s="1341">
        <f t="shared" si="11"/>
        <v>0</v>
      </c>
      <c r="AW97" s="1341">
        <f t="shared" si="12"/>
        <v>0</v>
      </c>
      <c r="AX97" s="1341">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9"/>
      <c r="AV98" s="1341">
        <f t="shared" si="11"/>
        <v>0</v>
      </c>
      <c r="AW98" s="1341">
        <f t="shared" si="12"/>
        <v>0</v>
      </c>
      <c r="AX98" s="1341">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9"/>
      <c r="AV99" s="1341">
        <f t="shared" si="11"/>
        <v>0</v>
      </c>
      <c r="AW99" s="1341">
        <f t="shared" si="12"/>
        <v>0</v>
      </c>
      <c r="AX99" s="1341">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9"/>
      <c r="AV100" s="1341">
        <f t="shared" si="11"/>
        <v>0</v>
      </c>
      <c r="AW100" s="1341">
        <f t="shared" si="12"/>
        <v>0</v>
      </c>
      <c r="AX100" s="1341">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9"/>
      <c r="AV101" s="1341">
        <f t="shared" si="11"/>
        <v>0</v>
      </c>
      <c r="AW101" s="1341">
        <f t="shared" si="12"/>
        <v>0</v>
      </c>
      <c r="AX101" s="1341">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9"/>
      <c r="AV102" s="1341">
        <f t="shared" si="11"/>
        <v>0</v>
      </c>
      <c r="AW102" s="1341">
        <f t="shared" si="12"/>
        <v>0</v>
      </c>
      <c r="AX102" s="1341">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9"/>
      <c r="AV103" s="1341">
        <f t="shared" si="11"/>
        <v>0</v>
      </c>
      <c r="AW103" s="1341">
        <f t="shared" si="12"/>
        <v>0</v>
      </c>
      <c r="AX103" s="1341">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9"/>
      <c r="AV104" s="1341">
        <f t="shared" si="11"/>
        <v>0</v>
      </c>
      <c r="AW104" s="1341">
        <f t="shared" si="12"/>
        <v>0</v>
      </c>
      <c r="AX104" s="1341">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9"/>
      <c r="AV105" s="1341">
        <f t="shared" si="11"/>
        <v>0</v>
      </c>
      <c r="AW105" s="1341">
        <f t="shared" si="12"/>
        <v>0</v>
      </c>
      <c r="AX105" s="1341">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9"/>
      <c r="AV106" s="1341">
        <f t="shared" si="11"/>
        <v>0</v>
      </c>
      <c r="AW106" s="1341">
        <f t="shared" si="12"/>
        <v>0</v>
      </c>
      <c r="AX106" s="1341">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9"/>
      <c r="AV107" s="1341">
        <f t="shared" si="11"/>
        <v>0</v>
      </c>
      <c r="AW107" s="1341">
        <f t="shared" si="12"/>
        <v>0</v>
      </c>
      <c r="AX107" s="1341">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9"/>
      <c r="AV108" s="1341">
        <f t="shared" si="11"/>
        <v>0</v>
      </c>
      <c r="AW108" s="1341">
        <f t="shared" si="12"/>
        <v>0</v>
      </c>
      <c r="AX108" s="1341">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9"/>
      <c r="AV109" s="1341">
        <f t="shared" si="11"/>
        <v>0</v>
      </c>
      <c r="AW109" s="1341">
        <f t="shared" si="12"/>
        <v>0</v>
      </c>
      <c r="AX109" s="1341">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8"/>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9"/>
      <c r="AV110" s="1341">
        <f t="shared" si="11"/>
        <v>0</v>
      </c>
      <c r="AW110" s="1341">
        <f t="shared" si="12"/>
        <v>0</v>
      </c>
      <c r="AX110" s="1341">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8"/>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9"/>
      <c r="AV111" s="1341">
        <f t="shared" si="11"/>
        <v>0</v>
      </c>
      <c r="AW111" s="1341">
        <f t="shared" si="12"/>
        <v>0</v>
      </c>
      <c r="AX111" s="1341">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8"/>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9"/>
      <c r="AV112" s="1341">
        <f t="shared" si="11"/>
        <v>0</v>
      </c>
      <c r="AW112" s="1341">
        <f t="shared" si="12"/>
        <v>0</v>
      </c>
      <c r="AX112" s="1341">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9"/>
      <c r="AV113" s="1341">
        <f t="shared" ref="AV113:AV144" si="62">A113</f>
        <v>0</v>
      </c>
      <c r="AW113" s="1341">
        <f t="shared" ref="AW113:AW144" si="63">B113</f>
        <v>0</v>
      </c>
      <c r="AX113" s="1341">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9"/>
      <c r="AV114" s="1341">
        <f t="shared" si="62"/>
        <v>0</v>
      </c>
      <c r="AW114" s="1341">
        <f t="shared" si="63"/>
        <v>0</v>
      </c>
      <c r="AX114" s="1341">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9"/>
      <c r="AV115" s="1341">
        <f t="shared" si="62"/>
        <v>0</v>
      </c>
      <c r="AW115" s="1341">
        <f t="shared" si="63"/>
        <v>0</v>
      </c>
      <c r="AX115" s="1341">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9"/>
      <c r="AV116" s="1341">
        <f t="shared" si="62"/>
        <v>0</v>
      </c>
      <c r="AW116" s="1341">
        <f t="shared" si="63"/>
        <v>0</v>
      </c>
      <c r="AX116" s="1341">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9"/>
      <c r="AV117" s="1341">
        <f t="shared" si="62"/>
        <v>0</v>
      </c>
      <c r="AW117" s="1341">
        <f t="shared" si="63"/>
        <v>0</v>
      </c>
      <c r="AX117" s="1341">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9"/>
      <c r="AV118" s="1341">
        <f t="shared" si="62"/>
        <v>0</v>
      </c>
      <c r="AW118" s="1341">
        <f t="shared" si="63"/>
        <v>0</v>
      </c>
      <c r="AX118" s="1341">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9"/>
      <c r="AV119" s="1341">
        <f t="shared" si="62"/>
        <v>0</v>
      </c>
      <c r="AW119" s="1341">
        <f t="shared" si="63"/>
        <v>0</v>
      </c>
      <c r="AX119" s="1341">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9"/>
      <c r="AV120" s="1341">
        <f t="shared" si="62"/>
        <v>0</v>
      </c>
      <c r="AW120" s="1341">
        <f t="shared" si="63"/>
        <v>0</v>
      </c>
      <c r="AX120" s="1341">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9"/>
      <c r="AV121" s="1341">
        <f t="shared" si="62"/>
        <v>0</v>
      </c>
      <c r="AW121" s="1341">
        <f t="shared" si="63"/>
        <v>0</v>
      </c>
      <c r="AX121" s="1341">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9"/>
      <c r="AV122" s="1341">
        <f t="shared" si="62"/>
        <v>0</v>
      </c>
      <c r="AW122" s="1341">
        <f t="shared" si="63"/>
        <v>0</v>
      </c>
      <c r="AX122" s="1341">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9"/>
      <c r="AV123" s="1341">
        <f t="shared" si="62"/>
        <v>0</v>
      </c>
      <c r="AW123" s="1341">
        <f t="shared" si="63"/>
        <v>0</v>
      </c>
      <c r="AX123" s="1341">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9"/>
      <c r="AV124" s="1341">
        <f t="shared" si="62"/>
        <v>0</v>
      </c>
      <c r="AW124" s="1341">
        <f t="shared" si="63"/>
        <v>0</v>
      </c>
      <c r="AX124" s="1341">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9"/>
      <c r="AV125" s="1341">
        <f t="shared" si="62"/>
        <v>0</v>
      </c>
      <c r="AW125" s="1341">
        <f t="shared" si="63"/>
        <v>0</v>
      </c>
      <c r="AX125" s="1341">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9"/>
      <c r="AV126" s="1341">
        <f t="shared" si="62"/>
        <v>0</v>
      </c>
      <c r="AW126" s="1341">
        <f t="shared" si="63"/>
        <v>0</v>
      </c>
      <c r="AX126" s="1341">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9"/>
      <c r="AV127" s="1341">
        <f t="shared" si="62"/>
        <v>0</v>
      </c>
      <c r="AW127" s="1341">
        <f t="shared" si="63"/>
        <v>0</v>
      </c>
      <c r="AX127" s="1341">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9"/>
      <c r="AV128" s="1341">
        <f t="shared" si="62"/>
        <v>0</v>
      </c>
      <c r="AW128" s="1341">
        <f t="shared" si="63"/>
        <v>0</v>
      </c>
      <c r="AX128" s="1341">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9"/>
      <c r="AV129" s="1341">
        <f t="shared" si="62"/>
        <v>0</v>
      </c>
      <c r="AW129" s="1341">
        <f t="shared" si="63"/>
        <v>0</v>
      </c>
      <c r="AX129" s="1341">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9"/>
      <c r="AV130" s="1341">
        <f t="shared" si="62"/>
        <v>0</v>
      </c>
      <c r="AW130" s="1341">
        <f t="shared" si="63"/>
        <v>0</v>
      </c>
      <c r="AX130" s="1341">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9"/>
      <c r="AV131" s="1341">
        <f t="shared" si="62"/>
        <v>0</v>
      </c>
      <c r="AW131" s="1341">
        <f t="shared" si="63"/>
        <v>0</v>
      </c>
      <c r="AX131" s="1341">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9"/>
      <c r="AV132" s="1341">
        <f t="shared" si="62"/>
        <v>0</v>
      </c>
      <c r="AW132" s="1341">
        <f t="shared" si="63"/>
        <v>0</v>
      </c>
      <c r="AX132" s="1341">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9"/>
      <c r="AV133" s="1341">
        <f t="shared" si="62"/>
        <v>0</v>
      </c>
      <c r="AW133" s="1341">
        <f t="shared" si="63"/>
        <v>0</v>
      </c>
      <c r="AX133" s="1341">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9"/>
      <c r="AV134" s="1341">
        <f t="shared" si="62"/>
        <v>0</v>
      </c>
      <c r="AW134" s="1341">
        <f t="shared" si="63"/>
        <v>0</v>
      </c>
      <c r="AX134" s="1341">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9"/>
      <c r="AV135" s="1341">
        <f t="shared" si="62"/>
        <v>0</v>
      </c>
      <c r="AW135" s="1341">
        <f t="shared" si="63"/>
        <v>0</v>
      </c>
      <c r="AX135" s="1341">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9"/>
      <c r="AV136" s="1341">
        <f t="shared" si="62"/>
        <v>0</v>
      </c>
      <c r="AW136" s="1341">
        <f t="shared" si="63"/>
        <v>0</v>
      </c>
      <c r="AX136" s="1341">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9"/>
      <c r="AV137" s="1341">
        <f t="shared" si="62"/>
        <v>0</v>
      </c>
      <c r="AW137" s="1341">
        <f t="shared" si="63"/>
        <v>0</v>
      </c>
      <c r="AX137" s="1341">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9"/>
      <c r="AV138" s="1341">
        <f t="shared" si="62"/>
        <v>0</v>
      </c>
      <c r="AW138" s="1341">
        <f t="shared" si="63"/>
        <v>0</v>
      </c>
      <c r="AX138" s="1341">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9"/>
      <c r="AV139" s="1341">
        <f t="shared" si="62"/>
        <v>0</v>
      </c>
      <c r="AW139" s="1341">
        <f t="shared" si="63"/>
        <v>0</v>
      </c>
      <c r="AX139" s="1341">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9"/>
      <c r="AV140" s="1341">
        <f t="shared" si="62"/>
        <v>0</v>
      </c>
      <c r="AW140" s="1341">
        <f t="shared" si="63"/>
        <v>0</v>
      </c>
      <c r="AX140" s="1341">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9"/>
      <c r="AV141" s="1341">
        <f t="shared" si="62"/>
        <v>0</v>
      </c>
      <c r="AW141" s="1341">
        <f t="shared" si="63"/>
        <v>0</v>
      </c>
      <c r="AX141" s="1341">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9"/>
      <c r="AV142" s="1341">
        <f t="shared" si="62"/>
        <v>0</v>
      </c>
      <c r="AW142" s="1341">
        <f t="shared" si="63"/>
        <v>0</v>
      </c>
      <c r="AX142" s="1341">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9"/>
      <c r="AV143" s="1341">
        <f t="shared" si="62"/>
        <v>0</v>
      </c>
      <c r="AW143" s="1341">
        <f t="shared" si="63"/>
        <v>0</v>
      </c>
      <c r="AX143" s="1341">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9"/>
      <c r="AV144" s="1341">
        <f t="shared" si="62"/>
        <v>0</v>
      </c>
      <c r="AW144" s="1341">
        <f t="shared" si="63"/>
        <v>0</v>
      </c>
      <c r="AX144" s="1341">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9"/>
      <c r="AV145" s="1341">
        <f t="shared" ref="AV145:AV176" si="91">A145</f>
        <v>0</v>
      </c>
      <c r="AW145" s="1341">
        <f t="shared" ref="AW145:AW176" si="92">B145</f>
        <v>0</v>
      </c>
      <c r="AX145" s="1341">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9"/>
      <c r="AV146" s="1341">
        <f t="shared" si="91"/>
        <v>0</v>
      </c>
      <c r="AW146" s="1341">
        <f t="shared" si="92"/>
        <v>0</v>
      </c>
      <c r="AX146" s="1341">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9"/>
      <c r="AV147" s="1341">
        <f t="shared" si="91"/>
        <v>0</v>
      </c>
      <c r="AW147" s="1341">
        <f t="shared" si="92"/>
        <v>0</v>
      </c>
      <c r="AX147" s="1341">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9"/>
      <c r="AV148" s="1341">
        <f t="shared" si="91"/>
        <v>0</v>
      </c>
      <c r="AW148" s="1341">
        <f t="shared" si="92"/>
        <v>0</v>
      </c>
      <c r="AX148" s="1341">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9"/>
      <c r="AV149" s="1341">
        <f t="shared" si="91"/>
        <v>0</v>
      </c>
      <c r="AW149" s="1341">
        <f t="shared" si="92"/>
        <v>0</v>
      </c>
      <c r="AX149" s="1341">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9"/>
      <c r="AV150" s="1341">
        <f t="shared" si="91"/>
        <v>0</v>
      </c>
      <c r="AW150" s="1341">
        <f t="shared" si="92"/>
        <v>0</v>
      </c>
      <c r="AX150" s="1341">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9"/>
      <c r="AV151" s="1341">
        <f t="shared" si="91"/>
        <v>0</v>
      </c>
      <c r="AW151" s="1341">
        <f t="shared" si="92"/>
        <v>0</v>
      </c>
      <c r="AX151" s="1341">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9"/>
      <c r="AV152" s="1341">
        <f t="shared" si="91"/>
        <v>0</v>
      </c>
      <c r="AW152" s="1341">
        <f t="shared" si="92"/>
        <v>0</v>
      </c>
      <c r="AX152" s="1341">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9"/>
      <c r="AV153" s="1341">
        <f t="shared" si="91"/>
        <v>0</v>
      </c>
      <c r="AW153" s="1341">
        <f t="shared" si="92"/>
        <v>0</v>
      </c>
      <c r="AX153" s="1341">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9"/>
      <c r="AV154" s="1341">
        <f t="shared" si="91"/>
        <v>0</v>
      </c>
      <c r="AW154" s="1341">
        <f t="shared" si="92"/>
        <v>0</v>
      </c>
      <c r="AX154" s="1341">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9"/>
      <c r="AV155" s="1341">
        <f t="shared" si="91"/>
        <v>0</v>
      </c>
      <c r="AW155" s="1341">
        <f t="shared" si="92"/>
        <v>0</v>
      </c>
      <c r="AX155" s="1341">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9"/>
      <c r="AV156" s="1341">
        <f t="shared" si="91"/>
        <v>0</v>
      </c>
      <c r="AW156" s="1341">
        <f t="shared" si="92"/>
        <v>0</v>
      </c>
      <c r="AX156" s="1341">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9"/>
      <c r="AV157" s="1341">
        <f t="shared" si="91"/>
        <v>0</v>
      </c>
      <c r="AW157" s="1341">
        <f t="shared" si="92"/>
        <v>0</v>
      </c>
      <c r="AX157" s="1341">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9"/>
      <c r="AV158" s="1341">
        <f t="shared" si="91"/>
        <v>0</v>
      </c>
      <c r="AW158" s="1341">
        <f t="shared" si="92"/>
        <v>0</v>
      </c>
      <c r="AX158" s="1341">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9"/>
      <c r="AV159" s="1341">
        <f t="shared" si="91"/>
        <v>0</v>
      </c>
      <c r="AW159" s="1341">
        <f t="shared" si="92"/>
        <v>0</v>
      </c>
      <c r="AX159" s="1341">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9"/>
      <c r="AV160" s="1341">
        <f t="shared" si="91"/>
        <v>0</v>
      </c>
      <c r="AW160" s="1341">
        <f t="shared" si="92"/>
        <v>0</v>
      </c>
      <c r="AX160" s="1341">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9"/>
      <c r="AV161" s="1341">
        <f t="shared" si="91"/>
        <v>0</v>
      </c>
      <c r="AW161" s="1341">
        <f t="shared" si="92"/>
        <v>0</v>
      </c>
      <c r="AX161" s="1341">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9"/>
      <c r="AV162" s="1341">
        <f t="shared" si="91"/>
        <v>0</v>
      </c>
      <c r="AW162" s="1341">
        <f t="shared" si="92"/>
        <v>0</v>
      </c>
      <c r="AX162" s="1341">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9"/>
      <c r="AV163" s="1341">
        <f t="shared" si="91"/>
        <v>0</v>
      </c>
      <c r="AW163" s="1341">
        <f t="shared" si="92"/>
        <v>0</v>
      </c>
      <c r="AX163" s="1341">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9"/>
      <c r="AV164" s="1341">
        <f t="shared" si="91"/>
        <v>0</v>
      </c>
      <c r="AW164" s="1341">
        <f t="shared" si="92"/>
        <v>0</v>
      </c>
      <c r="AX164" s="1341">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9"/>
      <c r="AV165" s="1341">
        <f t="shared" si="91"/>
        <v>0</v>
      </c>
      <c r="AW165" s="1341">
        <f t="shared" si="92"/>
        <v>0</v>
      </c>
      <c r="AX165" s="1341">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9"/>
      <c r="AV166" s="1341">
        <f t="shared" si="91"/>
        <v>0</v>
      </c>
      <c r="AW166" s="1341">
        <f t="shared" si="92"/>
        <v>0</v>
      </c>
      <c r="AX166" s="1341">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9"/>
      <c r="AV167" s="1341">
        <f t="shared" si="91"/>
        <v>0</v>
      </c>
      <c r="AW167" s="1341">
        <f t="shared" si="92"/>
        <v>0</v>
      </c>
      <c r="AX167" s="1341">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9"/>
      <c r="AV168" s="1341">
        <f t="shared" si="91"/>
        <v>0</v>
      </c>
      <c r="AW168" s="1341">
        <f t="shared" si="92"/>
        <v>0</v>
      </c>
      <c r="AX168" s="1341">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9"/>
      <c r="AV169" s="1341">
        <f t="shared" si="91"/>
        <v>0</v>
      </c>
      <c r="AW169" s="1341">
        <f t="shared" si="92"/>
        <v>0</v>
      </c>
      <c r="AX169" s="1341">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9"/>
      <c r="AV170" s="1341">
        <f t="shared" si="91"/>
        <v>0</v>
      </c>
      <c r="AW170" s="1341">
        <f t="shared" si="92"/>
        <v>0</v>
      </c>
      <c r="AX170" s="1341">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9"/>
      <c r="AV171" s="1341">
        <f t="shared" si="91"/>
        <v>0</v>
      </c>
      <c r="AW171" s="1341">
        <f t="shared" si="92"/>
        <v>0</v>
      </c>
      <c r="AX171" s="1341">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9"/>
      <c r="AV172" s="1341">
        <f t="shared" si="91"/>
        <v>0</v>
      </c>
      <c r="AW172" s="1341">
        <f t="shared" si="92"/>
        <v>0</v>
      </c>
      <c r="AX172" s="1341">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9"/>
      <c r="AV173" s="1341">
        <f t="shared" si="91"/>
        <v>0</v>
      </c>
      <c r="AW173" s="1341">
        <f t="shared" si="92"/>
        <v>0</v>
      </c>
      <c r="AX173" s="1341">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9"/>
      <c r="AV174" s="1341">
        <f t="shared" si="91"/>
        <v>0</v>
      </c>
      <c r="AW174" s="1341">
        <f t="shared" si="92"/>
        <v>0</v>
      </c>
      <c r="AX174" s="1341">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9"/>
      <c r="AV175" s="1341">
        <f t="shared" si="91"/>
        <v>0</v>
      </c>
      <c r="AW175" s="1341">
        <f t="shared" si="92"/>
        <v>0</v>
      </c>
      <c r="AX175" s="1341">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9"/>
      <c r="AV176" s="1341">
        <f t="shared" si="91"/>
        <v>0</v>
      </c>
      <c r="AW176" s="1341">
        <f t="shared" si="92"/>
        <v>0</v>
      </c>
      <c r="AX176" s="1341">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9"/>
      <c r="AV177" s="1341">
        <f t="shared" ref="AV177:AV207" si="120">A177</f>
        <v>0</v>
      </c>
      <c r="AW177" s="1341">
        <f t="shared" ref="AW177:AW207" si="121">B177</f>
        <v>0</v>
      </c>
      <c r="AX177" s="1341">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9"/>
      <c r="AV178" s="1341">
        <f t="shared" si="120"/>
        <v>0</v>
      </c>
      <c r="AW178" s="1341">
        <f t="shared" si="121"/>
        <v>0</v>
      </c>
      <c r="AX178" s="1341">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9"/>
      <c r="AV179" s="1341">
        <f t="shared" si="120"/>
        <v>0</v>
      </c>
      <c r="AW179" s="1341">
        <f t="shared" si="121"/>
        <v>0</v>
      </c>
      <c r="AX179" s="1341">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9"/>
      <c r="AV180" s="1341">
        <f t="shared" si="120"/>
        <v>0</v>
      </c>
      <c r="AW180" s="1341">
        <f t="shared" si="121"/>
        <v>0</v>
      </c>
      <c r="AX180" s="1341">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9"/>
      <c r="AV181" s="1341">
        <f t="shared" si="120"/>
        <v>0</v>
      </c>
      <c r="AW181" s="1341">
        <f t="shared" si="121"/>
        <v>0</v>
      </c>
      <c r="AX181" s="1341">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9"/>
      <c r="AV182" s="1341">
        <f t="shared" si="120"/>
        <v>0</v>
      </c>
      <c r="AW182" s="1341">
        <f t="shared" si="121"/>
        <v>0</v>
      </c>
      <c r="AX182" s="1341">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9"/>
      <c r="AV183" s="1341">
        <f t="shared" si="120"/>
        <v>0</v>
      </c>
      <c r="AW183" s="1341">
        <f t="shared" si="121"/>
        <v>0</v>
      </c>
      <c r="AX183" s="1341">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9"/>
      <c r="AV184" s="1341">
        <f t="shared" si="120"/>
        <v>0</v>
      </c>
      <c r="AW184" s="1341">
        <f t="shared" si="121"/>
        <v>0</v>
      </c>
      <c r="AX184" s="1341">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9"/>
      <c r="AV185" s="1341">
        <f t="shared" si="120"/>
        <v>0</v>
      </c>
      <c r="AW185" s="1341">
        <f t="shared" si="121"/>
        <v>0</v>
      </c>
      <c r="AX185" s="1341">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9"/>
      <c r="AV186" s="1341">
        <f t="shared" si="120"/>
        <v>0</v>
      </c>
      <c r="AW186" s="1341">
        <f t="shared" si="121"/>
        <v>0</v>
      </c>
      <c r="AX186" s="1341">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9"/>
      <c r="AV187" s="1341">
        <f t="shared" si="120"/>
        <v>0</v>
      </c>
      <c r="AW187" s="1341">
        <f t="shared" si="121"/>
        <v>0</v>
      </c>
      <c r="AX187" s="1341">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9"/>
      <c r="AV188" s="1341">
        <f t="shared" si="120"/>
        <v>0</v>
      </c>
      <c r="AW188" s="1341">
        <f t="shared" si="121"/>
        <v>0</v>
      </c>
      <c r="AX188" s="1341">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9"/>
      <c r="AV189" s="1341">
        <f t="shared" si="120"/>
        <v>0</v>
      </c>
      <c r="AW189" s="1341">
        <f t="shared" si="121"/>
        <v>0</v>
      </c>
      <c r="AX189" s="1341">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9"/>
      <c r="AV190" s="1341">
        <f t="shared" si="120"/>
        <v>0</v>
      </c>
      <c r="AW190" s="1341">
        <f t="shared" si="121"/>
        <v>0</v>
      </c>
      <c r="AX190" s="1341">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9"/>
      <c r="AV191" s="1341">
        <f t="shared" si="120"/>
        <v>0</v>
      </c>
      <c r="AW191" s="1341">
        <f t="shared" si="121"/>
        <v>0</v>
      </c>
      <c r="AX191" s="1341">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9"/>
      <c r="AV192" s="1341">
        <f t="shared" si="120"/>
        <v>0</v>
      </c>
      <c r="AW192" s="1341">
        <f t="shared" si="121"/>
        <v>0</v>
      </c>
      <c r="AX192" s="1341">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9"/>
      <c r="AV193" s="1341">
        <f t="shared" si="120"/>
        <v>0</v>
      </c>
      <c r="AW193" s="1341">
        <f t="shared" si="121"/>
        <v>0</v>
      </c>
      <c r="AX193" s="1341">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9"/>
      <c r="AV194" s="1341">
        <f t="shared" si="120"/>
        <v>0</v>
      </c>
      <c r="AW194" s="1341">
        <f t="shared" si="121"/>
        <v>0</v>
      </c>
      <c r="AX194" s="1341">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9"/>
      <c r="AV195" s="1341">
        <f t="shared" si="120"/>
        <v>0</v>
      </c>
      <c r="AW195" s="1341">
        <f t="shared" si="121"/>
        <v>0</v>
      </c>
      <c r="AX195" s="1341">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9"/>
      <c r="AV196" s="1341">
        <f t="shared" si="120"/>
        <v>0</v>
      </c>
      <c r="AW196" s="1341">
        <f t="shared" si="121"/>
        <v>0</v>
      </c>
      <c r="AX196" s="1341">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9"/>
      <c r="AV197" s="1341">
        <f t="shared" si="120"/>
        <v>0</v>
      </c>
      <c r="AW197" s="1341">
        <f t="shared" si="121"/>
        <v>0</v>
      </c>
      <c r="AX197" s="1341">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9"/>
      <c r="AV198" s="1341">
        <f t="shared" si="120"/>
        <v>0</v>
      </c>
      <c r="AW198" s="1341">
        <f t="shared" si="121"/>
        <v>0</v>
      </c>
      <c r="AX198" s="1341">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9"/>
      <c r="AV199" s="1341">
        <f t="shared" si="120"/>
        <v>0</v>
      </c>
      <c r="AW199" s="1341">
        <f t="shared" si="121"/>
        <v>0</v>
      </c>
      <c r="AX199" s="1341">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9"/>
      <c r="AV200" s="1341">
        <f t="shared" si="120"/>
        <v>0</v>
      </c>
      <c r="AW200" s="1341">
        <f t="shared" si="121"/>
        <v>0</v>
      </c>
      <c r="AX200" s="1341">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9"/>
      <c r="AV201" s="1341">
        <f t="shared" si="120"/>
        <v>0</v>
      </c>
      <c r="AW201" s="1341">
        <f t="shared" si="121"/>
        <v>0</v>
      </c>
      <c r="AX201" s="1341">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9"/>
      <c r="AV202" s="1341">
        <f t="shared" si="120"/>
        <v>0</v>
      </c>
      <c r="AW202" s="1341">
        <f t="shared" si="121"/>
        <v>0</v>
      </c>
      <c r="AX202" s="1341">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9"/>
      <c r="AV203" s="1341">
        <f t="shared" si="120"/>
        <v>0</v>
      </c>
      <c r="AW203" s="1341">
        <f t="shared" si="121"/>
        <v>0</v>
      </c>
      <c r="AX203" s="1341">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9"/>
      <c r="AV204" s="1341">
        <f t="shared" si="120"/>
        <v>0</v>
      </c>
      <c r="AW204" s="1341">
        <f t="shared" si="121"/>
        <v>0</v>
      </c>
      <c r="AX204" s="1341">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8"/>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9"/>
      <c r="AV205" s="1341">
        <f t="shared" si="120"/>
        <v>0</v>
      </c>
      <c r="AW205" s="1341">
        <f t="shared" si="121"/>
        <v>0</v>
      </c>
      <c r="AX205" s="1341">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8"/>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9"/>
      <c r="AV206" s="1341">
        <f t="shared" si="120"/>
        <v>0</v>
      </c>
      <c r="AW206" s="1341">
        <f t="shared" si="121"/>
        <v>0</v>
      </c>
      <c r="AX206" s="1341">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8"/>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9"/>
      <c r="AV207" s="1341">
        <f t="shared" si="120"/>
        <v>0</v>
      </c>
      <c r="AW207" s="1341">
        <f t="shared" si="121"/>
        <v>0</v>
      </c>
      <c r="AX207" s="1341">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9"/>
      <c r="AV208" s="1341">
        <f t="shared" ref="AV208:AV302" si="127">A208</f>
        <v>0</v>
      </c>
      <c r="AW208" s="1341">
        <f t="shared" ref="AW208:AW302" si="128">B208</f>
        <v>0</v>
      </c>
      <c r="AX208" s="1341">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9"/>
      <c r="AV209" s="1341">
        <f t="shared" si="127"/>
        <v>0</v>
      </c>
      <c r="AW209" s="1341">
        <f t="shared" si="128"/>
        <v>0</v>
      </c>
      <c r="AX209" s="1341">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9"/>
      <c r="AV210" s="1341">
        <f t="shared" si="127"/>
        <v>0</v>
      </c>
      <c r="AW210" s="1341">
        <f t="shared" si="128"/>
        <v>0</v>
      </c>
      <c r="AX210" s="1341">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9"/>
      <c r="AV211" s="1341">
        <f t="shared" si="127"/>
        <v>0</v>
      </c>
      <c r="AW211" s="1341">
        <f t="shared" si="128"/>
        <v>0</v>
      </c>
      <c r="AX211" s="1341">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9"/>
      <c r="AV212" s="1341">
        <f t="shared" si="127"/>
        <v>0</v>
      </c>
      <c r="AW212" s="1341">
        <f t="shared" si="128"/>
        <v>0</v>
      </c>
      <c r="AX212" s="1341">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9"/>
      <c r="AV213" s="1341">
        <f t="shared" si="127"/>
        <v>0</v>
      </c>
      <c r="AW213" s="1341">
        <f t="shared" si="128"/>
        <v>0</v>
      </c>
      <c r="AX213" s="1341">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9"/>
      <c r="AV214" s="1341">
        <f t="shared" si="127"/>
        <v>0</v>
      </c>
      <c r="AW214" s="1341">
        <f t="shared" si="128"/>
        <v>0</v>
      </c>
      <c r="AX214" s="1341">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9"/>
      <c r="AV215" s="1341">
        <f t="shared" si="127"/>
        <v>0</v>
      </c>
      <c r="AW215" s="1341">
        <f t="shared" si="128"/>
        <v>0</v>
      </c>
      <c r="AX215" s="1341">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9"/>
      <c r="AV216" s="1341">
        <f t="shared" si="127"/>
        <v>0</v>
      </c>
      <c r="AW216" s="1341">
        <f t="shared" si="128"/>
        <v>0</v>
      </c>
      <c r="AX216" s="1341">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9"/>
      <c r="AV217" s="1341">
        <f t="shared" si="127"/>
        <v>0</v>
      </c>
      <c r="AW217" s="1341">
        <f t="shared" si="128"/>
        <v>0</v>
      </c>
      <c r="AX217" s="1341">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9"/>
      <c r="AV218" s="1341">
        <f t="shared" si="127"/>
        <v>0</v>
      </c>
      <c r="AW218" s="1341">
        <f t="shared" si="128"/>
        <v>0</v>
      </c>
      <c r="AX218" s="1341">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9"/>
      <c r="AV219" s="1341">
        <f t="shared" si="127"/>
        <v>0</v>
      </c>
      <c r="AW219" s="1341">
        <f t="shared" si="128"/>
        <v>0</v>
      </c>
      <c r="AX219" s="1341">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9"/>
      <c r="AV220" s="1341">
        <f t="shared" si="127"/>
        <v>0</v>
      </c>
      <c r="AW220" s="1341">
        <f t="shared" si="128"/>
        <v>0</v>
      </c>
      <c r="AX220" s="1341">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9"/>
      <c r="AV221" s="1341">
        <f t="shared" si="127"/>
        <v>0</v>
      </c>
      <c r="AW221" s="1341">
        <f t="shared" si="128"/>
        <v>0</v>
      </c>
      <c r="AX221" s="1341">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9"/>
      <c r="AV222" s="1341">
        <f t="shared" si="127"/>
        <v>0</v>
      </c>
      <c r="AW222" s="1341">
        <f t="shared" si="128"/>
        <v>0</v>
      </c>
      <c r="AX222" s="1341">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9"/>
      <c r="AV223" s="1341">
        <f t="shared" si="127"/>
        <v>0</v>
      </c>
      <c r="AW223" s="1341">
        <f t="shared" si="128"/>
        <v>0</v>
      </c>
      <c r="AX223" s="1341">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9"/>
      <c r="AV224" s="1341">
        <f t="shared" si="127"/>
        <v>0</v>
      </c>
      <c r="AW224" s="1341">
        <f t="shared" si="128"/>
        <v>0</v>
      </c>
      <c r="AX224" s="1341">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9"/>
      <c r="AV225" s="1341">
        <f t="shared" si="127"/>
        <v>0</v>
      </c>
      <c r="AW225" s="1341">
        <f t="shared" si="128"/>
        <v>0</v>
      </c>
      <c r="AX225" s="1341">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9"/>
      <c r="AV226" s="1341">
        <f t="shared" si="127"/>
        <v>0</v>
      </c>
      <c r="AW226" s="1341">
        <f t="shared" si="128"/>
        <v>0</v>
      </c>
      <c r="AX226" s="1341">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9"/>
      <c r="AV227" s="1341">
        <f t="shared" si="127"/>
        <v>0</v>
      </c>
      <c r="AW227" s="1341">
        <f t="shared" si="128"/>
        <v>0</v>
      </c>
      <c r="AX227" s="1341">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9"/>
      <c r="AV228" s="1341">
        <f t="shared" si="127"/>
        <v>0</v>
      </c>
      <c r="AW228" s="1341">
        <f t="shared" si="128"/>
        <v>0</v>
      </c>
      <c r="AX228" s="1341">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9"/>
      <c r="AV229" s="1341">
        <f t="shared" si="127"/>
        <v>0</v>
      </c>
      <c r="AW229" s="1341">
        <f t="shared" si="128"/>
        <v>0</v>
      </c>
      <c r="AX229" s="1341">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9"/>
      <c r="AV230" s="1341">
        <f t="shared" si="127"/>
        <v>0</v>
      </c>
      <c r="AW230" s="1341">
        <f t="shared" si="128"/>
        <v>0</v>
      </c>
      <c r="AX230" s="1341">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9"/>
      <c r="AV231" s="1341">
        <f t="shared" si="127"/>
        <v>0</v>
      </c>
      <c r="AW231" s="1341">
        <f t="shared" si="128"/>
        <v>0</v>
      </c>
      <c r="AX231" s="1341">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9"/>
      <c r="AV232" s="1341">
        <f t="shared" si="127"/>
        <v>0</v>
      </c>
      <c r="AW232" s="1341">
        <f t="shared" si="128"/>
        <v>0</v>
      </c>
      <c r="AX232" s="1341">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9"/>
      <c r="AV233" s="1341">
        <f t="shared" si="127"/>
        <v>0</v>
      </c>
      <c r="AW233" s="1341">
        <f t="shared" si="128"/>
        <v>0</v>
      </c>
      <c r="AX233" s="1341">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9"/>
      <c r="AV234" s="1341">
        <f t="shared" si="127"/>
        <v>0</v>
      </c>
      <c r="AW234" s="1341">
        <f t="shared" si="128"/>
        <v>0</v>
      </c>
      <c r="AX234" s="1341">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9"/>
      <c r="AV235" s="1341">
        <f t="shared" si="127"/>
        <v>0</v>
      </c>
      <c r="AW235" s="1341">
        <f t="shared" si="128"/>
        <v>0</v>
      </c>
      <c r="AX235" s="1341">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9"/>
      <c r="AV236" s="1341">
        <f t="shared" si="127"/>
        <v>0</v>
      </c>
      <c r="AW236" s="1341">
        <f t="shared" si="128"/>
        <v>0</v>
      </c>
      <c r="AX236" s="1341">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9"/>
      <c r="AV237" s="1341">
        <f t="shared" si="127"/>
        <v>0</v>
      </c>
      <c r="AW237" s="1341">
        <f t="shared" si="128"/>
        <v>0</v>
      </c>
      <c r="AX237" s="1341">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9"/>
      <c r="AV238" s="1341">
        <f t="shared" si="127"/>
        <v>0</v>
      </c>
      <c r="AW238" s="1341">
        <f t="shared" si="128"/>
        <v>0</v>
      </c>
      <c r="AX238" s="1341">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9"/>
      <c r="AV239" s="1341">
        <f t="shared" si="127"/>
        <v>0</v>
      </c>
      <c r="AW239" s="1341">
        <f t="shared" si="128"/>
        <v>0</v>
      </c>
      <c r="AX239" s="1341">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9"/>
      <c r="AV240" s="1341">
        <f t="shared" si="127"/>
        <v>0</v>
      </c>
      <c r="AW240" s="1341">
        <f t="shared" si="128"/>
        <v>0</v>
      </c>
      <c r="AX240" s="1341">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9"/>
      <c r="AV241" s="1341">
        <f t="shared" si="127"/>
        <v>0</v>
      </c>
      <c r="AW241" s="1341">
        <f t="shared" si="128"/>
        <v>0</v>
      </c>
      <c r="AX241" s="1341">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9"/>
      <c r="AV242" s="1341">
        <f t="shared" si="127"/>
        <v>0</v>
      </c>
      <c r="AW242" s="1341">
        <f t="shared" si="128"/>
        <v>0</v>
      </c>
      <c r="AX242" s="1341">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9"/>
      <c r="AV243" s="1341">
        <f t="shared" si="127"/>
        <v>0</v>
      </c>
      <c r="AW243" s="1341">
        <f t="shared" si="128"/>
        <v>0</v>
      </c>
      <c r="AX243" s="1341">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9"/>
      <c r="AV244" s="1341">
        <f t="shared" si="127"/>
        <v>0</v>
      </c>
      <c r="AW244" s="1341">
        <f t="shared" si="128"/>
        <v>0</v>
      </c>
      <c r="AX244" s="1341">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9"/>
      <c r="AV245" s="1341">
        <f t="shared" si="127"/>
        <v>0</v>
      </c>
      <c r="AW245" s="1341">
        <f t="shared" si="128"/>
        <v>0</v>
      </c>
      <c r="AX245" s="1341">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9"/>
      <c r="AV246" s="1341">
        <f t="shared" si="127"/>
        <v>0</v>
      </c>
      <c r="AW246" s="1341">
        <f t="shared" si="128"/>
        <v>0</v>
      </c>
      <c r="AX246" s="1341">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9"/>
      <c r="AV247" s="1341">
        <f t="shared" si="127"/>
        <v>0</v>
      </c>
      <c r="AW247" s="1341">
        <f t="shared" si="128"/>
        <v>0</v>
      </c>
      <c r="AX247" s="1341">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9"/>
      <c r="AV248" s="1341">
        <f t="shared" si="127"/>
        <v>0</v>
      </c>
      <c r="AW248" s="1341">
        <f t="shared" si="128"/>
        <v>0</v>
      </c>
      <c r="AX248" s="1341">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9"/>
      <c r="AV249" s="1341">
        <f t="shared" si="127"/>
        <v>0</v>
      </c>
      <c r="AW249" s="1341">
        <f t="shared" si="128"/>
        <v>0</v>
      </c>
      <c r="AX249" s="1341">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9"/>
      <c r="AV250" s="1341">
        <f t="shared" si="127"/>
        <v>0</v>
      </c>
      <c r="AW250" s="1341">
        <f t="shared" si="128"/>
        <v>0</v>
      </c>
      <c r="AX250" s="1341">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9"/>
      <c r="AV251" s="1341">
        <f t="shared" si="127"/>
        <v>0</v>
      </c>
      <c r="AW251" s="1341">
        <f t="shared" si="128"/>
        <v>0</v>
      </c>
      <c r="AX251" s="1341">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9"/>
      <c r="AV252" s="1341">
        <f t="shared" si="127"/>
        <v>0</v>
      </c>
      <c r="AW252" s="1341">
        <f t="shared" si="128"/>
        <v>0</v>
      </c>
      <c r="AX252" s="1341">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9"/>
      <c r="AV253" s="1341">
        <f t="shared" si="127"/>
        <v>0</v>
      </c>
      <c r="AW253" s="1341">
        <f t="shared" si="128"/>
        <v>0</v>
      </c>
      <c r="AX253" s="1341">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9"/>
      <c r="AV254" s="1341">
        <f t="shared" si="127"/>
        <v>0</v>
      </c>
      <c r="AW254" s="1341">
        <f t="shared" si="128"/>
        <v>0</v>
      </c>
      <c r="AX254" s="1341">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9"/>
      <c r="AV255" s="1341">
        <f t="shared" si="127"/>
        <v>0</v>
      </c>
      <c r="AW255" s="1341">
        <f t="shared" si="128"/>
        <v>0</v>
      </c>
      <c r="AX255" s="1341">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9"/>
      <c r="AV256" s="1341">
        <f t="shared" si="127"/>
        <v>0</v>
      </c>
      <c r="AW256" s="1341">
        <f t="shared" si="128"/>
        <v>0</v>
      </c>
      <c r="AX256" s="1341">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9"/>
      <c r="AV257" s="1341">
        <f t="shared" si="127"/>
        <v>0</v>
      </c>
      <c r="AW257" s="1341">
        <f t="shared" si="128"/>
        <v>0</v>
      </c>
      <c r="AX257" s="1341">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9"/>
      <c r="AV258" s="1341">
        <f t="shared" si="127"/>
        <v>0</v>
      </c>
      <c r="AW258" s="1341">
        <f t="shared" si="128"/>
        <v>0</v>
      </c>
      <c r="AX258" s="1341">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9"/>
      <c r="AV259" s="1341">
        <f t="shared" si="127"/>
        <v>0</v>
      </c>
      <c r="AW259" s="1341">
        <f t="shared" si="128"/>
        <v>0</v>
      </c>
      <c r="AX259" s="1341">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9"/>
      <c r="AV260" s="1341">
        <f t="shared" si="127"/>
        <v>0</v>
      </c>
      <c r="AW260" s="1341">
        <f t="shared" si="128"/>
        <v>0</v>
      </c>
      <c r="AX260" s="1341">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9"/>
      <c r="AV261" s="1341">
        <f t="shared" si="127"/>
        <v>0</v>
      </c>
      <c r="AW261" s="1341">
        <f t="shared" si="128"/>
        <v>0</v>
      </c>
      <c r="AX261" s="1341">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9"/>
      <c r="AV262" s="1341">
        <f t="shared" si="127"/>
        <v>0</v>
      </c>
      <c r="AW262" s="1341">
        <f t="shared" si="128"/>
        <v>0</v>
      </c>
      <c r="AX262" s="1341">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9"/>
      <c r="AV263" s="1341">
        <f t="shared" si="127"/>
        <v>0</v>
      </c>
      <c r="AW263" s="1341">
        <f t="shared" si="128"/>
        <v>0</v>
      </c>
      <c r="AX263" s="1341">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9"/>
      <c r="AV264" s="1341">
        <f t="shared" si="127"/>
        <v>0</v>
      </c>
      <c r="AW264" s="1341">
        <f t="shared" si="128"/>
        <v>0</v>
      </c>
      <c r="AX264" s="1341">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9"/>
      <c r="AV265" s="1341">
        <f t="shared" si="127"/>
        <v>0</v>
      </c>
      <c r="AW265" s="1341">
        <f t="shared" si="128"/>
        <v>0</v>
      </c>
      <c r="AX265" s="1341">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9"/>
      <c r="AV266" s="1341">
        <f t="shared" si="127"/>
        <v>0</v>
      </c>
      <c r="AW266" s="1341">
        <f t="shared" si="128"/>
        <v>0</v>
      </c>
      <c r="AX266" s="1341">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9"/>
      <c r="AV267" s="1341">
        <f t="shared" si="127"/>
        <v>0</v>
      </c>
      <c r="AW267" s="1341">
        <f t="shared" si="128"/>
        <v>0</v>
      </c>
      <c r="AX267" s="1341">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9"/>
      <c r="AV268" s="1341">
        <f t="shared" si="127"/>
        <v>0</v>
      </c>
      <c r="AW268" s="1341">
        <f t="shared" si="128"/>
        <v>0</v>
      </c>
      <c r="AX268" s="1341">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9"/>
      <c r="AV269" s="1341">
        <f t="shared" si="127"/>
        <v>0</v>
      </c>
      <c r="AW269" s="1341">
        <f t="shared" si="128"/>
        <v>0</v>
      </c>
      <c r="AX269" s="1341">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9"/>
      <c r="AV270" s="1341">
        <f t="shared" si="127"/>
        <v>0</v>
      </c>
      <c r="AW270" s="1341">
        <f t="shared" si="128"/>
        <v>0</v>
      </c>
      <c r="AX270" s="1341">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9"/>
      <c r="AV271" s="1341">
        <f t="shared" si="127"/>
        <v>0</v>
      </c>
      <c r="AW271" s="1341">
        <f t="shared" si="128"/>
        <v>0</v>
      </c>
      <c r="AX271" s="1341">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9"/>
      <c r="AV272" s="1341">
        <f t="shared" si="127"/>
        <v>0</v>
      </c>
      <c r="AW272" s="1341">
        <f t="shared" si="128"/>
        <v>0</v>
      </c>
      <c r="AX272" s="1341">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9"/>
      <c r="AV273" s="1341">
        <f t="shared" si="127"/>
        <v>0</v>
      </c>
      <c r="AW273" s="1341">
        <f t="shared" si="128"/>
        <v>0</v>
      </c>
      <c r="AX273" s="1341">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9"/>
      <c r="AV274" s="1341">
        <f t="shared" si="127"/>
        <v>0</v>
      </c>
      <c r="AW274" s="1341">
        <f t="shared" si="128"/>
        <v>0</v>
      </c>
      <c r="AX274" s="1341">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9"/>
      <c r="AV275" s="1341">
        <f t="shared" si="127"/>
        <v>0</v>
      </c>
      <c r="AW275" s="1341">
        <f t="shared" si="128"/>
        <v>0</v>
      </c>
      <c r="AX275" s="1341">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9"/>
      <c r="AV276" s="1341">
        <f t="shared" si="127"/>
        <v>0</v>
      </c>
      <c r="AW276" s="1341">
        <f t="shared" si="128"/>
        <v>0</v>
      </c>
      <c r="AX276" s="1341">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9"/>
      <c r="AV277" s="1341">
        <f t="shared" si="127"/>
        <v>0</v>
      </c>
      <c r="AW277" s="1341">
        <f t="shared" si="128"/>
        <v>0</v>
      </c>
      <c r="AX277" s="1341">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9"/>
      <c r="AV278" s="1341">
        <f t="shared" si="127"/>
        <v>0</v>
      </c>
      <c r="AW278" s="1341">
        <f t="shared" si="128"/>
        <v>0</v>
      </c>
      <c r="AX278" s="1341">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9"/>
      <c r="AV279" s="1341">
        <f t="shared" si="127"/>
        <v>0</v>
      </c>
      <c r="AW279" s="1341">
        <f t="shared" si="128"/>
        <v>0</v>
      </c>
      <c r="AX279" s="1341">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9"/>
      <c r="AV280" s="1341">
        <f t="shared" si="127"/>
        <v>0</v>
      </c>
      <c r="AW280" s="1341">
        <f t="shared" si="128"/>
        <v>0</v>
      </c>
      <c r="AX280" s="1341">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9"/>
      <c r="AV281" s="1341">
        <f t="shared" si="127"/>
        <v>0</v>
      </c>
      <c r="AW281" s="1341">
        <f t="shared" si="128"/>
        <v>0</v>
      </c>
      <c r="AX281" s="1341">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9"/>
      <c r="AV282" s="1341">
        <f t="shared" si="127"/>
        <v>0</v>
      </c>
      <c r="AW282" s="1341">
        <f t="shared" si="128"/>
        <v>0</v>
      </c>
      <c r="AX282" s="1341">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9"/>
      <c r="AV283" s="1341">
        <f t="shared" si="127"/>
        <v>0</v>
      </c>
      <c r="AW283" s="1341">
        <f t="shared" si="128"/>
        <v>0</v>
      </c>
      <c r="AX283" s="1341">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9"/>
      <c r="AV284" s="1341">
        <f t="shared" si="127"/>
        <v>0</v>
      </c>
      <c r="AW284" s="1341">
        <f t="shared" si="128"/>
        <v>0</v>
      </c>
      <c r="AX284" s="1341">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9"/>
      <c r="AV285" s="1341">
        <f t="shared" si="127"/>
        <v>0</v>
      </c>
      <c r="AW285" s="1341">
        <f t="shared" si="128"/>
        <v>0</v>
      </c>
      <c r="AX285" s="1341">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9"/>
      <c r="AV286" s="1341">
        <f t="shared" si="127"/>
        <v>0</v>
      </c>
      <c r="AW286" s="1341">
        <f t="shared" si="128"/>
        <v>0</v>
      </c>
      <c r="AX286" s="1341">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9"/>
      <c r="AV287" s="1341">
        <f t="shared" si="127"/>
        <v>0</v>
      </c>
      <c r="AW287" s="1341">
        <f t="shared" si="128"/>
        <v>0</v>
      </c>
      <c r="AX287" s="1341">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9"/>
      <c r="AV288" s="1341">
        <f t="shared" si="127"/>
        <v>0</v>
      </c>
      <c r="AW288" s="1341">
        <f t="shared" si="128"/>
        <v>0</v>
      </c>
      <c r="AX288" s="1341">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9"/>
      <c r="AV289" s="1341">
        <f t="shared" si="127"/>
        <v>0</v>
      </c>
      <c r="AW289" s="1341">
        <f t="shared" si="128"/>
        <v>0</v>
      </c>
      <c r="AX289" s="1341">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9"/>
      <c r="AV290" s="1341">
        <f t="shared" si="127"/>
        <v>0</v>
      </c>
      <c r="AW290" s="1341">
        <f t="shared" si="128"/>
        <v>0</v>
      </c>
      <c r="AX290" s="1341">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9"/>
      <c r="AV291" s="1341">
        <f t="shared" si="127"/>
        <v>0</v>
      </c>
      <c r="AW291" s="1341">
        <f t="shared" si="128"/>
        <v>0</v>
      </c>
      <c r="AX291" s="1341">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9"/>
      <c r="AV292" s="1341">
        <f t="shared" si="127"/>
        <v>0</v>
      </c>
      <c r="AW292" s="1341">
        <f t="shared" si="128"/>
        <v>0</v>
      </c>
      <c r="AX292" s="1341">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9"/>
      <c r="AV293" s="1341">
        <f t="shared" si="127"/>
        <v>0</v>
      </c>
      <c r="AW293" s="1341">
        <f t="shared" si="128"/>
        <v>0</v>
      </c>
      <c r="AX293" s="1341">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9"/>
      <c r="AV294" s="1341">
        <f t="shared" si="127"/>
        <v>0</v>
      </c>
      <c r="AW294" s="1341">
        <f t="shared" si="128"/>
        <v>0</v>
      </c>
      <c r="AX294" s="1341">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9"/>
      <c r="AV295" s="1341">
        <f t="shared" si="127"/>
        <v>0</v>
      </c>
      <c r="AW295" s="1341">
        <f t="shared" si="128"/>
        <v>0</v>
      </c>
      <c r="AX295" s="1341">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9"/>
      <c r="AV296" s="1341">
        <f t="shared" si="127"/>
        <v>0</v>
      </c>
      <c r="AW296" s="1341">
        <f t="shared" si="128"/>
        <v>0</v>
      </c>
      <c r="AX296" s="1341">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9"/>
      <c r="AV297" s="1341">
        <f t="shared" si="127"/>
        <v>0</v>
      </c>
      <c r="AW297" s="1341">
        <f t="shared" si="128"/>
        <v>0</v>
      </c>
      <c r="AX297" s="1341">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9"/>
      <c r="AV298" s="1341">
        <f t="shared" si="127"/>
        <v>0</v>
      </c>
      <c r="AW298" s="1341">
        <f t="shared" si="128"/>
        <v>0</v>
      </c>
      <c r="AX298" s="1341">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9"/>
      <c r="AV299" s="1341">
        <f t="shared" si="127"/>
        <v>0</v>
      </c>
      <c r="AW299" s="1341">
        <f t="shared" si="128"/>
        <v>0</v>
      </c>
      <c r="AX299" s="1341">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8"/>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9"/>
      <c r="AV300" s="1341">
        <f t="shared" si="127"/>
        <v>0</v>
      </c>
      <c r="AW300" s="1341">
        <f t="shared" si="128"/>
        <v>0</v>
      </c>
      <c r="AX300" s="1341">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8"/>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9"/>
      <c r="AV301" s="1341">
        <f t="shared" si="127"/>
        <v>0</v>
      </c>
      <c r="AW301" s="1341">
        <f t="shared" si="128"/>
        <v>0</v>
      </c>
      <c r="AX301" s="1341">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8"/>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9"/>
      <c r="AV302" s="1341">
        <f t="shared" si="127"/>
        <v>0</v>
      </c>
      <c r="AW302" s="1341">
        <f t="shared" si="128"/>
        <v>0</v>
      </c>
      <c r="AX302" s="1341">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9"/>
      <c r="AV303" s="1341">
        <f t="shared" ref="AV303:AV334" si="178">A303</f>
        <v>0</v>
      </c>
      <c r="AW303" s="1341">
        <f t="shared" ref="AW303:AW334" si="179">B303</f>
        <v>0</v>
      </c>
      <c r="AX303" s="1341">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9"/>
      <c r="AV304" s="1341">
        <f t="shared" si="178"/>
        <v>0</v>
      </c>
      <c r="AW304" s="1341">
        <f t="shared" si="179"/>
        <v>0</v>
      </c>
      <c r="AX304" s="1341">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9"/>
      <c r="AV305" s="1341">
        <f t="shared" si="178"/>
        <v>0</v>
      </c>
      <c r="AW305" s="1341">
        <f t="shared" si="179"/>
        <v>0</v>
      </c>
      <c r="AX305" s="1341">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9"/>
      <c r="AV306" s="1341">
        <f t="shared" si="178"/>
        <v>0</v>
      </c>
      <c r="AW306" s="1341">
        <f t="shared" si="179"/>
        <v>0</v>
      </c>
      <c r="AX306" s="1341">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9"/>
      <c r="AV307" s="1341">
        <f t="shared" si="178"/>
        <v>0</v>
      </c>
      <c r="AW307" s="1341">
        <f t="shared" si="179"/>
        <v>0</v>
      </c>
      <c r="AX307" s="1341">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9"/>
      <c r="AV308" s="1341">
        <f t="shared" si="178"/>
        <v>0</v>
      </c>
      <c r="AW308" s="1341">
        <f t="shared" si="179"/>
        <v>0</v>
      </c>
      <c r="AX308" s="1341">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9"/>
      <c r="AV309" s="1341">
        <f t="shared" si="178"/>
        <v>0</v>
      </c>
      <c r="AW309" s="1341">
        <f t="shared" si="179"/>
        <v>0</v>
      </c>
      <c r="AX309" s="1341">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9"/>
      <c r="AV310" s="1341">
        <f t="shared" si="178"/>
        <v>0</v>
      </c>
      <c r="AW310" s="1341">
        <f t="shared" si="179"/>
        <v>0</v>
      </c>
      <c r="AX310" s="1341">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9"/>
      <c r="AV311" s="1341">
        <f t="shared" si="178"/>
        <v>0</v>
      </c>
      <c r="AW311" s="1341">
        <f t="shared" si="179"/>
        <v>0</v>
      </c>
      <c r="AX311" s="1341">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9"/>
      <c r="AV312" s="1341">
        <f t="shared" si="178"/>
        <v>0</v>
      </c>
      <c r="AW312" s="1341">
        <f t="shared" si="179"/>
        <v>0</v>
      </c>
      <c r="AX312" s="1341">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9"/>
      <c r="AV313" s="1341">
        <f t="shared" si="178"/>
        <v>0</v>
      </c>
      <c r="AW313" s="1341">
        <f t="shared" si="179"/>
        <v>0</v>
      </c>
      <c r="AX313" s="1341">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9"/>
      <c r="AV314" s="1341">
        <f t="shared" si="178"/>
        <v>0</v>
      </c>
      <c r="AW314" s="1341">
        <f t="shared" si="179"/>
        <v>0</v>
      </c>
      <c r="AX314" s="1341">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9"/>
      <c r="AV315" s="1341">
        <f t="shared" si="178"/>
        <v>0</v>
      </c>
      <c r="AW315" s="1341">
        <f t="shared" si="179"/>
        <v>0</v>
      </c>
      <c r="AX315" s="1341">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9"/>
      <c r="AV316" s="1341">
        <f t="shared" si="178"/>
        <v>0</v>
      </c>
      <c r="AW316" s="1341">
        <f t="shared" si="179"/>
        <v>0</v>
      </c>
      <c r="AX316" s="1341">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9"/>
      <c r="AV317" s="1341">
        <f t="shared" si="178"/>
        <v>0</v>
      </c>
      <c r="AW317" s="1341">
        <f t="shared" si="179"/>
        <v>0</v>
      </c>
      <c r="AX317" s="1341">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9"/>
      <c r="AV318" s="1341">
        <f t="shared" si="178"/>
        <v>0</v>
      </c>
      <c r="AW318" s="1341">
        <f t="shared" si="179"/>
        <v>0</v>
      </c>
      <c r="AX318" s="1341">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9"/>
      <c r="AV319" s="1341">
        <f t="shared" si="178"/>
        <v>0</v>
      </c>
      <c r="AW319" s="1341">
        <f t="shared" si="179"/>
        <v>0</v>
      </c>
      <c r="AX319" s="1341">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9"/>
      <c r="AV320" s="1341">
        <f t="shared" si="178"/>
        <v>0</v>
      </c>
      <c r="AW320" s="1341">
        <f t="shared" si="179"/>
        <v>0</v>
      </c>
      <c r="AX320" s="1341">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9"/>
      <c r="AV321" s="1341">
        <f t="shared" si="178"/>
        <v>0</v>
      </c>
      <c r="AW321" s="1341">
        <f t="shared" si="179"/>
        <v>0</v>
      </c>
      <c r="AX321" s="1341">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9"/>
      <c r="AV322" s="1341">
        <f t="shared" si="178"/>
        <v>0</v>
      </c>
      <c r="AW322" s="1341">
        <f t="shared" si="179"/>
        <v>0</v>
      </c>
      <c r="AX322" s="1341">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9"/>
      <c r="AV323" s="1341">
        <f t="shared" si="178"/>
        <v>0</v>
      </c>
      <c r="AW323" s="1341">
        <f t="shared" si="179"/>
        <v>0</v>
      </c>
      <c r="AX323" s="1341">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9"/>
      <c r="AV324" s="1341">
        <f t="shared" si="178"/>
        <v>0</v>
      </c>
      <c r="AW324" s="1341">
        <f t="shared" si="179"/>
        <v>0</v>
      </c>
      <c r="AX324" s="1341">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9"/>
      <c r="AV325" s="1341">
        <f t="shared" si="178"/>
        <v>0</v>
      </c>
      <c r="AW325" s="1341">
        <f t="shared" si="179"/>
        <v>0</v>
      </c>
      <c r="AX325" s="1341">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9"/>
      <c r="AV326" s="1341">
        <f t="shared" si="178"/>
        <v>0</v>
      </c>
      <c r="AW326" s="1341">
        <f t="shared" si="179"/>
        <v>0</v>
      </c>
      <c r="AX326" s="1341">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9"/>
      <c r="AV327" s="1341">
        <f t="shared" si="178"/>
        <v>0</v>
      </c>
      <c r="AW327" s="1341">
        <f t="shared" si="179"/>
        <v>0</v>
      </c>
      <c r="AX327" s="1341">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9"/>
      <c r="AV328" s="1341">
        <f t="shared" si="178"/>
        <v>0</v>
      </c>
      <c r="AW328" s="1341">
        <f t="shared" si="179"/>
        <v>0</v>
      </c>
      <c r="AX328" s="1341">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9"/>
      <c r="AV329" s="1341">
        <f t="shared" si="178"/>
        <v>0</v>
      </c>
      <c r="AW329" s="1341">
        <f t="shared" si="179"/>
        <v>0</v>
      </c>
      <c r="AX329" s="1341">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9"/>
      <c r="AV330" s="1341">
        <f t="shared" si="178"/>
        <v>0</v>
      </c>
      <c r="AW330" s="1341">
        <f t="shared" si="179"/>
        <v>0</v>
      </c>
      <c r="AX330" s="1341">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9"/>
      <c r="AV331" s="1341">
        <f t="shared" si="178"/>
        <v>0</v>
      </c>
      <c r="AW331" s="1341">
        <f t="shared" si="179"/>
        <v>0</v>
      </c>
      <c r="AX331" s="1341">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9"/>
      <c r="AV332" s="1341">
        <f t="shared" si="178"/>
        <v>0</v>
      </c>
      <c r="AW332" s="1341">
        <f t="shared" si="179"/>
        <v>0</v>
      </c>
      <c r="AX332" s="1341">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9"/>
      <c r="AV333" s="1341">
        <f t="shared" si="178"/>
        <v>0</v>
      </c>
      <c r="AW333" s="1341">
        <f t="shared" si="179"/>
        <v>0</v>
      </c>
      <c r="AX333" s="1341">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9"/>
      <c r="AV334" s="1341">
        <f t="shared" si="178"/>
        <v>0</v>
      </c>
      <c r="AW334" s="1341">
        <f t="shared" si="179"/>
        <v>0</v>
      </c>
      <c r="AX334" s="1341">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9"/>
      <c r="AV335" s="1341">
        <f t="shared" ref="AV335:AV366" si="207">A335</f>
        <v>0</v>
      </c>
      <c r="AW335" s="1341">
        <f t="shared" ref="AW335:AW366" si="208">B335</f>
        <v>0</v>
      </c>
      <c r="AX335" s="1341">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9"/>
      <c r="AV336" s="1341">
        <f t="shared" si="207"/>
        <v>0</v>
      </c>
      <c r="AW336" s="1341">
        <f t="shared" si="208"/>
        <v>0</v>
      </c>
      <c r="AX336" s="1341">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9"/>
      <c r="AV337" s="1341">
        <f t="shared" si="207"/>
        <v>0</v>
      </c>
      <c r="AW337" s="1341">
        <f t="shared" si="208"/>
        <v>0</v>
      </c>
      <c r="AX337" s="1341">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9"/>
      <c r="AV338" s="1341">
        <f t="shared" si="207"/>
        <v>0</v>
      </c>
      <c r="AW338" s="1341">
        <f t="shared" si="208"/>
        <v>0</v>
      </c>
      <c r="AX338" s="1341">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9"/>
      <c r="AV339" s="1341">
        <f t="shared" si="207"/>
        <v>0</v>
      </c>
      <c r="AW339" s="1341">
        <f t="shared" si="208"/>
        <v>0</v>
      </c>
      <c r="AX339" s="1341">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9"/>
      <c r="AV340" s="1341">
        <f t="shared" si="207"/>
        <v>0</v>
      </c>
      <c r="AW340" s="1341">
        <f t="shared" si="208"/>
        <v>0</v>
      </c>
      <c r="AX340" s="1341">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9"/>
      <c r="AV341" s="1341">
        <f t="shared" si="207"/>
        <v>0</v>
      </c>
      <c r="AW341" s="1341">
        <f t="shared" si="208"/>
        <v>0</v>
      </c>
      <c r="AX341" s="1341">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9"/>
      <c r="AV342" s="1341">
        <f t="shared" si="207"/>
        <v>0</v>
      </c>
      <c r="AW342" s="1341">
        <f t="shared" si="208"/>
        <v>0</v>
      </c>
      <c r="AX342" s="1341">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9"/>
      <c r="AV343" s="1341">
        <f t="shared" si="207"/>
        <v>0</v>
      </c>
      <c r="AW343" s="1341">
        <f t="shared" si="208"/>
        <v>0</v>
      </c>
      <c r="AX343" s="1341">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9"/>
      <c r="AV344" s="1341">
        <f t="shared" si="207"/>
        <v>0</v>
      </c>
      <c r="AW344" s="1341">
        <f t="shared" si="208"/>
        <v>0</v>
      </c>
      <c r="AX344" s="1341">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9"/>
      <c r="AV345" s="1341">
        <f t="shared" si="207"/>
        <v>0</v>
      </c>
      <c r="AW345" s="1341">
        <f t="shared" si="208"/>
        <v>0</v>
      </c>
      <c r="AX345" s="1341">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9"/>
      <c r="AV346" s="1341">
        <f t="shared" si="207"/>
        <v>0</v>
      </c>
      <c r="AW346" s="1341">
        <f t="shared" si="208"/>
        <v>0</v>
      </c>
      <c r="AX346" s="1341">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9"/>
      <c r="AV347" s="1341">
        <f t="shared" si="207"/>
        <v>0</v>
      </c>
      <c r="AW347" s="1341">
        <f t="shared" si="208"/>
        <v>0</v>
      </c>
      <c r="AX347" s="1341">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9"/>
      <c r="AV348" s="1341">
        <f t="shared" si="207"/>
        <v>0</v>
      </c>
      <c r="AW348" s="1341">
        <f t="shared" si="208"/>
        <v>0</v>
      </c>
      <c r="AX348" s="1341">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9"/>
      <c r="AV349" s="1341">
        <f t="shared" si="207"/>
        <v>0</v>
      </c>
      <c r="AW349" s="1341">
        <f t="shared" si="208"/>
        <v>0</v>
      </c>
      <c r="AX349" s="1341">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9"/>
      <c r="AV350" s="1341">
        <f t="shared" si="207"/>
        <v>0</v>
      </c>
      <c r="AW350" s="1341">
        <f t="shared" si="208"/>
        <v>0</v>
      </c>
      <c r="AX350" s="1341">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9"/>
      <c r="AV351" s="1341">
        <f t="shared" si="207"/>
        <v>0</v>
      </c>
      <c r="AW351" s="1341">
        <f t="shared" si="208"/>
        <v>0</v>
      </c>
      <c r="AX351" s="1341">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9"/>
      <c r="AV352" s="1341">
        <f t="shared" si="207"/>
        <v>0</v>
      </c>
      <c r="AW352" s="1341">
        <f t="shared" si="208"/>
        <v>0</v>
      </c>
      <c r="AX352" s="1341">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9"/>
      <c r="AV353" s="1341">
        <f t="shared" si="207"/>
        <v>0</v>
      </c>
      <c r="AW353" s="1341">
        <f t="shared" si="208"/>
        <v>0</v>
      </c>
      <c r="AX353" s="1341">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9"/>
      <c r="AV354" s="1341">
        <f t="shared" si="207"/>
        <v>0</v>
      </c>
      <c r="AW354" s="1341">
        <f t="shared" si="208"/>
        <v>0</v>
      </c>
      <c r="AX354" s="1341">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9"/>
      <c r="AV355" s="1341">
        <f t="shared" si="207"/>
        <v>0</v>
      </c>
      <c r="AW355" s="1341">
        <f t="shared" si="208"/>
        <v>0</v>
      </c>
      <c r="AX355" s="1341">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9"/>
      <c r="AV356" s="1341">
        <f t="shared" si="207"/>
        <v>0</v>
      </c>
      <c r="AW356" s="1341">
        <f t="shared" si="208"/>
        <v>0</v>
      </c>
      <c r="AX356" s="1341">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9"/>
      <c r="AV357" s="1341">
        <f t="shared" si="207"/>
        <v>0</v>
      </c>
      <c r="AW357" s="1341">
        <f t="shared" si="208"/>
        <v>0</v>
      </c>
      <c r="AX357" s="1341">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9"/>
      <c r="AV358" s="1341">
        <f t="shared" si="207"/>
        <v>0</v>
      </c>
      <c r="AW358" s="1341">
        <f t="shared" si="208"/>
        <v>0</v>
      </c>
      <c r="AX358" s="1341">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9"/>
      <c r="AV359" s="1341">
        <f t="shared" si="207"/>
        <v>0</v>
      </c>
      <c r="AW359" s="1341">
        <f t="shared" si="208"/>
        <v>0</v>
      </c>
      <c r="AX359" s="1341">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9"/>
      <c r="AV360" s="1341">
        <f t="shared" si="207"/>
        <v>0</v>
      </c>
      <c r="AW360" s="1341">
        <f t="shared" si="208"/>
        <v>0</v>
      </c>
      <c r="AX360" s="1341">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9"/>
      <c r="AV361" s="1341">
        <f t="shared" si="207"/>
        <v>0</v>
      </c>
      <c r="AW361" s="1341">
        <f t="shared" si="208"/>
        <v>0</v>
      </c>
      <c r="AX361" s="1341">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9"/>
      <c r="AV362" s="1341">
        <f t="shared" si="207"/>
        <v>0</v>
      </c>
      <c r="AW362" s="1341">
        <f t="shared" si="208"/>
        <v>0</v>
      </c>
      <c r="AX362" s="1341">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9"/>
      <c r="AV363" s="1341">
        <f t="shared" si="207"/>
        <v>0</v>
      </c>
      <c r="AW363" s="1341">
        <f t="shared" si="208"/>
        <v>0</v>
      </c>
      <c r="AX363" s="1341">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9"/>
      <c r="AV364" s="1341">
        <f t="shared" si="207"/>
        <v>0</v>
      </c>
      <c r="AW364" s="1341">
        <f t="shared" si="208"/>
        <v>0</v>
      </c>
      <c r="AX364" s="1341">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9"/>
      <c r="AV365" s="1341">
        <f t="shared" si="207"/>
        <v>0</v>
      </c>
      <c r="AW365" s="1341">
        <f t="shared" si="208"/>
        <v>0</v>
      </c>
      <c r="AX365" s="1341">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9"/>
      <c r="AV366" s="1341">
        <f t="shared" si="207"/>
        <v>0</v>
      </c>
      <c r="AW366" s="1341">
        <f t="shared" si="208"/>
        <v>0</v>
      </c>
      <c r="AX366" s="1341">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9"/>
      <c r="AV367" s="1341">
        <f t="shared" ref="AV367:AV397" si="236">A367</f>
        <v>0</v>
      </c>
      <c r="AW367" s="1341">
        <f t="shared" ref="AW367:AW397" si="237">B367</f>
        <v>0</v>
      </c>
      <c r="AX367" s="1341">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9"/>
      <c r="AV368" s="1341">
        <f t="shared" si="236"/>
        <v>0</v>
      </c>
      <c r="AW368" s="1341">
        <f t="shared" si="237"/>
        <v>0</v>
      </c>
      <c r="AX368" s="1341">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9"/>
      <c r="AV369" s="1341">
        <f t="shared" si="236"/>
        <v>0</v>
      </c>
      <c r="AW369" s="1341">
        <f t="shared" si="237"/>
        <v>0</v>
      </c>
      <c r="AX369" s="1341">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9"/>
      <c r="AV370" s="1341">
        <f t="shared" si="236"/>
        <v>0</v>
      </c>
      <c r="AW370" s="1341">
        <f t="shared" si="237"/>
        <v>0</v>
      </c>
      <c r="AX370" s="1341">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9"/>
      <c r="AV371" s="1341">
        <f t="shared" si="236"/>
        <v>0</v>
      </c>
      <c r="AW371" s="1341">
        <f t="shared" si="237"/>
        <v>0</v>
      </c>
      <c r="AX371" s="1341">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9"/>
      <c r="AV372" s="1341">
        <f t="shared" si="236"/>
        <v>0</v>
      </c>
      <c r="AW372" s="1341">
        <f t="shared" si="237"/>
        <v>0</v>
      </c>
      <c r="AX372" s="1341">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9"/>
      <c r="AV373" s="1341">
        <f t="shared" si="236"/>
        <v>0</v>
      </c>
      <c r="AW373" s="1341">
        <f t="shared" si="237"/>
        <v>0</v>
      </c>
      <c r="AX373" s="1341">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9"/>
      <c r="AV374" s="1341">
        <f t="shared" si="236"/>
        <v>0</v>
      </c>
      <c r="AW374" s="1341">
        <f t="shared" si="237"/>
        <v>0</v>
      </c>
      <c r="AX374" s="1341">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9"/>
      <c r="AV375" s="1341">
        <f t="shared" si="236"/>
        <v>0</v>
      </c>
      <c r="AW375" s="1341">
        <f t="shared" si="237"/>
        <v>0</v>
      </c>
      <c r="AX375" s="1341">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9"/>
      <c r="AV376" s="1341">
        <f t="shared" si="236"/>
        <v>0</v>
      </c>
      <c r="AW376" s="1341">
        <f t="shared" si="237"/>
        <v>0</v>
      </c>
      <c r="AX376" s="1341">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9"/>
      <c r="AV377" s="1341">
        <f t="shared" si="236"/>
        <v>0</v>
      </c>
      <c r="AW377" s="1341">
        <f t="shared" si="237"/>
        <v>0</v>
      </c>
      <c r="AX377" s="1341">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9"/>
      <c r="AV378" s="1341">
        <f t="shared" si="236"/>
        <v>0</v>
      </c>
      <c r="AW378" s="1341">
        <f t="shared" si="237"/>
        <v>0</v>
      </c>
      <c r="AX378" s="1341">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9"/>
      <c r="AV379" s="1341">
        <f t="shared" si="236"/>
        <v>0</v>
      </c>
      <c r="AW379" s="1341">
        <f t="shared" si="237"/>
        <v>0</v>
      </c>
      <c r="AX379" s="1341">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9"/>
      <c r="AV380" s="1341">
        <f t="shared" si="236"/>
        <v>0</v>
      </c>
      <c r="AW380" s="1341">
        <f t="shared" si="237"/>
        <v>0</v>
      </c>
      <c r="AX380" s="1341">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9"/>
      <c r="AV381" s="1341">
        <f t="shared" si="236"/>
        <v>0</v>
      </c>
      <c r="AW381" s="1341">
        <f t="shared" si="237"/>
        <v>0</v>
      </c>
      <c r="AX381" s="1341">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9"/>
      <c r="AV382" s="1341">
        <f t="shared" si="236"/>
        <v>0</v>
      </c>
      <c r="AW382" s="1341">
        <f t="shared" si="237"/>
        <v>0</v>
      </c>
      <c r="AX382" s="1341">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9"/>
      <c r="AV383" s="1341">
        <f t="shared" si="236"/>
        <v>0</v>
      </c>
      <c r="AW383" s="1341">
        <f t="shared" si="237"/>
        <v>0</v>
      </c>
      <c r="AX383" s="1341">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9"/>
      <c r="AV384" s="1341">
        <f t="shared" si="236"/>
        <v>0</v>
      </c>
      <c r="AW384" s="1341">
        <f t="shared" si="237"/>
        <v>0</v>
      </c>
      <c r="AX384" s="1341">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9"/>
      <c r="AV385" s="1341">
        <f t="shared" si="236"/>
        <v>0</v>
      </c>
      <c r="AW385" s="1341">
        <f t="shared" si="237"/>
        <v>0</v>
      </c>
      <c r="AX385" s="1341">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9"/>
      <c r="AV386" s="1341">
        <f t="shared" si="236"/>
        <v>0</v>
      </c>
      <c r="AW386" s="1341">
        <f t="shared" si="237"/>
        <v>0</v>
      </c>
      <c r="AX386" s="1341">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9"/>
      <c r="AV387" s="1341">
        <f t="shared" si="236"/>
        <v>0</v>
      </c>
      <c r="AW387" s="1341">
        <f t="shared" si="237"/>
        <v>0</v>
      </c>
      <c r="AX387" s="1341">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9"/>
      <c r="AV388" s="1341">
        <f t="shared" si="236"/>
        <v>0</v>
      </c>
      <c r="AW388" s="1341">
        <f t="shared" si="237"/>
        <v>0</v>
      </c>
      <c r="AX388" s="1341">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9"/>
      <c r="AV389" s="1341">
        <f t="shared" si="236"/>
        <v>0</v>
      </c>
      <c r="AW389" s="1341">
        <f t="shared" si="237"/>
        <v>0</v>
      </c>
      <c r="AX389" s="1341">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9"/>
      <c r="AV390" s="1341">
        <f t="shared" si="236"/>
        <v>0</v>
      </c>
      <c r="AW390" s="1341">
        <f t="shared" si="237"/>
        <v>0</v>
      </c>
      <c r="AX390" s="1341">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9"/>
      <c r="AV391" s="1341">
        <f t="shared" si="236"/>
        <v>0</v>
      </c>
      <c r="AW391" s="1341">
        <f t="shared" si="237"/>
        <v>0</v>
      </c>
      <c r="AX391" s="1341">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9"/>
      <c r="AV392" s="1341">
        <f t="shared" si="236"/>
        <v>0</v>
      </c>
      <c r="AW392" s="1341">
        <f t="shared" si="237"/>
        <v>0</v>
      </c>
      <c r="AX392" s="1341">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9"/>
      <c r="AV393" s="1341">
        <f t="shared" si="236"/>
        <v>0</v>
      </c>
      <c r="AW393" s="1341">
        <f t="shared" si="237"/>
        <v>0</v>
      </c>
      <c r="AX393" s="1341">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9"/>
      <c r="AV394" s="1341">
        <f t="shared" si="236"/>
        <v>0</v>
      </c>
      <c r="AW394" s="1341">
        <f t="shared" si="237"/>
        <v>0</v>
      </c>
      <c r="AX394" s="1341">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8"/>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9"/>
      <c r="AV395" s="1341">
        <f t="shared" si="236"/>
        <v>0</v>
      </c>
      <c r="AW395" s="1341">
        <f t="shared" si="237"/>
        <v>0</v>
      </c>
      <c r="AX395" s="1341">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8"/>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9"/>
      <c r="AV396" s="1341">
        <f t="shared" si="236"/>
        <v>0</v>
      </c>
      <c r="AW396" s="1341">
        <f t="shared" si="237"/>
        <v>0</v>
      </c>
      <c r="AX396" s="1341">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8"/>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9"/>
      <c r="AV397" s="1341">
        <f t="shared" si="236"/>
        <v>0</v>
      </c>
      <c r="AW397" s="1341">
        <f t="shared" si="237"/>
        <v>0</v>
      </c>
      <c r="AX397" s="1341">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9"/>
      <c r="AV398" s="1341">
        <f t="shared" ref="AV398:AV492" si="243">A398</f>
        <v>0</v>
      </c>
      <c r="AW398" s="1341">
        <f t="shared" ref="AW398:AW492" si="244">B398</f>
        <v>0</v>
      </c>
      <c r="AX398" s="1341">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9"/>
      <c r="AV399" s="1341">
        <f t="shared" si="243"/>
        <v>0</v>
      </c>
      <c r="AW399" s="1341">
        <f t="shared" si="244"/>
        <v>0</v>
      </c>
      <c r="AX399" s="1341">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9"/>
      <c r="AV400" s="1341">
        <f t="shared" si="243"/>
        <v>0</v>
      </c>
      <c r="AW400" s="1341">
        <f t="shared" si="244"/>
        <v>0</v>
      </c>
      <c r="AX400" s="1341">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9"/>
      <c r="AV401" s="1341">
        <f t="shared" si="243"/>
        <v>0</v>
      </c>
      <c r="AW401" s="1341">
        <f t="shared" si="244"/>
        <v>0</v>
      </c>
      <c r="AX401" s="1341">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9"/>
      <c r="AV402" s="1341">
        <f t="shared" si="243"/>
        <v>0</v>
      </c>
      <c r="AW402" s="1341">
        <f t="shared" si="244"/>
        <v>0</v>
      </c>
      <c r="AX402" s="1341">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9"/>
      <c r="AV403" s="1341">
        <f t="shared" si="243"/>
        <v>0</v>
      </c>
      <c r="AW403" s="1341">
        <f t="shared" si="244"/>
        <v>0</v>
      </c>
      <c r="AX403" s="1341">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9"/>
      <c r="AV404" s="1341">
        <f t="shared" si="243"/>
        <v>0</v>
      </c>
      <c r="AW404" s="1341">
        <f t="shared" si="244"/>
        <v>0</v>
      </c>
      <c r="AX404" s="1341">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9"/>
      <c r="AV405" s="1341">
        <f t="shared" si="243"/>
        <v>0</v>
      </c>
      <c r="AW405" s="1341">
        <f t="shared" si="244"/>
        <v>0</v>
      </c>
      <c r="AX405" s="1341">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9"/>
      <c r="AV406" s="1341">
        <f t="shared" si="243"/>
        <v>0</v>
      </c>
      <c r="AW406" s="1341">
        <f t="shared" si="244"/>
        <v>0</v>
      </c>
      <c r="AX406" s="1341">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9"/>
      <c r="AV407" s="1341">
        <f t="shared" si="243"/>
        <v>0</v>
      </c>
      <c r="AW407" s="1341">
        <f t="shared" si="244"/>
        <v>0</v>
      </c>
      <c r="AX407" s="1341">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9"/>
      <c r="AV408" s="1341">
        <f t="shared" si="243"/>
        <v>0</v>
      </c>
      <c r="AW408" s="1341">
        <f t="shared" si="244"/>
        <v>0</v>
      </c>
      <c r="AX408" s="1341">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9"/>
      <c r="AV409" s="1341">
        <f t="shared" si="243"/>
        <v>0</v>
      </c>
      <c r="AW409" s="1341">
        <f t="shared" si="244"/>
        <v>0</v>
      </c>
      <c r="AX409" s="1341">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9"/>
      <c r="AV410" s="1341">
        <f t="shared" si="243"/>
        <v>0</v>
      </c>
      <c r="AW410" s="1341">
        <f t="shared" si="244"/>
        <v>0</v>
      </c>
      <c r="AX410" s="1341">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9"/>
      <c r="AV411" s="1341">
        <f t="shared" si="243"/>
        <v>0</v>
      </c>
      <c r="AW411" s="1341">
        <f t="shared" si="244"/>
        <v>0</v>
      </c>
      <c r="AX411" s="1341">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9"/>
      <c r="AV412" s="1341">
        <f t="shared" si="243"/>
        <v>0</v>
      </c>
      <c r="AW412" s="1341">
        <f t="shared" si="244"/>
        <v>0</v>
      </c>
      <c r="AX412" s="1341">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9"/>
      <c r="AV413" s="1341">
        <f t="shared" si="243"/>
        <v>0</v>
      </c>
      <c r="AW413" s="1341">
        <f t="shared" si="244"/>
        <v>0</v>
      </c>
      <c r="AX413" s="1341">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9"/>
      <c r="AV414" s="1341">
        <f t="shared" si="243"/>
        <v>0</v>
      </c>
      <c r="AW414" s="1341">
        <f t="shared" si="244"/>
        <v>0</v>
      </c>
      <c r="AX414" s="1341">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9"/>
      <c r="AV415" s="1341">
        <f t="shared" si="243"/>
        <v>0</v>
      </c>
      <c r="AW415" s="1341">
        <f t="shared" si="244"/>
        <v>0</v>
      </c>
      <c r="AX415" s="1341">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9"/>
      <c r="AV416" s="1341">
        <f t="shared" si="243"/>
        <v>0</v>
      </c>
      <c r="AW416" s="1341">
        <f t="shared" si="244"/>
        <v>0</v>
      </c>
      <c r="AX416" s="1341">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9"/>
      <c r="AV417" s="1341">
        <f t="shared" si="243"/>
        <v>0</v>
      </c>
      <c r="AW417" s="1341">
        <f t="shared" si="244"/>
        <v>0</v>
      </c>
      <c r="AX417" s="1341">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9"/>
      <c r="AV418" s="1341">
        <f t="shared" si="243"/>
        <v>0</v>
      </c>
      <c r="AW418" s="1341">
        <f t="shared" si="244"/>
        <v>0</v>
      </c>
      <c r="AX418" s="1341">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9"/>
      <c r="AV419" s="1341">
        <f t="shared" si="243"/>
        <v>0</v>
      </c>
      <c r="AW419" s="1341">
        <f t="shared" si="244"/>
        <v>0</v>
      </c>
      <c r="AX419" s="1341">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9"/>
      <c r="AV420" s="1341">
        <f t="shared" si="243"/>
        <v>0</v>
      </c>
      <c r="AW420" s="1341">
        <f t="shared" si="244"/>
        <v>0</v>
      </c>
      <c r="AX420" s="1341">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9"/>
      <c r="AV421" s="1341">
        <f t="shared" si="243"/>
        <v>0</v>
      </c>
      <c r="AW421" s="1341">
        <f t="shared" si="244"/>
        <v>0</v>
      </c>
      <c r="AX421" s="1341">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9"/>
      <c r="AV422" s="1341">
        <f t="shared" si="243"/>
        <v>0</v>
      </c>
      <c r="AW422" s="1341">
        <f t="shared" si="244"/>
        <v>0</v>
      </c>
      <c r="AX422" s="1341">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9"/>
      <c r="AV423" s="1341">
        <f t="shared" si="243"/>
        <v>0</v>
      </c>
      <c r="AW423" s="1341">
        <f t="shared" si="244"/>
        <v>0</v>
      </c>
      <c r="AX423" s="1341">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9"/>
      <c r="AV424" s="1341">
        <f t="shared" si="243"/>
        <v>0</v>
      </c>
      <c r="AW424" s="1341">
        <f t="shared" si="244"/>
        <v>0</v>
      </c>
      <c r="AX424" s="1341">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9"/>
      <c r="AV425" s="1341">
        <f t="shared" si="243"/>
        <v>0</v>
      </c>
      <c r="AW425" s="1341">
        <f t="shared" si="244"/>
        <v>0</v>
      </c>
      <c r="AX425" s="1341">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9"/>
      <c r="AV426" s="1341">
        <f t="shared" si="243"/>
        <v>0</v>
      </c>
      <c r="AW426" s="1341">
        <f t="shared" si="244"/>
        <v>0</v>
      </c>
      <c r="AX426" s="1341">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9"/>
      <c r="AV427" s="1341">
        <f t="shared" si="243"/>
        <v>0</v>
      </c>
      <c r="AW427" s="1341">
        <f t="shared" si="244"/>
        <v>0</v>
      </c>
      <c r="AX427" s="1341">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9"/>
      <c r="AV428" s="1341">
        <f t="shared" si="243"/>
        <v>0</v>
      </c>
      <c r="AW428" s="1341">
        <f t="shared" si="244"/>
        <v>0</v>
      </c>
      <c r="AX428" s="1341">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9"/>
      <c r="AV429" s="1341">
        <f t="shared" si="243"/>
        <v>0</v>
      </c>
      <c r="AW429" s="1341">
        <f t="shared" si="244"/>
        <v>0</v>
      </c>
      <c r="AX429" s="1341">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9"/>
      <c r="AV430" s="1341">
        <f t="shared" si="243"/>
        <v>0</v>
      </c>
      <c r="AW430" s="1341">
        <f t="shared" si="244"/>
        <v>0</v>
      </c>
      <c r="AX430" s="1341">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9"/>
      <c r="AV431" s="1341">
        <f t="shared" si="243"/>
        <v>0</v>
      </c>
      <c r="AW431" s="1341">
        <f t="shared" si="244"/>
        <v>0</v>
      </c>
      <c r="AX431" s="1341">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9"/>
      <c r="AV432" s="1341">
        <f t="shared" si="243"/>
        <v>0</v>
      </c>
      <c r="AW432" s="1341">
        <f t="shared" si="244"/>
        <v>0</v>
      </c>
      <c r="AX432" s="1341">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9"/>
      <c r="AV433" s="1341">
        <f t="shared" si="243"/>
        <v>0</v>
      </c>
      <c r="AW433" s="1341">
        <f t="shared" si="244"/>
        <v>0</v>
      </c>
      <c r="AX433" s="1341">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9"/>
      <c r="AV434" s="1341">
        <f t="shared" si="243"/>
        <v>0</v>
      </c>
      <c r="AW434" s="1341">
        <f t="shared" si="244"/>
        <v>0</v>
      </c>
      <c r="AX434" s="1341">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9"/>
      <c r="AV435" s="1341">
        <f t="shared" si="243"/>
        <v>0</v>
      </c>
      <c r="AW435" s="1341">
        <f t="shared" si="244"/>
        <v>0</v>
      </c>
      <c r="AX435" s="1341">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9"/>
      <c r="AV436" s="1341">
        <f t="shared" si="243"/>
        <v>0</v>
      </c>
      <c r="AW436" s="1341">
        <f t="shared" si="244"/>
        <v>0</v>
      </c>
      <c r="AX436" s="1341">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9"/>
      <c r="AV437" s="1341">
        <f t="shared" si="243"/>
        <v>0</v>
      </c>
      <c r="AW437" s="1341">
        <f t="shared" si="244"/>
        <v>0</v>
      </c>
      <c r="AX437" s="1341">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9"/>
      <c r="AV438" s="1341">
        <f t="shared" si="243"/>
        <v>0</v>
      </c>
      <c r="AW438" s="1341">
        <f t="shared" si="244"/>
        <v>0</v>
      </c>
      <c r="AX438" s="1341">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9"/>
      <c r="AV439" s="1341">
        <f t="shared" si="243"/>
        <v>0</v>
      </c>
      <c r="AW439" s="1341">
        <f t="shared" si="244"/>
        <v>0</v>
      </c>
      <c r="AX439" s="1341">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9"/>
      <c r="AV440" s="1341">
        <f t="shared" si="243"/>
        <v>0</v>
      </c>
      <c r="AW440" s="1341">
        <f t="shared" si="244"/>
        <v>0</v>
      </c>
      <c r="AX440" s="1341">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9"/>
      <c r="AV441" s="1341">
        <f t="shared" si="243"/>
        <v>0</v>
      </c>
      <c r="AW441" s="1341">
        <f t="shared" si="244"/>
        <v>0</v>
      </c>
      <c r="AX441" s="1341">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9"/>
      <c r="AV442" s="1341">
        <f t="shared" si="243"/>
        <v>0</v>
      </c>
      <c r="AW442" s="1341">
        <f t="shared" si="244"/>
        <v>0</v>
      </c>
      <c r="AX442" s="1341">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9"/>
      <c r="AV443" s="1341">
        <f t="shared" si="243"/>
        <v>0</v>
      </c>
      <c r="AW443" s="1341">
        <f t="shared" si="244"/>
        <v>0</v>
      </c>
      <c r="AX443" s="1341">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9"/>
      <c r="AV444" s="1341">
        <f t="shared" si="243"/>
        <v>0</v>
      </c>
      <c r="AW444" s="1341">
        <f t="shared" si="244"/>
        <v>0</v>
      </c>
      <c r="AX444" s="1341">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9"/>
      <c r="AV445" s="1341">
        <f t="shared" si="243"/>
        <v>0</v>
      </c>
      <c r="AW445" s="1341">
        <f t="shared" si="244"/>
        <v>0</v>
      </c>
      <c r="AX445" s="1341">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9"/>
      <c r="AV446" s="1341">
        <f t="shared" si="243"/>
        <v>0</v>
      </c>
      <c r="AW446" s="1341">
        <f t="shared" si="244"/>
        <v>0</v>
      </c>
      <c r="AX446" s="1341">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9"/>
      <c r="AV447" s="1341">
        <f t="shared" si="243"/>
        <v>0</v>
      </c>
      <c r="AW447" s="1341">
        <f t="shared" si="244"/>
        <v>0</v>
      </c>
      <c r="AX447" s="1341">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9"/>
      <c r="AV448" s="1341">
        <f t="shared" si="243"/>
        <v>0</v>
      </c>
      <c r="AW448" s="1341">
        <f t="shared" si="244"/>
        <v>0</v>
      </c>
      <c r="AX448" s="1341">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9"/>
      <c r="AV449" s="1341">
        <f t="shared" si="243"/>
        <v>0</v>
      </c>
      <c r="AW449" s="1341">
        <f t="shared" si="244"/>
        <v>0</v>
      </c>
      <c r="AX449" s="1341">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9"/>
      <c r="AV450" s="1341">
        <f t="shared" si="243"/>
        <v>0</v>
      </c>
      <c r="AW450" s="1341">
        <f t="shared" si="244"/>
        <v>0</v>
      </c>
      <c r="AX450" s="1341">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9"/>
      <c r="AV451" s="1341">
        <f t="shared" si="243"/>
        <v>0</v>
      </c>
      <c r="AW451" s="1341">
        <f t="shared" si="244"/>
        <v>0</v>
      </c>
      <c r="AX451" s="1341">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9"/>
      <c r="AV452" s="1341">
        <f t="shared" si="243"/>
        <v>0</v>
      </c>
      <c r="AW452" s="1341">
        <f t="shared" si="244"/>
        <v>0</v>
      </c>
      <c r="AX452" s="1341">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9"/>
      <c r="AV453" s="1341">
        <f t="shared" si="243"/>
        <v>0</v>
      </c>
      <c r="AW453" s="1341">
        <f t="shared" si="244"/>
        <v>0</v>
      </c>
      <c r="AX453" s="1341">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9"/>
      <c r="AV454" s="1341">
        <f t="shared" si="243"/>
        <v>0</v>
      </c>
      <c r="AW454" s="1341">
        <f t="shared" si="244"/>
        <v>0</v>
      </c>
      <c r="AX454" s="1341">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9"/>
      <c r="AV455" s="1341">
        <f t="shared" si="243"/>
        <v>0</v>
      </c>
      <c r="AW455" s="1341">
        <f t="shared" si="244"/>
        <v>0</v>
      </c>
      <c r="AX455" s="1341">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9"/>
      <c r="AV456" s="1341">
        <f t="shared" si="243"/>
        <v>0</v>
      </c>
      <c r="AW456" s="1341">
        <f t="shared" si="244"/>
        <v>0</v>
      </c>
      <c r="AX456" s="1341">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9"/>
      <c r="AV457" s="1341">
        <f t="shared" si="243"/>
        <v>0</v>
      </c>
      <c r="AW457" s="1341">
        <f t="shared" si="244"/>
        <v>0</v>
      </c>
      <c r="AX457" s="1341">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9"/>
      <c r="AV458" s="1341">
        <f t="shared" si="243"/>
        <v>0</v>
      </c>
      <c r="AW458" s="1341">
        <f t="shared" si="244"/>
        <v>0</v>
      </c>
      <c r="AX458" s="1341">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9"/>
      <c r="AV459" s="1341">
        <f t="shared" si="243"/>
        <v>0</v>
      </c>
      <c r="AW459" s="1341">
        <f t="shared" si="244"/>
        <v>0</v>
      </c>
      <c r="AX459" s="1341">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9"/>
      <c r="AV460" s="1341">
        <f t="shared" si="243"/>
        <v>0</v>
      </c>
      <c r="AW460" s="1341">
        <f t="shared" si="244"/>
        <v>0</v>
      </c>
      <c r="AX460" s="1341">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9"/>
      <c r="AV461" s="1341">
        <f t="shared" si="243"/>
        <v>0</v>
      </c>
      <c r="AW461" s="1341">
        <f t="shared" si="244"/>
        <v>0</v>
      </c>
      <c r="AX461" s="1341">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9"/>
      <c r="AV462" s="1341">
        <f t="shared" si="243"/>
        <v>0</v>
      </c>
      <c r="AW462" s="1341">
        <f t="shared" si="244"/>
        <v>0</v>
      </c>
      <c r="AX462" s="1341">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9"/>
      <c r="AV463" s="1341">
        <f t="shared" si="243"/>
        <v>0</v>
      </c>
      <c r="AW463" s="1341">
        <f t="shared" si="244"/>
        <v>0</v>
      </c>
      <c r="AX463" s="1341">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9"/>
      <c r="AV464" s="1341">
        <f t="shared" si="243"/>
        <v>0</v>
      </c>
      <c r="AW464" s="1341">
        <f t="shared" si="244"/>
        <v>0</v>
      </c>
      <c r="AX464" s="1341">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9"/>
      <c r="AV465" s="1341">
        <f t="shared" si="243"/>
        <v>0</v>
      </c>
      <c r="AW465" s="1341">
        <f t="shared" si="244"/>
        <v>0</v>
      </c>
      <c r="AX465" s="1341">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9"/>
      <c r="AV466" s="1341">
        <f t="shared" si="243"/>
        <v>0</v>
      </c>
      <c r="AW466" s="1341">
        <f t="shared" si="244"/>
        <v>0</v>
      </c>
      <c r="AX466" s="1341">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9"/>
      <c r="AV467" s="1341">
        <f t="shared" si="243"/>
        <v>0</v>
      </c>
      <c r="AW467" s="1341">
        <f t="shared" si="244"/>
        <v>0</v>
      </c>
      <c r="AX467" s="1341">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9"/>
      <c r="AV468" s="1341">
        <f t="shared" si="243"/>
        <v>0</v>
      </c>
      <c r="AW468" s="1341">
        <f t="shared" si="244"/>
        <v>0</v>
      </c>
      <c r="AX468" s="1341">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9"/>
      <c r="AV469" s="1341">
        <f t="shared" si="243"/>
        <v>0</v>
      </c>
      <c r="AW469" s="1341">
        <f t="shared" si="244"/>
        <v>0</v>
      </c>
      <c r="AX469" s="1341">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9"/>
      <c r="AV470" s="1341">
        <f t="shared" si="243"/>
        <v>0</v>
      </c>
      <c r="AW470" s="1341">
        <f t="shared" si="244"/>
        <v>0</v>
      </c>
      <c r="AX470" s="1341">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9"/>
      <c r="AV471" s="1341">
        <f t="shared" si="243"/>
        <v>0</v>
      </c>
      <c r="AW471" s="1341">
        <f t="shared" si="244"/>
        <v>0</v>
      </c>
      <c r="AX471" s="1341">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9"/>
      <c r="AV472" s="1341">
        <f t="shared" si="243"/>
        <v>0</v>
      </c>
      <c r="AW472" s="1341">
        <f t="shared" si="244"/>
        <v>0</v>
      </c>
      <c r="AX472" s="1341">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9"/>
      <c r="AV473" s="1341">
        <f t="shared" si="243"/>
        <v>0</v>
      </c>
      <c r="AW473" s="1341">
        <f t="shared" si="244"/>
        <v>0</v>
      </c>
      <c r="AX473" s="1341">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9"/>
      <c r="AV474" s="1341">
        <f t="shared" si="243"/>
        <v>0</v>
      </c>
      <c r="AW474" s="1341">
        <f t="shared" si="244"/>
        <v>0</v>
      </c>
      <c r="AX474" s="1341">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9"/>
      <c r="AV475" s="1341">
        <f t="shared" si="243"/>
        <v>0</v>
      </c>
      <c r="AW475" s="1341">
        <f t="shared" si="244"/>
        <v>0</v>
      </c>
      <c r="AX475" s="1341">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9"/>
      <c r="AV476" s="1341">
        <f t="shared" si="243"/>
        <v>0</v>
      </c>
      <c r="AW476" s="1341">
        <f t="shared" si="244"/>
        <v>0</v>
      </c>
      <c r="AX476" s="1341">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9"/>
      <c r="AV477" s="1341">
        <f t="shared" si="243"/>
        <v>0</v>
      </c>
      <c r="AW477" s="1341">
        <f t="shared" si="244"/>
        <v>0</v>
      </c>
      <c r="AX477" s="1341">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9"/>
      <c r="AV478" s="1341">
        <f t="shared" si="243"/>
        <v>0</v>
      </c>
      <c r="AW478" s="1341">
        <f t="shared" si="244"/>
        <v>0</v>
      </c>
      <c r="AX478" s="1341">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9"/>
      <c r="AV479" s="1341">
        <f t="shared" si="243"/>
        <v>0</v>
      </c>
      <c r="AW479" s="1341">
        <f t="shared" si="244"/>
        <v>0</v>
      </c>
      <c r="AX479" s="1341">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9"/>
      <c r="AV480" s="1341">
        <f t="shared" si="243"/>
        <v>0</v>
      </c>
      <c r="AW480" s="1341">
        <f t="shared" si="244"/>
        <v>0</v>
      </c>
      <c r="AX480" s="1341">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9"/>
      <c r="AV481" s="1341">
        <f t="shared" si="243"/>
        <v>0</v>
      </c>
      <c r="AW481" s="1341">
        <f t="shared" si="244"/>
        <v>0</v>
      </c>
      <c r="AX481" s="1341">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9"/>
      <c r="AV482" s="1341">
        <f t="shared" si="243"/>
        <v>0</v>
      </c>
      <c r="AW482" s="1341">
        <f t="shared" si="244"/>
        <v>0</v>
      </c>
      <c r="AX482" s="1341">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9"/>
      <c r="AV483" s="1341">
        <f t="shared" si="243"/>
        <v>0</v>
      </c>
      <c r="AW483" s="1341">
        <f t="shared" si="244"/>
        <v>0</v>
      </c>
      <c r="AX483" s="1341">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9"/>
      <c r="AV484" s="1341">
        <f t="shared" si="243"/>
        <v>0</v>
      </c>
      <c r="AW484" s="1341">
        <f t="shared" si="244"/>
        <v>0</v>
      </c>
      <c r="AX484" s="1341">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9"/>
      <c r="AV485" s="1341">
        <f t="shared" si="243"/>
        <v>0</v>
      </c>
      <c r="AW485" s="1341">
        <f t="shared" si="244"/>
        <v>0</v>
      </c>
      <c r="AX485" s="1341">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9"/>
      <c r="AV486" s="1341">
        <f t="shared" si="243"/>
        <v>0</v>
      </c>
      <c r="AW486" s="1341">
        <f t="shared" si="244"/>
        <v>0</v>
      </c>
      <c r="AX486" s="1341">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9"/>
      <c r="AV487" s="1341">
        <f t="shared" si="243"/>
        <v>0</v>
      </c>
      <c r="AW487" s="1341">
        <f t="shared" si="244"/>
        <v>0</v>
      </c>
      <c r="AX487" s="1341">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9"/>
      <c r="AV488" s="1341">
        <f t="shared" si="243"/>
        <v>0</v>
      </c>
      <c r="AW488" s="1341">
        <f t="shared" si="244"/>
        <v>0</v>
      </c>
      <c r="AX488" s="1341">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9"/>
      <c r="AV489" s="1341">
        <f t="shared" si="243"/>
        <v>0</v>
      </c>
      <c r="AW489" s="1341">
        <f t="shared" si="244"/>
        <v>0</v>
      </c>
      <c r="AX489" s="1341">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8"/>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9"/>
      <c r="AV490" s="1341">
        <f t="shared" si="243"/>
        <v>0</v>
      </c>
      <c r="AW490" s="1341">
        <f t="shared" si="244"/>
        <v>0</v>
      </c>
      <c r="AX490" s="1341">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8"/>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9"/>
      <c r="AV491" s="1341">
        <f t="shared" si="243"/>
        <v>0</v>
      </c>
      <c r="AW491" s="1341">
        <f t="shared" si="244"/>
        <v>0</v>
      </c>
      <c r="AX491" s="1341">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8"/>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9"/>
      <c r="AV492" s="1341">
        <f t="shared" si="243"/>
        <v>0</v>
      </c>
      <c r="AW492" s="1341">
        <f t="shared" si="244"/>
        <v>0</v>
      </c>
      <c r="AX492" s="1341">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9"/>
      <c r="AV493" s="1341">
        <f t="shared" ref="AV493:AV520" si="294">A493</f>
        <v>0</v>
      </c>
      <c r="AW493" s="1341">
        <f t="shared" ref="AW493:AW520" si="295">B493</f>
        <v>0</v>
      </c>
      <c r="AX493" s="1341">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9"/>
      <c r="AV494" s="1341">
        <f t="shared" si="294"/>
        <v>0</v>
      </c>
      <c r="AW494" s="1341">
        <f t="shared" si="295"/>
        <v>0</v>
      </c>
      <c r="AX494" s="1341">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9"/>
      <c r="AV495" s="1341">
        <f t="shared" si="294"/>
        <v>0</v>
      </c>
      <c r="AW495" s="1341">
        <f t="shared" si="295"/>
        <v>0</v>
      </c>
      <c r="AX495" s="1341">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9"/>
      <c r="AV496" s="1341">
        <f t="shared" si="294"/>
        <v>0</v>
      </c>
      <c r="AW496" s="1341">
        <f t="shared" si="295"/>
        <v>0</v>
      </c>
      <c r="AX496" s="1341">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9"/>
      <c r="AV497" s="1341">
        <f t="shared" si="294"/>
        <v>0</v>
      </c>
      <c r="AW497" s="1341">
        <f t="shared" si="295"/>
        <v>0</v>
      </c>
      <c r="AX497" s="1341">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9"/>
      <c r="AV498" s="1341">
        <f t="shared" si="294"/>
        <v>0</v>
      </c>
      <c r="AW498" s="1341">
        <f t="shared" si="295"/>
        <v>0</v>
      </c>
      <c r="AX498" s="1341">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9"/>
      <c r="AV499" s="1341">
        <f t="shared" si="294"/>
        <v>0</v>
      </c>
      <c r="AW499" s="1341">
        <f t="shared" si="295"/>
        <v>0</v>
      </c>
      <c r="AX499" s="1341">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9"/>
      <c r="AV500" s="1341">
        <f t="shared" si="294"/>
        <v>0</v>
      </c>
      <c r="AW500" s="1341">
        <f t="shared" si="295"/>
        <v>0</v>
      </c>
      <c r="AX500" s="1341">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9"/>
      <c r="AV501" s="1341">
        <f t="shared" si="294"/>
        <v>0</v>
      </c>
      <c r="AW501" s="1341">
        <f t="shared" si="295"/>
        <v>0</v>
      </c>
      <c r="AX501" s="1341">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9"/>
      <c r="AV502" s="1341">
        <f t="shared" si="294"/>
        <v>0</v>
      </c>
      <c r="AW502" s="1341">
        <f t="shared" si="295"/>
        <v>0</v>
      </c>
      <c r="AX502" s="1341">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9"/>
      <c r="AV503" s="1341">
        <f t="shared" si="294"/>
        <v>0</v>
      </c>
      <c r="AW503" s="1341">
        <f t="shared" si="295"/>
        <v>0</v>
      </c>
      <c r="AX503" s="1341">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9"/>
      <c r="AV504" s="1341">
        <f t="shared" si="294"/>
        <v>0</v>
      </c>
      <c r="AW504" s="1341">
        <f t="shared" si="295"/>
        <v>0</v>
      </c>
      <c r="AX504" s="1341">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9"/>
      <c r="AV505" s="1341">
        <f t="shared" si="294"/>
        <v>0</v>
      </c>
      <c r="AW505" s="1341">
        <f t="shared" si="295"/>
        <v>0</v>
      </c>
      <c r="AX505" s="1341">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9"/>
      <c r="AV506" s="1341">
        <f t="shared" si="294"/>
        <v>0</v>
      </c>
      <c r="AW506" s="1341">
        <f t="shared" si="295"/>
        <v>0</v>
      </c>
      <c r="AX506" s="1341">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9"/>
      <c r="AV507" s="1341">
        <f t="shared" si="294"/>
        <v>0</v>
      </c>
      <c r="AW507" s="1341">
        <f t="shared" si="295"/>
        <v>0</v>
      </c>
      <c r="AX507" s="1341">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9"/>
      <c r="AV508" s="1341">
        <f t="shared" si="294"/>
        <v>0</v>
      </c>
      <c r="AW508" s="1341">
        <f t="shared" si="295"/>
        <v>0</v>
      </c>
      <c r="AX508" s="1341">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9"/>
      <c r="AV509" s="1341">
        <f t="shared" si="294"/>
        <v>0</v>
      </c>
      <c r="AW509" s="1341">
        <f t="shared" si="295"/>
        <v>0</v>
      </c>
      <c r="AX509" s="1341">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9"/>
      <c r="AV510" s="1341">
        <f t="shared" si="294"/>
        <v>0</v>
      </c>
      <c r="AW510" s="1341">
        <f t="shared" si="295"/>
        <v>0</v>
      </c>
      <c r="AX510" s="1341">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9"/>
      <c r="AV511" s="1341">
        <f t="shared" si="294"/>
        <v>0</v>
      </c>
      <c r="AW511" s="1341">
        <f t="shared" si="295"/>
        <v>0</v>
      </c>
      <c r="AX511" s="1341">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9"/>
      <c r="AV512" s="1341">
        <f t="shared" si="294"/>
        <v>0</v>
      </c>
      <c r="AW512" s="1341">
        <f t="shared" si="295"/>
        <v>0</v>
      </c>
      <c r="AX512" s="1341">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9"/>
      <c r="AV513" s="1341">
        <f t="shared" si="294"/>
        <v>0</v>
      </c>
      <c r="AW513" s="1341">
        <f t="shared" si="295"/>
        <v>0</v>
      </c>
      <c r="AX513" s="1341">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9"/>
      <c r="AV514" s="1341">
        <f t="shared" si="294"/>
        <v>0</v>
      </c>
      <c r="AW514" s="1341">
        <f t="shared" si="295"/>
        <v>0</v>
      </c>
      <c r="AX514" s="1341">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9"/>
      <c r="AV515" s="1341">
        <f t="shared" si="294"/>
        <v>0</v>
      </c>
      <c r="AW515" s="1341">
        <f t="shared" si="295"/>
        <v>0</v>
      </c>
      <c r="AX515" s="1341">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9"/>
      <c r="AV516" s="1341">
        <f t="shared" si="294"/>
        <v>0</v>
      </c>
      <c r="AW516" s="1341">
        <f t="shared" si="295"/>
        <v>0</v>
      </c>
      <c r="AX516" s="1341">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9"/>
      <c r="AV517" s="1341">
        <f t="shared" si="294"/>
        <v>0</v>
      </c>
      <c r="AW517" s="1341">
        <f t="shared" si="295"/>
        <v>0</v>
      </c>
      <c r="AX517" s="1341">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9"/>
      <c r="AV518" s="1341">
        <f t="shared" si="294"/>
        <v>0</v>
      </c>
      <c r="AW518" s="1341">
        <f t="shared" si="295"/>
        <v>0</v>
      </c>
      <c r="AX518" s="1341">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9"/>
      <c r="AV519" s="1341">
        <f t="shared" si="294"/>
        <v>0</v>
      </c>
      <c r="AW519" s="1341">
        <f t="shared" si="295"/>
        <v>0</v>
      </c>
      <c r="AX519" s="1341">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9"/>
      <c r="AV520" s="1341">
        <f t="shared" si="294"/>
        <v>0</v>
      </c>
      <c r="AW520" s="1341">
        <f t="shared" si="295"/>
        <v>0</v>
      </c>
      <c r="AX520" s="1341">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9"/>
      <c r="AV521" s="1341">
        <f t="shared" ref="AV521:AV552" si="298">A521</f>
        <v>0</v>
      </c>
      <c r="AW521" s="1341">
        <f t="shared" ref="AW521:AW552" si="299">B521</f>
        <v>0</v>
      </c>
      <c r="AX521" s="1341">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9"/>
      <c r="AV522" s="1341">
        <f t="shared" si="298"/>
        <v>0</v>
      </c>
      <c r="AW522" s="1341">
        <f t="shared" si="299"/>
        <v>0</v>
      </c>
      <c r="AX522" s="1341">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9"/>
      <c r="AV523" s="1341">
        <f t="shared" si="298"/>
        <v>0</v>
      </c>
      <c r="AW523" s="1341">
        <f t="shared" si="299"/>
        <v>0</v>
      </c>
      <c r="AX523" s="1341">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9"/>
      <c r="AV524" s="1341">
        <f t="shared" si="298"/>
        <v>0</v>
      </c>
      <c r="AW524" s="1341">
        <f t="shared" si="299"/>
        <v>0</v>
      </c>
      <c r="AX524" s="1341">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9"/>
      <c r="AV525" s="1341">
        <f t="shared" si="298"/>
        <v>0</v>
      </c>
      <c r="AW525" s="1341">
        <f t="shared" si="299"/>
        <v>0</v>
      </c>
      <c r="AX525" s="1341">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9"/>
      <c r="AV526" s="1341">
        <f t="shared" si="298"/>
        <v>0</v>
      </c>
      <c r="AW526" s="1341">
        <f t="shared" si="299"/>
        <v>0</v>
      </c>
      <c r="AX526" s="1341">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9"/>
      <c r="AV527" s="1341">
        <f t="shared" si="298"/>
        <v>0</v>
      </c>
      <c r="AW527" s="1341">
        <f t="shared" si="299"/>
        <v>0</v>
      </c>
      <c r="AX527" s="1341">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9"/>
      <c r="AV528" s="1341">
        <f t="shared" si="298"/>
        <v>0</v>
      </c>
      <c r="AW528" s="1341">
        <f t="shared" si="299"/>
        <v>0</v>
      </c>
      <c r="AX528" s="1341">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9"/>
      <c r="AV529" s="1341">
        <f t="shared" si="298"/>
        <v>0</v>
      </c>
      <c r="AW529" s="1341">
        <f t="shared" si="299"/>
        <v>0</v>
      </c>
      <c r="AX529" s="1341">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9"/>
      <c r="AV530" s="1341">
        <f t="shared" si="298"/>
        <v>0</v>
      </c>
      <c r="AW530" s="1341">
        <f t="shared" si="299"/>
        <v>0</v>
      </c>
      <c r="AX530" s="1341">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9"/>
      <c r="AV531" s="1341">
        <f t="shared" si="298"/>
        <v>0</v>
      </c>
      <c r="AW531" s="1341">
        <f t="shared" si="299"/>
        <v>0</v>
      </c>
      <c r="AX531" s="1341">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9"/>
      <c r="AV532" s="1341">
        <f t="shared" si="298"/>
        <v>0</v>
      </c>
      <c r="AW532" s="1341">
        <f t="shared" si="299"/>
        <v>0</v>
      </c>
      <c r="AX532" s="1341">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9"/>
      <c r="AV533" s="1341">
        <f t="shared" si="298"/>
        <v>0</v>
      </c>
      <c r="AW533" s="1341">
        <f t="shared" si="299"/>
        <v>0</v>
      </c>
      <c r="AX533" s="1341">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9"/>
      <c r="AV534" s="1341">
        <f t="shared" si="298"/>
        <v>0</v>
      </c>
      <c r="AW534" s="1341">
        <f t="shared" si="299"/>
        <v>0</v>
      </c>
      <c r="AX534" s="1341">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9"/>
      <c r="AV535" s="1341">
        <f t="shared" si="298"/>
        <v>0</v>
      </c>
      <c r="AW535" s="1341">
        <f t="shared" si="299"/>
        <v>0</v>
      </c>
      <c r="AX535" s="1341">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9"/>
      <c r="AV536" s="1341">
        <f t="shared" si="298"/>
        <v>0</v>
      </c>
      <c r="AW536" s="1341">
        <f t="shared" si="299"/>
        <v>0</v>
      </c>
      <c r="AX536" s="1341">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9"/>
      <c r="AV537" s="1341">
        <f t="shared" si="298"/>
        <v>0</v>
      </c>
      <c r="AW537" s="1341">
        <f t="shared" si="299"/>
        <v>0</v>
      </c>
      <c r="AX537" s="1341">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9"/>
      <c r="AV538" s="1341">
        <f t="shared" si="298"/>
        <v>0</v>
      </c>
      <c r="AW538" s="1341">
        <f t="shared" si="299"/>
        <v>0</v>
      </c>
      <c r="AX538" s="1341">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9"/>
      <c r="AV539" s="1341">
        <f t="shared" si="298"/>
        <v>0</v>
      </c>
      <c r="AW539" s="1341">
        <f t="shared" si="299"/>
        <v>0</v>
      </c>
      <c r="AX539" s="1341">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9"/>
      <c r="AV540" s="1341">
        <f t="shared" si="298"/>
        <v>0</v>
      </c>
      <c r="AW540" s="1341">
        <f t="shared" si="299"/>
        <v>0</v>
      </c>
      <c r="AX540" s="1341">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9"/>
      <c r="AV541" s="1341">
        <f t="shared" si="298"/>
        <v>0</v>
      </c>
      <c r="AW541" s="1341">
        <f t="shared" si="299"/>
        <v>0</v>
      </c>
      <c r="AX541" s="1341">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9"/>
      <c r="AV542" s="1341">
        <f t="shared" si="298"/>
        <v>0</v>
      </c>
      <c r="AW542" s="1341">
        <f t="shared" si="299"/>
        <v>0</v>
      </c>
      <c r="AX542" s="1341">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9"/>
      <c r="AV543" s="1341">
        <f t="shared" si="298"/>
        <v>0</v>
      </c>
      <c r="AW543" s="1341">
        <f t="shared" si="299"/>
        <v>0</v>
      </c>
      <c r="AX543" s="1341">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9"/>
      <c r="AV544" s="1341">
        <f t="shared" si="298"/>
        <v>0</v>
      </c>
      <c r="AW544" s="1341">
        <f t="shared" si="299"/>
        <v>0</v>
      </c>
      <c r="AX544" s="1341">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9"/>
      <c r="AV545" s="1341">
        <f t="shared" si="298"/>
        <v>0</v>
      </c>
      <c r="AW545" s="1341">
        <f t="shared" si="299"/>
        <v>0</v>
      </c>
      <c r="AX545" s="1341">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9"/>
      <c r="AV546" s="1341">
        <f t="shared" si="298"/>
        <v>0</v>
      </c>
      <c r="AW546" s="1341">
        <f t="shared" si="299"/>
        <v>0</v>
      </c>
      <c r="AX546" s="1341">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9"/>
      <c r="AV547" s="1341">
        <f t="shared" si="298"/>
        <v>0</v>
      </c>
      <c r="AW547" s="1341">
        <f t="shared" si="299"/>
        <v>0</v>
      </c>
      <c r="AX547" s="1341">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9"/>
      <c r="AV548" s="1341">
        <f t="shared" si="298"/>
        <v>0</v>
      </c>
      <c r="AW548" s="1341">
        <f t="shared" si="299"/>
        <v>0</v>
      </c>
      <c r="AX548" s="1341">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9"/>
      <c r="AV549" s="1341">
        <f t="shared" si="298"/>
        <v>0</v>
      </c>
      <c r="AW549" s="1341">
        <f t="shared" si="299"/>
        <v>0</v>
      </c>
      <c r="AX549" s="1341">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9"/>
      <c r="AV550" s="1341">
        <f t="shared" si="298"/>
        <v>0</v>
      </c>
      <c r="AW550" s="1341">
        <f t="shared" si="299"/>
        <v>0</v>
      </c>
      <c r="AX550" s="1341">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9"/>
      <c r="AV551" s="1341">
        <f t="shared" si="298"/>
        <v>0</v>
      </c>
      <c r="AW551" s="1341">
        <f t="shared" si="299"/>
        <v>0</v>
      </c>
      <c r="AX551" s="1341">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9"/>
      <c r="AV552" s="1341">
        <f t="shared" si="298"/>
        <v>0</v>
      </c>
      <c r="AW552" s="1341">
        <f t="shared" si="299"/>
        <v>0</v>
      </c>
      <c r="AX552" s="1341">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9"/>
      <c r="AV553" s="1341">
        <f t="shared" ref="AV553:AV587" si="330">A553</f>
        <v>0</v>
      </c>
      <c r="AW553" s="1341">
        <f t="shared" ref="AW553:AW587" si="331">B553</f>
        <v>0</v>
      </c>
      <c r="AX553" s="1341">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9"/>
      <c r="AV554" s="1341">
        <f t="shared" si="330"/>
        <v>0</v>
      </c>
      <c r="AW554" s="1341">
        <f t="shared" si="331"/>
        <v>0</v>
      </c>
      <c r="AX554" s="1341">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9"/>
      <c r="AV555" s="1341">
        <f t="shared" si="330"/>
        <v>0</v>
      </c>
      <c r="AW555" s="1341">
        <f t="shared" si="331"/>
        <v>0</v>
      </c>
      <c r="AX555" s="1341">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9"/>
      <c r="AV556" s="1341">
        <f t="shared" si="330"/>
        <v>0</v>
      </c>
      <c r="AW556" s="1341">
        <f t="shared" si="331"/>
        <v>0</v>
      </c>
      <c r="AX556" s="1341">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9"/>
      <c r="AV557" s="1341">
        <f t="shared" si="330"/>
        <v>0</v>
      </c>
      <c r="AW557" s="1341">
        <f t="shared" si="331"/>
        <v>0</v>
      </c>
      <c r="AX557" s="1341">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9"/>
      <c r="AV558" s="1341">
        <f t="shared" si="330"/>
        <v>0</v>
      </c>
      <c r="AW558" s="1341">
        <f t="shared" si="331"/>
        <v>0</v>
      </c>
      <c r="AX558" s="1341">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9"/>
      <c r="AV559" s="1341">
        <f t="shared" si="330"/>
        <v>0</v>
      </c>
      <c r="AW559" s="1341">
        <f t="shared" si="331"/>
        <v>0</v>
      </c>
      <c r="AX559" s="1341">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9"/>
      <c r="AV560" s="1341">
        <f t="shared" si="330"/>
        <v>0</v>
      </c>
      <c r="AW560" s="1341">
        <f t="shared" si="331"/>
        <v>0</v>
      </c>
      <c r="AX560" s="1341">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9"/>
      <c r="AV561" s="1341">
        <f t="shared" si="330"/>
        <v>0</v>
      </c>
      <c r="AW561" s="1341">
        <f t="shared" si="331"/>
        <v>0</v>
      </c>
      <c r="AX561" s="1341">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9"/>
      <c r="AV562" s="1341">
        <f t="shared" si="330"/>
        <v>0</v>
      </c>
      <c r="AW562" s="1341">
        <f t="shared" si="331"/>
        <v>0</v>
      </c>
      <c r="AX562" s="1341">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9"/>
      <c r="AV563" s="1341">
        <f t="shared" si="330"/>
        <v>0</v>
      </c>
      <c r="AW563" s="1341">
        <f t="shared" si="331"/>
        <v>0</v>
      </c>
      <c r="AX563" s="1341">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9"/>
      <c r="AV564" s="1341">
        <f t="shared" si="330"/>
        <v>0</v>
      </c>
      <c r="AW564" s="1341">
        <f t="shared" si="331"/>
        <v>0</v>
      </c>
      <c r="AX564" s="1341">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9"/>
      <c r="AV565" s="1341">
        <f t="shared" si="330"/>
        <v>0</v>
      </c>
      <c r="AW565" s="1341">
        <f t="shared" si="331"/>
        <v>0</v>
      </c>
      <c r="AX565" s="1341">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9"/>
      <c r="AV566" s="1341">
        <f t="shared" si="330"/>
        <v>0</v>
      </c>
      <c r="AW566" s="1341">
        <f t="shared" si="331"/>
        <v>0</v>
      </c>
      <c r="AX566" s="1341">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9"/>
      <c r="AV567" s="1341">
        <f t="shared" si="330"/>
        <v>0</v>
      </c>
      <c r="AW567" s="1341">
        <f t="shared" si="331"/>
        <v>0</v>
      </c>
      <c r="AX567" s="1341">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9"/>
      <c r="AV568" s="1341">
        <f t="shared" si="330"/>
        <v>0</v>
      </c>
      <c r="AW568" s="1341">
        <f t="shared" si="331"/>
        <v>0</v>
      </c>
      <c r="AX568" s="1341">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9"/>
      <c r="AV569" s="1341">
        <f t="shared" si="330"/>
        <v>0</v>
      </c>
      <c r="AW569" s="1341">
        <f t="shared" si="331"/>
        <v>0</v>
      </c>
      <c r="AX569" s="1341">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9"/>
      <c r="AV570" s="1341">
        <f t="shared" si="330"/>
        <v>0</v>
      </c>
      <c r="AW570" s="1341">
        <f t="shared" si="331"/>
        <v>0</v>
      </c>
      <c r="AX570" s="1341">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9"/>
      <c r="AV571" s="1341">
        <f t="shared" si="330"/>
        <v>0</v>
      </c>
      <c r="AW571" s="1341">
        <f t="shared" si="331"/>
        <v>0</v>
      </c>
      <c r="AX571" s="1341">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9"/>
      <c r="AV572" s="1341">
        <f t="shared" si="330"/>
        <v>0</v>
      </c>
      <c r="AW572" s="1341">
        <f t="shared" si="331"/>
        <v>0</v>
      </c>
      <c r="AX572" s="1341">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9"/>
      <c r="AV573" s="1341">
        <f t="shared" si="330"/>
        <v>0</v>
      </c>
      <c r="AW573" s="1341">
        <f t="shared" si="331"/>
        <v>0</v>
      </c>
      <c r="AX573" s="1341">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9"/>
      <c r="AV574" s="1341">
        <f t="shared" si="330"/>
        <v>0</v>
      </c>
      <c r="AW574" s="1341">
        <f t="shared" si="331"/>
        <v>0</v>
      </c>
      <c r="AX574" s="1341">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9"/>
      <c r="AV575" s="1341">
        <f t="shared" si="330"/>
        <v>0</v>
      </c>
      <c r="AW575" s="1341">
        <f t="shared" si="331"/>
        <v>0</v>
      </c>
      <c r="AX575" s="1341">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9"/>
      <c r="AV576" s="1341">
        <f t="shared" si="330"/>
        <v>0</v>
      </c>
      <c r="AW576" s="1341">
        <f t="shared" si="331"/>
        <v>0</v>
      </c>
      <c r="AX576" s="1341">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9"/>
      <c r="AV577" s="1341">
        <f t="shared" si="330"/>
        <v>0</v>
      </c>
      <c r="AW577" s="1341">
        <f t="shared" si="331"/>
        <v>0</v>
      </c>
      <c r="AX577" s="1341">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9"/>
      <c r="AV578" s="1341">
        <f t="shared" si="330"/>
        <v>0</v>
      </c>
      <c r="AW578" s="1341">
        <f t="shared" si="331"/>
        <v>0</v>
      </c>
      <c r="AX578" s="1341">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9"/>
      <c r="AV579" s="1341">
        <f t="shared" si="330"/>
        <v>0</v>
      </c>
      <c r="AW579" s="1341">
        <f t="shared" si="331"/>
        <v>0</v>
      </c>
      <c r="AX579" s="1341">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9"/>
      <c r="AV580" s="1341">
        <f t="shared" si="330"/>
        <v>0</v>
      </c>
      <c r="AW580" s="1341">
        <f t="shared" si="331"/>
        <v>0</v>
      </c>
      <c r="AX580" s="1341">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9"/>
      <c r="AV581" s="1341">
        <f t="shared" si="330"/>
        <v>0</v>
      </c>
      <c r="AW581" s="1341">
        <f t="shared" si="331"/>
        <v>0</v>
      </c>
      <c r="AX581" s="1341">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9"/>
      <c r="AV582" s="1341">
        <f t="shared" si="330"/>
        <v>0</v>
      </c>
      <c r="AW582" s="1341">
        <f t="shared" si="331"/>
        <v>0</v>
      </c>
      <c r="AX582" s="1341">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9"/>
      <c r="AV583" s="1341">
        <f t="shared" si="330"/>
        <v>0</v>
      </c>
      <c r="AW583" s="1341">
        <f t="shared" si="331"/>
        <v>0</v>
      </c>
      <c r="AX583" s="1341">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9"/>
      <c r="AV584" s="1341">
        <f t="shared" si="330"/>
        <v>0</v>
      </c>
      <c r="AW584" s="1341">
        <f t="shared" si="331"/>
        <v>0</v>
      </c>
      <c r="AX584" s="1341">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8"/>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9"/>
      <c r="AV585" s="1341">
        <f t="shared" si="330"/>
        <v>0</v>
      </c>
      <c r="AW585" s="1341">
        <f t="shared" si="331"/>
        <v>0</v>
      </c>
      <c r="AX585" s="1341">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8"/>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9"/>
      <c r="AV586" s="1341">
        <f t="shared" si="330"/>
        <v>0</v>
      </c>
      <c r="AW586" s="1341">
        <f t="shared" si="331"/>
        <v>0</v>
      </c>
      <c r="AX586" s="1341">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8"/>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9"/>
      <c r="AV587" s="1341">
        <f t="shared" si="330"/>
        <v>0</v>
      </c>
      <c r="AW587" s="1341">
        <f t="shared" si="331"/>
        <v>0</v>
      </c>
      <c r="AX587" s="1341">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2" customFormat="1">
      <c r="A588" s="1630"/>
      <c r="B588" s="1630"/>
      <c r="C588" s="1630"/>
      <c r="D588" s="1630"/>
      <c r="E588" s="1631"/>
      <c r="F588" s="1631"/>
      <c r="G588" s="1630"/>
      <c r="H588" s="1631"/>
      <c r="I588" s="1631"/>
      <c r="J588" s="1631"/>
      <c r="K588" s="1631"/>
      <c r="L588" s="1631"/>
      <c r="M588" s="1631"/>
      <c r="N588" s="1631"/>
      <c r="O588" s="1631"/>
      <c r="P588" s="1631"/>
      <c r="Q588" s="1631"/>
      <c r="R588" s="1631"/>
      <c r="S588" s="1631"/>
      <c r="T588" s="1631"/>
      <c r="U588" s="1631"/>
      <c r="V588" s="1631"/>
      <c r="W588" s="1631"/>
      <c r="X588" s="1631"/>
      <c r="Y588" s="1631"/>
      <c r="Z588" s="1631"/>
      <c r="AA588" s="1631"/>
      <c r="AB588" s="1631"/>
      <c r="AC588" s="1631"/>
      <c r="AD588" s="1631"/>
      <c r="AE588" s="1631"/>
      <c r="AF588" s="1631"/>
      <c r="AG588" s="1631"/>
      <c r="AH588" s="1631"/>
      <c r="AI588" s="1631"/>
      <c r="AJ588" s="1631"/>
      <c r="AK588" s="1631"/>
      <c r="AL588" s="1631"/>
      <c r="AM588" s="1631"/>
      <c r="AN588" s="1631"/>
      <c r="AO588" s="1631"/>
      <c r="AP588" s="1631"/>
      <c r="AQ588" s="1631"/>
      <c r="AR588" s="1631"/>
      <c r="AS588" s="1631"/>
      <c r="AT588" s="1631"/>
      <c r="AU588" s="1630"/>
      <c r="AV588" s="1630"/>
      <c r="AW588" s="1630"/>
      <c r="AX588" s="1630"/>
    </row>
    <row r="589" spans="1:72" s="1633" customFormat="1">
      <c r="C589" s="1634"/>
      <c r="D589" s="1634"/>
    </row>
    <row r="590" spans="1:72" s="1633" customFormat="1">
      <c r="C590" s="1634"/>
      <c r="D590" s="1634"/>
    </row>
    <row r="593" spans="2:2">
      <c r="B593" s="1634"/>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I8" sqref="I8"/>
    </sheetView>
  </sheetViews>
  <sheetFormatPr defaultColWidth="9.25" defaultRowHeight="14.25"/>
  <cols>
    <col min="1" max="1" width="12.125" style="1636" customWidth="1"/>
    <col min="2" max="2" width="10.25" style="1636" customWidth="1"/>
    <col min="3" max="3" width="18.5" style="1636" customWidth="1"/>
    <col min="4" max="4" width="11.625" style="1636" customWidth="1"/>
    <col min="5" max="5" width="13.375" style="1636" customWidth="1"/>
    <col min="6" max="8" width="11.5" style="1636" customWidth="1"/>
    <col min="9" max="9" width="11.125" style="1636" customWidth="1"/>
    <col min="10" max="10" width="3.125" style="2646" customWidth="1"/>
    <col min="11" max="16" width="10" style="1636" customWidth="1"/>
    <col min="17" max="17" width="2.625" style="1636" customWidth="1"/>
    <col min="18" max="18" width="9.375" style="1636" bestFit="1" customWidth="1"/>
    <col min="19" max="19" width="10.5" style="1636" bestFit="1" customWidth="1"/>
    <col min="20" max="16384" width="9.25" style="1636"/>
  </cols>
  <sheetData>
    <row r="1" spans="1:16" ht="19.5" thickBot="1">
      <c r="A1" s="1635" t="s">
        <v>1130</v>
      </c>
      <c r="B1" s="1138"/>
      <c r="C1" s="1138"/>
      <c r="D1" s="1138"/>
      <c r="E1" s="1138"/>
      <c r="F1" s="1138"/>
      <c r="G1" s="1138"/>
      <c r="H1" s="1138"/>
      <c r="I1" s="1138"/>
      <c r="J1" s="1138"/>
      <c r="K1" s="1138"/>
      <c r="L1" s="1138"/>
      <c r="M1" s="1138"/>
      <c r="N1" s="1138"/>
      <c r="O1" s="1138"/>
      <c r="P1" s="1138"/>
    </row>
    <row r="2" spans="1:16" ht="15">
      <c r="A2" s="3608" t="s">
        <v>1131</v>
      </c>
      <c r="B2" s="3608"/>
      <c r="C2" s="3608"/>
      <c r="D2" s="795" t="s">
        <v>1107</v>
      </c>
      <c r="E2" s="1637" t="s">
        <v>1108</v>
      </c>
      <c r="F2" s="2656"/>
      <c r="G2" s="2647"/>
      <c r="H2" s="2648"/>
      <c r="I2" s="2322" t="s">
        <v>1132</v>
      </c>
      <c r="J2" s="2656"/>
      <c r="K2" s="2656"/>
      <c r="L2" s="2656"/>
      <c r="M2" s="2656"/>
      <c r="N2" s="2658"/>
      <c r="O2" s="2656"/>
      <c r="P2" s="2656"/>
    </row>
    <row r="3" spans="1:16" ht="15.75" thickBot="1">
      <c r="A3" s="3609" t="s">
        <v>1105</v>
      </c>
      <c r="B3" s="3609"/>
      <c r="C3" s="3609"/>
      <c r="D3" s="43">
        <f>'数据-基础表'!AY6</f>
        <v>10405.33</v>
      </c>
      <c r="E3" s="43">
        <f>'数据-基础表'!AZ5</f>
        <v>20062.899999999998</v>
      </c>
      <c r="F3" s="2656"/>
      <c r="G3" s="1144"/>
      <c r="H3" s="1025" t="s">
        <v>1106</v>
      </c>
      <c r="I3" s="854">
        <f>ROUND('数据-基础表'!B3/'数据-基础表'!A3,2)</f>
        <v>1.93</v>
      </c>
      <c r="J3" s="2656"/>
      <c r="K3" s="2656"/>
      <c r="L3" s="2656"/>
      <c r="M3" s="2656"/>
      <c r="N3" s="2658"/>
      <c r="O3" s="2656"/>
      <c r="P3" s="2656"/>
    </row>
    <row r="4" spans="1:16" ht="15">
      <c r="A4" s="3610"/>
      <c r="B4" s="3611"/>
      <c r="C4" s="3612"/>
      <c r="D4" s="1639" t="s">
        <v>1107</v>
      </c>
      <c r="E4" s="1640" t="s">
        <v>1108</v>
      </c>
      <c r="F4" s="2656"/>
      <c r="G4" s="2649" t="s">
        <v>1133</v>
      </c>
      <c r="H4" s="1025" t="s">
        <v>1113</v>
      </c>
      <c r="I4" s="854">
        <f>ROUND(SUMIF('数据-基础表'!I9:AS9,"地上",'数据-基础表'!I5:AS5)/'数据-基础表'!A3,2)</f>
        <v>1.65</v>
      </c>
      <c r="J4" s="2656"/>
      <c r="K4" s="2656"/>
      <c r="L4" s="2656"/>
      <c r="M4" s="2656"/>
      <c r="N4" s="2658"/>
      <c r="O4" s="2656"/>
      <c r="P4" s="2656"/>
    </row>
    <row r="5" spans="1:16">
      <c r="A5" s="44" t="s">
        <v>1109</v>
      </c>
      <c r="B5" s="3613" t="s">
        <v>1110</v>
      </c>
      <c r="C5" s="3613"/>
      <c r="D5" s="45">
        <f>ROUND($D$3*E5/$E$3,2)</f>
        <v>0</v>
      </c>
      <c r="E5" s="46">
        <f>SUMIF('数据-基础表'!$11:$11,"住宅",'数据-基础表'!$5:$5)</f>
        <v>0</v>
      </c>
      <c r="F5" s="2656"/>
      <c r="G5" s="1144"/>
      <c r="H5" s="1025" t="s">
        <v>1106</v>
      </c>
      <c r="I5" s="854">
        <f>ROUND(E31/D31,2)</f>
        <v>1.93</v>
      </c>
      <c r="J5" s="2656"/>
      <c r="K5" s="2656"/>
      <c r="L5" s="2656"/>
      <c r="M5" s="2656"/>
      <c r="N5" s="2656"/>
      <c r="O5" s="2656"/>
      <c r="P5" s="2656"/>
    </row>
    <row r="6" spans="1:16" ht="15" thickBot="1">
      <c r="A6" s="1642"/>
      <c r="B6" s="3613" t="s">
        <v>1111</v>
      </c>
      <c r="C6" s="3613"/>
      <c r="D6" s="45">
        <f>ROUND($D$3*E6/$E$3,2)</f>
        <v>10405.33</v>
      </c>
      <c r="E6" s="46">
        <f>E3-E5</f>
        <v>20062.899999999998</v>
      </c>
      <c r="F6" s="2656"/>
      <c r="G6" s="2650" t="s">
        <v>1112</v>
      </c>
      <c r="H6" s="1145" t="s">
        <v>1113</v>
      </c>
      <c r="I6" s="2651">
        <f>ROUND(F31/D31,2)</f>
        <v>1.65</v>
      </c>
      <c r="J6" s="2656"/>
      <c r="K6" s="2656"/>
      <c r="L6" s="2656"/>
      <c r="M6" s="2656"/>
      <c r="N6" s="2656"/>
      <c r="O6" s="2656"/>
      <c r="P6" s="2656"/>
    </row>
    <row r="7" spans="1:16" ht="15.75" thickBot="1">
      <c r="A7" s="3605"/>
      <c r="B7" s="3606"/>
      <c r="C7" s="3607"/>
      <c r="D7" s="1639" t="s">
        <v>1107</v>
      </c>
      <c r="E7" s="1643" t="s">
        <v>1114</v>
      </c>
      <c r="F7" s="2656"/>
      <c r="G7" s="2652" t="s">
        <v>1115</v>
      </c>
      <c r="H7" s="2653"/>
      <c r="I7" s="2654">
        <v>1.5</v>
      </c>
      <c r="J7" s="2656"/>
      <c r="K7" s="2656"/>
      <c r="L7" s="2656"/>
      <c r="M7" s="2656"/>
      <c r="N7" s="2656"/>
      <c r="O7" s="2656"/>
      <c r="P7" s="2656"/>
    </row>
    <row r="8" spans="1:16">
      <c r="A8" s="44" t="s">
        <v>1116</v>
      </c>
      <c r="B8" s="47" t="s">
        <v>1117</v>
      </c>
      <c r="C8" s="45" t="s">
        <v>1118</v>
      </c>
      <c r="D8" s="45">
        <f t="shared" ref="D8:D15" si="0">ROUND($D$3*E8/$E$3,2)</f>
        <v>8917.2199999999993</v>
      </c>
      <c r="E8" s="48">
        <f>SUMIF('数据-基础表'!BB10:BK10,"地上",'数据-基础表'!BB5:BK5)</f>
        <v>17193.62</v>
      </c>
      <c r="F8" s="2656"/>
      <c r="G8" s="2657"/>
      <c r="H8" s="2657"/>
      <c r="I8" s="2656"/>
      <c r="J8" s="2656"/>
      <c r="K8" s="2656"/>
      <c r="L8" s="2656"/>
      <c r="M8" s="2656"/>
      <c r="N8" s="2656"/>
      <c r="O8" s="2656"/>
      <c r="P8" s="2656"/>
    </row>
    <row r="9" spans="1:16">
      <c r="A9" s="1644"/>
      <c r="B9" s="1645"/>
      <c r="C9" s="45" t="s">
        <v>1119</v>
      </c>
      <c r="D9" s="45">
        <f t="shared" si="0"/>
        <v>0</v>
      </c>
      <c r="E9" s="49">
        <v>0</v>
      </c>
      <c r="F9" s="2656"/>
      <c r="G9" s="2657"/>
      <c r="H9" s="2657"/>
      <c r="I9" s="2656"/>
      <c r="J9" s="2656"/>
      <c r="K9" s="2656"/>
      <c r="L9" s="2656"/>
      <c r="M9" s="2656"/>
      <c r="N9" s="2656"/>
      <c r="O9" s="2656"/>
      <c r="P9" s="2656"/>
    </row>
    <row r="10" spans="1:16">
      <c r="A10" s="1644"/>
      <c r="B10" s="1645"/>
      <c r="C10" s="45" t="s">
        <v>1128</v>
      </c>
      <c r="D10" s="45">
        <f t="shared" si="0"/>
        <v>0</v>
      </c>
      <c r="E10" s="48">
        <f>SUMPRODUCT(('数据-基础表'!BB10:BK10="地下")*('数据-基础表'!BB11:BK11="商业")*('数据-基础表'!BB5:BK5))</f>
        <v>0</v>
      </c>
      <c r="F10" s="2656"/>
      <c r="G10" s="2657"/>
      <c r="H10" s="2657"/>
      <c r="I10" s="2656"/>
      <c r="J10" s="2656"/>
      <c r="K10" s="2656"/>
      <c r="L10" s="2656"/>
      <c r="M10" s="2656"/>
      <c r="N10" s="2656"/>
      <c r="O10" s="2656"/>
      <c r="P10" s="2656"/>
    </row>
    <row r="11" spans="1:16">
      <c r="A11" s="1644"/>
      <c r="B11" s="1645"/>
      <c r="C11" s="45" t="s">
        <v>1120</v>
      </c>
      <c r="D11" s="45">
        <f t="shared" si="0"/>
        <v>0</v>
      </c>
      <c r="E11" s="48">
        <f>SUMPRODUCT(('数据-基础表'!BB10:BK10="地下")*('数据-基础表'!BB11:BK11="办公")*('数据-基础表'!BB5:BK5))+'数据-基础表'!BP5</f>
        <v>0</v>
      </c>
      <c r="F11" s="2656"/>
      <c r="G11" s="2657"/>
      <c r="H11" s="2657"/>
      <c r="I11" s="2656"/>
      <c r="J11" s="2656"/>
      <c r="K11" s="2656"/>
      <c r="L11" s="2656"/>
      <c r="M11" s="2656"/>
      <c r="N11" s="2656"/>
      <c r="O11" s="2656"/>
      <c r="P11" s="2656"/>
    </row>
    <row r="12" spans="1:16">
      <c r="A12" s="1644"/>
      <c r="B12" s="1645"/>
      <c r="C12" s="45" t="s">
        <v>1121</v>
      </c>
      <c r="D12" s="45">
        <f t="shared" si="0"/>
        <v>0</v>
      </c>
      <c r="E12" s="48">
        <f>SUMPRODUCT(('数据-基础表'!BB10:BK10="地下")*('数据-基础表'!BB11:BK11="仓储")*('数据-基础表'!BB5:BK5))</f>
        <v>0</v>
      </c>
      <c r="F12" s="2656"/>
      <c r="G12" s="2657"/>
      <c r="H12" s="2657"/>
      <c r="I12" s="2656"/>
      <c r="J12" s="2656"/>
      <c r="K12" s="2656"/>
      <c r="L12" s="2656"/>
      <c r="M12" s="2656"/>
      <c r="N12" s="2656"/>
      <c r="O12" s="2656"/>
      <c r="P12" s="2656"/>
    </row>
    <row r="13" spans="1:16">
      <c r="A13" s="1644"/>
      <c r="B13" s="1645"/>
      <c r="C13" s="45" t="s">
        <v>1122</v>
      </c>
      <c r="D13" s="45">
        <f t="shared" si="0"/>
        <v>0</v>
      </c>
      <c r="E13" s="48">
        <f>SUMPRODUCT(('数据-基础表'!BB10:BK10="地下")*('数据-基础表'!BB11:BK11="车库")*('数据-基础表'!BB5:BK5))</f>
        <v>0</v>
      </c>
      <c r="F13" s="2656"/>
      <c r="G13" s="2657"/>
      <c r="H13" s="2657"/>
      <c r="I13" s="2656"/>
      <c r="J13" s="2656"/>
      <c r="K13" s="2656"/>
      <c r="L13" s="2656"/>
      <c r="M13" s="2656"/>
      <c r="N13" s="2656"/>
      <c r="O13" s="2656"/>
      <c r="P13" s="2656"/>
    </row>
    <row r="14" spans="1:16">
      <c r="A14" s="1644"/>
      <c r="B14" s="1645"/>
      <c r="C14" s="45" t="s">
        <v>1134</v>
      </c>
      <c r="D14" s="45">
        <f t="shared" si="0"/>
        <v>1488.11</v>
      </c>
      <c r="E14" s="48">
        <f>SUMPRODUCT(('数据-基础表'!BB10:BK10="地下")*('数据-基础表'!BB11:BK11="车库—商业")*('数据-基础表'!BB5:BK5))</f>
        <v>2869.28</v>
      </c>
      <c r="F14" s="2656"/>
      <c r="G14" s="2657"/>
      <c r="H14" s="2657"/>
      <c r="I14" s="2656"/>
      <c r="J14" s="2656"/>
      <c r="K14" s="2656"/>
      <c r="L14" s="2656"/>
      <c r="M14" s="2656"/>
      <c r="N14" s="2656"/>
      <c r="O14" s="2656"/>
      <c r="P14" s="2656"/>
    </row>
    <row r="15" spans="1:16" ht="15" thickBot="1">
      <c r="A15" s="1644"/>
      <c r="B15" s="1645"/>
      <c r="C15" s="45" t="s">
        <v>1129</v>
      </c>
      <c r="D15" s="45">
        <f t="shared" si="0"/>
        <v>0</v>
      </c>
      <c r="E15" s="48">
        <f>SUMPRODUCT(('数据-基础表'!BB10:BK10="地下")*('数据-基础表'!BB11:BK11="车库—办公")*('数据-基础表'!BB5:BK5))</f>
        <v>0</v>
      </c>
      <c r="F15" s="2656"/>
      <c r="G15" s="2657"/>
      <c r="H15" s="2657"/>
      <c r="I15" s="2656"/>
      <c r="J15" s="2656"/>
      <c r="K15" s="2656"/>
      <c r="L15" s="2656"/>
      <c r="M15" s="2656"/>
      <c r="N15" s="2656"/>
      <c r="O15" s="2656"/>
      <c r="P15" s="2656"/>
    </row>
    <row r="16" spans="1:16" ht="15.75" thickBot="1">
      <c r="A16" s="1642"/>
      <c r="B16" s="1645"/>
      <c r="C16" s="47" t="s">
        <v>1123</v>
      </c>
      <c r="D16" s="47">
        <f>SUM(D8:D15)</f>
        <v>10405.33</v>
      </c>
      <c r="E16" s="50">
        <f>SUM(E8:E15)</f>
        <v>20062.899999999998</v>
      </c>
      <c r="F16" s="2656"/>
      <c r="G16" s="2657"/>
      <c r="H16" s="1646" t="s">
        <v>1135</v>
      </c>
      <c r="I16" s="1647"/>
      <c r="J16" s="1138"/>
      <c r="K16" s="3602" t="s">
        <v>1135</v>
      </c>
      <c r="L16" s="3603"/>
      <c r="M16" s="3603"/>
      <c r="N16" s="3603"/>
      <c r="O16" s="3603"/>
      <c r="P16" s="3604"/>
    </row>
    <row r="17" spans="1:19" ht="15">
      <c r="A17" s="1648" t="s">
        <v>1136</v>
      </c>
      <c r="B17" s="1649" t="s">
        <v>1137</v>
      </c>
      <c r="C17" s="1650" t="s">
        <v>1138</v>
      </c>
      <c r="D17" s="1651" t="s">
        <v>1126</v>
      </c>
      <c r="E17" s="1652" t="s">
        <v>1127</v>
      </c>
      <c r="F17" s="1653"/>
      <c r="G17" s="1654"/>
      <c r="H17" s="1655" t="s">
        <v>1139</v>
      </c>
      <c r="I17" s="1656" t="s">
        <v>1124</v>
      </c>
      <c r="J17" s="1138"/>
      <c r="K17" s="3599" t="s">
        <v>1140</v>
      </c>
      <c r="L17" s="3600"/>
      <c r="M17" s="3601"/>
      <c r="N17" s="3599" t="s">
        <v>1141</v>
      </c>
      <c r="O17" s="3600"/>
      <c r="P17" s="3601"/>
      <c r="R17" s="1638" t="s">
        <v>1142</v>
      </c>
      <c r="S17" s="56"/>
    </row>
    <row r="18" spans="1:19" ht="15">
      <c r="A18" s="1644"/>
      <c r="B18" s="1657"/>
      <c r="C18" s="1658"/>
      <c r="D18" s="1659"/>
      <c r="E18" s="1660" t="s">
        <v>1143</v>
      </c>
      <c r="F18" s="1661" t="s">
        <v>1144</v>
      </c>
      <c r="G18" s="1662" t="s">
        <v>1145</v>
      </c>
      <c r="H18" s="1040" t="s">
        <v>1146</v>
      </c>
      <c r="I18" s="1663" t="s">
        <v>1147</v>
      </c>
      <c r="J18" s="1138"/>
      <c r="K18" s="1040" t="s">
        <v>1148</v>
      </c>
      <c r="L18" s="1664" t="s">
        <v>1149</v>
      </c>
      <c r="M18" s="854" t="s">
        <v>1150</v>
      </c>
      <c r="N18" s="1040" t="s">
        <v>1148</v>
      </c>
      <c r="O18" s="1664" t="s">
        <v>1149</v>
      </c>
      <c r="P18" s="854" t="s">
        <v>1150</v>
      </c>
      <c r="R18" s="1025" t="s">
        <v>1151</v>
      </c>
      <c r="S18" s="1025" t="s">
        <v>1152</v>
      </c>
    </row>
    <row r="19" spans="1:19">
      <c r="A19" s="1665"/>
      <c r="B19" s="47" t="s">
        <v>1125</v>
      </c>
      <c r="C19" s="3413" t="s">
        <v>3378</v>
      </c>
      <c r="D19" s="45">
        <f>ROUND($D$3*E19/$E$3,2)</f>
        <v>10405.33</v>
      </c>
      <c r="E19" s="53">
        <f t="shared" ref="E19:E26" si="1">SUM(F19:G19)</f>
        <v>20062.899999999998</v>
      </c>
      <c r="F19" s="2791">
        <f>'数据-基础表'!I13</f>
        <v>17193.62</v>
      </c>
      <c r="G19" s="2792">
        <f>'数据-基础表'!M13</f>
        <v>2869.28</v>
      </c>
      <c r="H19" s="669">
        <f>ROUND($D$3*I19/$E$3,2)</f>
        <v>0</v>
      </c>
      <c r="I19" s="48">
        <f t="shared" ref="I19:I26" si="2">IF($I$17="自定义",P19,M19)</f>
        <v>0</v>
      </c>
      <c r="J19" s="1138"/>
      <c r="K19" s="1137">
        <f t="shared" ref="K19:K26" si="3">ROUND(E$28*E19/E$27,2)</f>
        <v>0</v>
      </c>
      <c r="L19" s="1025">
        <f t="shared" ref="L19:L26" si="4">ROUND(IF(COUNTIF(C19,"*住宅*")&gt;0,E$29*E19/E$32,0),2)</f>
        <v>0</v>
      </c>
      <c r="M19" s="1149">
        <f>K19+L19</f>
        <v>0</v>
      </c>
      <c r="N19" s="1666"/>
      <c r="O19" s="1667"/>
      <c r="P19" s="1149">
        <f>N19+O19</f>
        <v>0</v>
      </c>
      <c r="R19" s="1025">
        <f t="shared" ref="R19:S26" si="5">D19+H19</f>
        <v>10405.33</v>
      </c>
      <c r="S19" s="1026">
        <f t="shared" si="5"/>
        <v>20062.899999999998</v>
      </c>
    </row>
    <row r="20" spans="1:19">
      <c r="A20" s="1668"/>
      <c r="B20" s="47" t="s">
        <v>1153</v>
      </c>
      <c r="C20" s="3413"/>
      <c r="D20" s="45">
        <f t="shared" ref="D20:D26" si="6">ROUND($D$3*E20/$E$3,2)</f>
        <v>0</v>
      </c>
      <c r="E20" s="53">
        <f t="shared" si="1"/>
        <v>0</v>
      </c>
      <c r="F20" s="2791"/>
      <c r="G20" s="2792"/>
      <c r="H20" s="669">
        <f t="shared" ref="H20:H26" si="7">ROUND($D$3*I20/$E$3,2)</f>
        <v>0</v>
      </c>
      <c r="I20" s="48">
        <f t="shared" si="2"/>
        <v>0</v>
      </c>
      <c r="J20" s="1138"/>
      <c r="K20" s="1137">
        <f t="shared" si="3"/>
        <v>0</v>
      </c>
      <c r="L20" s="1025">
        <f t="shared" si="4"/>
        <v>0</v>
      </c>
      <c r="M20" s="1149">
        <f t="shared" ref="M20:M26" si="8">K20+L20</f>
        <v>0</v>
      </c>
      <c r="N20" s="1666"/>
      <c r="O20" s="1667"/>
      <c r="P20" s="1149">
        <f t="shared" ref="P20:P26" si="9">N20+O20</f>
        <v>0</v>
      </c>
      <c r="R20" s="1025">
        <f t="shared" si="5"/>
        <v>0</v>
      </c>
      <c r="S20" s="1026">
        <f t="shared" si="5"/>
        <v>0</v>
      </c>
    </row>
    <row r="21" spans="1:19">
      <c r="A21" s="1668"/>
      <c r="B21" s="47" t="s">
        <v>1153</v>
      </c>
      <c r="C21" s="3413"/>
      <c r="D21" s="45">
        <f t="shared" si="6"/>
        <v>0</v>
      </c>
      <c r="E21" s="53">
        <f t="shared" si="1"/>
        <v>0</v>
      </c>
      <c r="F21" s="2791"/>
      <c r="G21" s="2792"/>
      <c r="H21" s="669">
        <f t="shared" si="7"/>
        <v>0</v>
      </c>
      <c r="I21" s="48">
        <f t="shared" si="2"/>
        <v>0</v>
      </c>
      <c r="J21" s="1138"/>
      <c r="K21" s="1137">
        <f t="shared" si="3"/>
        <v>0</v>
      </c>
      <c r="L21" s="1025">
        <f t="shared" si="4"/>
        <v>0</v>
      </c>
      <c r="M21" s="1149">
        <f t="shared" si="8"/>
        <v>0</v>
      </c>
      <c r="N21" s="1666"/>
      <c r="O21" s="1667"/>
      <c r="P21" s="1149">
        <f t="shared" si="9"/>
        <v>0</v>
      </c>
      <c r="R21" s="1025">
        <f t="shared" si="5"/>
        <v>0</v>
      </c>
      <c r="S21" s="1026">
        <f t="shared" si="5"/>
        <v>0</v>
      </c>
    </row>
    <row r="22" spans="1:19">
      <c r="A22" s="1668"/>
      <c r="B22" s="47" t="s">
        <v>1153</v>
      </c>
      <c r="C22" s="3414"/>
      <c r="D22" s="45">
        <f t="shared" si="6"/>
        <v>0</v>
      </c>
      <c r="E22" s="53">
        <f t="shared" si="1"/>
        <v>0</v>
      </c>
      <c r="F22" s="2793"/>
      <c r="G22" s="2794"/>
      <c r="H22" s="669">
        <f t="shared" si="7"/>
        <v>0</v>
      </c>
      <c r="I22" s="48">
        <f t="shared" si="2"/>
        <v>0</v>
      </c>
      <c r="J22" s="1138"/>
      <c r="K22" s="1137">
        <f t="shared" si="3"/>
        <v>0</v>
      </c>
      <c r="L22" s="1025">
        <f t="shared" si="4"/>
        <v>0</v>
      </c>
      <c r="M22" s="1149">
        <f t="shared" si="8"/>
        <v>0</v>
      </c>
      <c r="N22" s="1666"/>
      <c r="O22" s="1667"/>
      <c r="P22" s="1149">
        <f t="shared" si="9"/>
        <v>0</v>
      </c>
      <c r="R22" s="1025">
        <f t="shared" si="5"/>
        <v>0</v>
      </c>
      <c r="S22" s="1026">
        <f t="shared" si="5"/>
        <v>0</v>
      </c>
    </row>
    <row r="23" spans="1:19">
      <c r="A23" s="1668"/>
      <c r="B23" s="47" t="s">
        <v>1153</v>
      </c>
      <c r="C23" s="3414"/>
      <c r="D23" s="45">
        <f>ROUND($D$3*E23/$E$3,2)</f>
        <v>0</v>
      </c>
      <c r="E23" s="53">
        <f>SUM(F23:G23)</f>
        <v>0</v>
      </c>
      <c r="F23" s="2793"/>
      <c r="G23" s="2794"/>
      <c r="H23" s="669">
        <f>ROUND($D$3*I23/$E$3,2)</f>
        <v>0</v>
      </c>
      <c r="I23" s="48">
        <f t="shared" si="2"/>
        <v>0</v>
      </c>
      <c r="J23" s="1138"/>
      <c r="K23" s="1137">
        <f t="shared" si="3"/>
        <v>0</v>
      </c>
      <c r="L23" s="1025">
        <f t="shared" si="4"/>
        <v>0</v>
      </c>
      <c r="M23" s="1149">
        <f t="shared" si="8"/>
        <v>0</v>
      </c>
      <c r="N23" s="1666"/>
      <c r="O23" s="1667"/>
      <c r="P23" s="1149">
        <f t="shared" si="9"/>
        <v>0</v>
      </c>
      <c r="R23" s="1025">
        <f t="shared" si="5"/>
        <v>0</v>
      </c>
      <c r="S23" s="1026">
        <f t="shared" si="5"/>
        <v>0</v>
      </c>
    </row>
    <row r="24" spans="1:19">
      <c r="A24" s="1668"/>
      <c r="B24" s="47" t="s">
        <v>1153</v>
      </c>
      <c r="C24" s="3414"/>
      <c r="D24" s="45">
        <f>ROUND($D$3*E24/$E$3,2)</f>
        <v>0</v>
      </c>
      <c r="E24" s="53">
        <f>SUM(F24:G24)</f>
        <v>0</v>
      </c>
      <c r="F24" s="2793"/>
      <c r="G24" s="2794"/>
      <c r="H24" s="669">
        <f>ROUND($D$3*I24/$E$3,2)</f>
        <v>0</v>
      </c>
      <c r="I24" s="48">
        <f t="shared" si="2"/>
        <v>0</v>
      </c>
      <c r="J24" s="1138"/>
      <c r="K24" s="1137">
        <f t="shared" si="3"/>
        <v>0</v>
      </c>
      <c r="L24" s="1025">
        <f t="shared" si="4"/>
        <v>0</v>
      </c>
      <c r="M24" s="1149">
        <f t="shared" si="8"/>
        <v>0</v>
      </c>
      <c r="N24" s="1666"/>
      <c r="O24" s="1667"/>
      <c r="P24" s="1149">
        <f t="shared" si="9"/>
        <v>0</v>
      </c>
      <c r="R24" s="1025">
        <f t="shared" si="5"/>
        <v>0</v>
      </c>
      <c r="S24" s="1026">
        <f t="shared" si="5"/>
        <v>0</v>
      </c>
    </row>
    <row r="25" spans="1:19">
      <c r="A25" s="1668"/>
      <c r="B25" s="47" t="s">
        <v>1153</v>
      </c>
      <c r="C25" s="3414"/>
      <c r="D25" s="45">
        <f t="shared" si="6"/>
        <v>0</v>
      </c>
      <c r="E25" s="53">
        <f t="shared" si="1"/>
        <v>0</v>
      </c>
      <c r="F25" s="2793"/>
      <c r="G25" s="2794"/>
      <c r="H25" s="44">
        <f t="shared" si="7"/>
        <v>0</v>
      </c>
      <c r="I25" s="48">
        <f t="shared" si="2"/>
        <v>0</v>
      </c>
      <c r="J25" s="1138"/>
      <c r="K25" s="1137">
        <f t="shared" si="3"/>
        <v>0</v>
      </c>
      <c r="L25" s="1025">
        <f t="shared" si="4"/>
        <v>0</v>
      </c>
      <c r="M25" s="1149">
        <f t="shared" si="8"/>
        <v>0</v>
      </c>
      <c r="N25" s="1666"/>
      <c r="O25" s="1667"/>
      <c r="P25" s="1149">
        <f t="shared" si="9"/>
        <v>0</v>
      </c>
      <c r="R25" s="1025">
        <f t="shared" si="5"/>
        <v>0</v>
      </c>
      <c r="S25" s="1026">
        <f t="shared" si="5"/>
        <v>0</v>
      </c>
    </row>
    <row r="26" spans="1:19">
      <c r="A26" s="1668"/>
      <c r="B26" s="47" t="s">
        <v>1153</v>
      </c>
      <c r="C26" s="55"/>
      <c r="D26" s="45">
        <f t="shared" si="6"/>
        <v>0</v>
      </c>
      <c r="E26" s="53">
        <f t="shared" si="1"/>
        <v>0</v>
      </c>
      <c r="F26" s="2793"/>
      <c r="G26" s="2794"/>
      <c r="H26" s="44">
        <f t="shared" si="7"/>
        <v>0</v>
      </c>
      <c r="I26" s="48">
        <f t="shared" si="2"/>
        <v>0</v>
      </c>
      <c r="J26" s="1138"/>
      <c r="K26" s="1144">
        <f t="shared" si="3"/>
        <v>0</v>
      </c>
      <c r="L26" s="1145">
        <f t="shared" si="4"/>
        <v>0</v>
      </c>
      <c r="M26" s="59">
        <f t="shared" si="8"/>
        <v>0</v>
      </c>
      <c r="N26" s="1669"/>
      <c r="O26" s="1670"/>
      <c r="P26" s="59">
        <f t="shared" si="9"/>
        <v>0</v>
      </c>
      <c r="R26" s="1025">
        <f t="shared" si="5"/>
        <v>0</v>
      </c>
      <c r="S26" s="1026">
        <f t="shared" si="5"/>
        <v>0</v>
      </c>
    </row>
    <row r="27" spans="1:19" ht="15.75" thickBot="1">
      <c r="A27" s="1668"/>
      <c r="B27" s="45"/>
      <c r="C27" s="1671" t="s">
        <v>1154</v>
      </c>
      <c r="D27" s="1139">
        <f>SUM(D19:D26)</f>
        <v>10405.33</v>
      </c>
      <c r="E27" s="1140">
        <f>IF(SUM(E19:E26)='数据-基础表'!BA5,SUM(E19:E26),IF(F27="地上面积有误","面积有误","地下面积有误"))</f>
        <v>20062.899999999998</v>
      </c>
      <c r="F27" s="1139">
        <f>IF(SUM(F19:F26)=E8,SUM(F19:F26),"地上面积有误")</f>
        <v>17193.62</v>
      </c>
      <c r="G27" s="1141">
        <f>SUM(G19:G26)</f>
        <v>2869.28</v>
      </c>
      <c r="H27" s="1142">
        <f>SUM(H19:H26)</f>
        <v>0</v>
      </c>
      <c r="I27" s="1143">
        <f>SUM(I19:I26)</f>
        <v>0</v>
      </c>
      <c r="J27" s="1138"/>
      <c r="K27" s="1146">
        <f>SUM(K19:K26)</f>
        <v>0</v>
      </c>
      <c r="L27" s="1147">
        <f>SUM(L19:L26)</f>
        <v>0</v>
      </c>
      <c r="M27" s="1150">
        <f>SUM(M19:M26)</f>
        <v>0</v>
      </c>
      <c r="N27" s="1146">
        <f t="shared" ref="N27:O27" si="10">SUM(N19:N26)</f>
        <v>0</v>
      </c>
      <c r="O27" s="1147">
        <f t="shared" si="10"/>
        <v>0</v>
      </c>
      <c r="P27" s="1148">
        <f>SUM(P19:P26)</f>
        <v>0</v>
      </c>
      <c r="R27" s="1027">
        <f>IF(SUM(R19:R26)=$D$3,SUM(R19:R26),SUM(R19:R26)&amp;"误差"&amp;ROUND(SUM(R19:R26)-$D$3,2))</f>
        <v>10405.33</v>
      </c>
      <c r="S27" s="1025">
        <f>IF(SUM(S19:S26)=$E$3,SUM(S19:S26),SUM(S19:S26)&amp;"误差"&amp;ROUND(SUM(S19:S26)-E3,2))</f>
        <v>20062.899999999998</v>
      </c>
    </row>
    <row r="28" spans="1:19">
      <c r="A28" s="1668"/>
      <c r="B28" s="47" t="s">
        <v>1155</v>
      </c>
      <c r="C28" s="1037" t="s">
        <v>1156</v>
      </c>
      <c r="D28" s="45">
        <f>ROUND($D$3*E28/$E$3,2)</f>
        <v>0</v>
      </c>
      <c r="E28" s="53">
        <f>SUM(F28:G28)</f>
        <v>0</v>
      </c>
      <c r="F28" s="56">
        <f>'数据-基础表'!BQ5+'数据-基础表'!BS5</f>
        <v>0</v>
      </c>
      <c r="G28" s="57">
        <f>'数据-基础表'!BR5+'数据-基础表'!BT5</f>
        <v>0</v>
      </c>
      <c r="H28" s="2656"/>
      <c r="I28" s="2656"/>
      <c r="J28" s="2656"/>
      <c r="K28" s="2656"/>
      <c r="L28" s="2656"/>
      <c r="M28" s="2656"/>
      <c r="N28" s="2656"/>
      <c r="O28" s="2656"/>
      <c r="P28" s="2656"/>
    </row>
    <row r="29" spans="1:19">
      <c r="A29" s="1668"/>
      <c r="B29" s="47" t="s">
        <v>1155</v>
      </c>
      <c r="C29" s="1672" t="s">
        <v>1157</v>
      </c>
      <c r="D29" s="45">
        <f>ROUND($D$3*E29/$E$3,2)</f>
        <v>0</v>
      </c>
      <c r="E29" s="53">
        <f>SUM(F29:G29)</f>
        <v>0</v>
      </c>
      <c r="F29" s="58">
        <f>'数据-基础表'!BM5+'数据-基础表'!BO5</f>
        <v>0</v>
      </c>
      <c r="G29" s="59">
        <f>'数据-基础表'!BN5+'数据-基础表'!BP5</f>
        <v>0</v>
      </c>
      <c r="H29" s="2656"/>
      <c r="I29" s="2656"/>
      <c r="J29" s="2656"/>
      <c r="K29" s="2656"/>
      <c r="L29" s="2656"/>
      <c r="M29" s="2656"/>
      <c r="N29" s="2656"/>
      <c r="O29" s="2656"/>
      <c r="P29" s="2656"/>
    </row>
    <row r="30" spans="1:19" ht="15">
      <c r="A30" s="1668"/>
      <c r="B30" s="47"/>
      <c r="C30" s="1673" t="s">
        <v>1154</v>
      </c>
      <c r="D30" s="1139">
        <f>SUM(D28:D29)</f>
        <v>0</v>
      </c>
      <c r="E30" s="1139">
        <f>SUM(E28:E29)</f>
        <v>0</v>
      </c>
      <c r="F30" s="1139">
        <f>SUM(F28:F29)</f>
        <v>0</v>
      </c>
      <c r="G30" s="1141">
        <f>SUM(G28:G29)</f>
        <v>0</v>
      </c>
      <c r="H30" s="2656"/>
      <c r="I30" s="2656"/>
      <c r="J30" s="2656"/>
      <c r="K30" s="2656"/>
      <c r="L30" s="2656"/>
      <c r="M30" s="2656"/>
      <c r="N30" s="2656"/>
      <c r="O30" s="2656"/>
      <c r="P30" s="2656"/>
    </row>
    <row r="31" spans="1:19" ht="15.75" thickBot="1">
      <c r="A31" s="1674"/>
      <c r="B31" s="1675"/>
      <c r="C31" s="834" t="s">
        <v>1158</v>
      </c>
      <c r="D31" s="675">
        <f>D27+D30</f>
        <v>10405.33</v>
      </c>
      <c r="E31" s="675">
        <f>E27+E30</f>
        <v>20062.899999999998</v>
      </c>
      <c r="F31" s="676">
        <f>F27+F30</f>
        <v>17193.62</v>
      </c>
      <c r="G31" s="677">
        <f>G27+G30</f>
        <v>2869.28</v>
      </c>
      <c r="H31" s="2656"/>
      <c r="I31" s="2656"/>
      <c r="J31" s="2656"/>
      <c r="K31" s="2656"/>
      <c r="L31" s="2656"/>
      <c r="M31" s="2656"/>
      <c r="N31" s="2656"/>
      <c r="O31" s="2656"/>
      <c r="P31" s="2656"/>
    </row>
    <row r="32" spans="1:19">
      <c r="A32" s="1641"/>
      <c r="B32" s="1641" t="s">
        <v>1159</v>
      </c>
      <c r="C32" s="1641"/>
      <c r="D32" s="1641"/>
      <c r="E32" s="1052">
        <f>SUMIF(C19:C26,"*住宅*",E19:E26)</f>
        <v>0</v>
      </c>
      <c r="F32" s="1641"/>
      <c r="G32" s="1641"/>
      <c r="H32" s="2656"/>
      <c r="I32" s="2656"/>
      <c r="J32" s="2656"/>
      <c r="K32" s="2656"/>
      <c r="L32" s="2656"/>
      <c r="M32" s="2656"/>
      <c r="N32" s="2656"/>
      <c r="O32" s="2656"/>
      <c r="P32" s="2656"/>
    </row>
    <row r="33" spans="4:4">
      <c r="D33" s="167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9" priority="1" stopIfTrue="1" operator="containsText" text="面积有误">
      <formula>NOT(ISERROR(SEARCH("面积有误",E27)))</formula>
    </cfRule>
    <cfRule type="cellIs" dxfId="188" priority="3" stopIfTrue="1" operator="equal">
      <formula>"地下面积有误"</formula>
    </cfRule>
  </conditionalFormatting>
  <conditionalFormatting sqref="F27">
    <cfRule type="cellIs" dxfId="18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70" zoomScaleNormal="70" zoomScaleSheetLayoutView="90" workbookViewId="0">
      <pane xSplit="3" ySplit="5" topLeftCell="M6" activePane="bottomRight" state="frozen"/>
      <selection activeCell="C50" sqref="C50"/>
      <selection pane="topRight" activeCell="C50" sqref="C50"/>
      <selection pane="bottomLeft" activeCell="C50" sqref="C50"/>
      <selection pane="bottomRight" activeCell="U38" sqref="U38"/>
    </sheetView>
  </sheetViews>
  <sheetFormatPr defaultColWidth="13.75" defaultRowHeight="12.75"/>
  <cols>
    <col min="1" max="1" width="20.875" style="1743" customWidth="1"/>
    <col min="2" max="2" width="12" style="1680" customWidth="1"/>
    <col min="3" max="3" width="12.75" style="1680" customWidth="1"/>
    <col min="4" max="4" width="9.125" style="1744" customWidth="1"/>
    <col min="5" max="5" width="15" style="1680" bestFit="1" customWidth="1"/>
    <col min="6" max="10" width="8.875" style="1680" customWidth="1"/>
    <col min="11" max="12" width="12.375" style="1599" customWidth="1"/>
    <col min="13" max="13" width="8.625" style="1680" customWidth="1"/>
    <col min="14" max="14" width="11.875" style="1680" customWidth="1"/>
    <col min="15" max="15" width="8.5" style="1680" customWidth="1"/>
    <col min="16" max="17" width="10.875" style="1680" customWidth="1"/>
    <col min="18" max="19" width="12.5" style="1680" customWidth="1"/>
    <col min="20" max="20" width="12.125" style="1680" customWidth="1"/>
    <col min="21" max="21" width="7.5" style="1680" customWidth="1"/>
    <col min="22" max="22" width="10.125" style="1680" customWidth="1"/>
    <col min="23" max="24" width="6.75" style="1680" customWidth="1"/>
    <col min="25" max="25" width="8.625" style="1680" customWidth="1"/>
    <col min="26" max="30" width="6.75" style="1680" customWidth="1"/>
    <col min="31" max="31" width="8" style="1680" customWidth="1"/>
    <col min="32" max="33" width="7.25" style="1680" customWidth="1"/>
    <col min="34" max="34" width="10" style="1680" customWidth="1"/>
    <col min="35" max="39" width="8" style="1680" customWidth="1"/>
    <col min="40" max="40" width="13.75" style="1679"/>
    <col min="41" max="41" width="11.625" style="1679" customWidth="1"/>
    <col min="42" max="42" width="9.75" style="1679" customWidth="1"/>
    <col min="43" max="67" width="13.75" style="1679"/>
    <col min="68" max="16384" width="13.75" style="1680"/>
  </cols>
  <sheetData>
    <row r="1" spans="1:67" ht="19.5" thickBot="1">
      <c r="A1" s="1677" t="s">
        <v>1160</v>
      </c>
      <c r="B1" s="678"/>
      <c r="C1" s="1189"/>
      <c r="D1" s="1678"/>
      <c r="E1" s="1189"/>
      <c r="F1" s="1189"/>
      <c r="G1" s="1189"/>
      <c r="H1" s="1189"/>
      <c r="I1" s="1189"/>
      <c r="J1" s="1189"/>
      <c r="K1" s="159"/>
      <c r="L1" s="159"/>
      <c r="M1" s="1189"/>
      <c r="N1" s="1189"/>
      <c r="O1" s="1189"/>
      <c r="P1" s="1189"/>
      <c r="Q1" s="1189"/>
      <c r="R1" s="1189"/>
      <c r="S1" s="1189"/>
      <c r="T1" s="1189"/>
      <c r="U1" s="1189"/>
      <c r="V1" s="1189"/>
      <c r="W1" s="1189"/>
      <c r="X1" s="1189"/>
      <c r="Y1" s="1189"/>
      <c r="Z1" s="1189"/>
      <c r="AA1" s="1189"/>
      <c r="AB1" s="1189"/>
      <c r="AC1" s="1189"/>
      <c r="AD1" s="1189"/>
      <c r="AE1" s="1189"/>
      <c r="AF1" s="1189"/>
      <c r="AG1" s="1189"/>
      <c r="AH1" s="1189"/>
      <c r="AI1" s="1189"/>
      <c r="AJ1" s="1189"/>
      <c r="AK1" s="1189"/>
      <c r="AL1" s="1189"/>
      <c r="AM1" s="1189"/>
      <c r="AN1" s="2668"/>
      <c r="AO1" s="2668"/>
      <c r="AP1" s="2668"/>
      <c r="AQ1" s="2668"/>
      <c r="AR1" s="2668"/>
    </row>
    <row r="2" spans="1:67" s="1557" customFormat="1" ht="15.75" thickBot="1">
      <c r="A2" s="1681" t="s">
        <v>1161</v>
      </c>
      <c r="B2" s="1044">
        <f>项目基本情况!D3</f>
        <v>45068</v>
      </c>
      <c r="C2" s="1682"/>
      <c r="D2" s="1683"/>
      <c r="E2" s="1682"/>
      <c r="F2" s="1682"/>
      <c r="G2" s="1682"/>
      <c r="H2" s="1682"/>
      <c r="I2" s="1682"/>
      <c r="J2" s="1682"/>
      <c r="K2" s="1167"/>
      <c r="L2" s="1167"/>
      <c r="M2" s="1682"/>
      <c r="N2" s="1682"/>
      <c r="O2" s="1682"/>
      <c r="P2" s="1682"/>
      <c r="Q2" s="1682"/>
      <c r="R2" s="1682"/>
      <c r="S2" s="1682"/>
      <c r="T2" s="1682"/>
      <c r="U2" s="1682"/>
      <c r="V2" s="1682"/>
      <c r="W2" s="1682"/>
      <c r="X2" s="1682"/>
      <c r="Y2" s="1682"/>
      <c r="Z2" s="1682"/>
      <c r="AA2" s="1682"/>
      <c r="AB2" s="1682"/>
      <c r="AC2" s="1682"/>
      <c r="AD2" s="1682"/>
      <c r="AE2" s="1682"/>
      <c r="AF2" s="1682"/>
      <c r="AG2" s="1682"/>
      <c r="AH2" s="1682"/>
      <c r="AI2" s="1682"/>
      <c r="AJ2" s="1682"/>
      <c r="AK2" s="1682"/>
      <c r="AL2" s="1682"/>
      <c r="AM2" s="1682"/>
      <c r="AN2" s="2670"/>
      <c r="AO2" s="2670"/>
      <c r="AP2" s="2670"/>
      <c r="AQ2" s="2670"/>
      <c r="AR2" s="2670"/>
      <c r="AS2" s="1684"/>
      <c r="AT2" s="1684"/>
      <c r="AU2" s="1684"/>
      <c r="AV2" s="1684"/>
      <c r="AW2" s="1684"/>
      <c r="AX2" s="1684"/>
      <c r="AY2" s="1684"/>
      <c r="AZ2" s="1684"/>
      <c r="BA2" s="1684"/>
      <c r="BB2" s="1684"/>
      <c r="BC2" s="1684"/>
      <c r="BD2" s="1684"/>
      <c r="BE2" s="1684"/>
      <c r="BF2" s="1684"/>
      <c r="BG2" s="1684"/>
      <c r="BH2" s="1684"/>
      <c r="BI2" s="1684"/>
      <c r="BJ2" s="1684"/>
      <c r="BK2" s="1684"/>
      <c r="BL2" s="1684"/>
      <c r="BM2" s="1684"/>
      <c r="BN2" s="1684"/>
      <c r="BO2" s="1684"/>
    </row>
    <row r="3" spans="1:67" s="1557" customFormat="1" ht="15" thickBot="1">
      <c r="A3" s="1555"/>
      <c r="B3" s="1685"/>
      <c r="C3" s="1682"/>
      <c r="D3" s="1683"/>
      <c r="E3" s="1682"/>
      <c r="F3" s="1682"/>
      <c r="G3" s="1682"/>
      <c r="H3" s="1682"/>
      <c r="I3" s="1682"/>
      <c r="J3" s="1682"/>
      <c r="K3" s="1167"/>
      <c r="L3" s="1167"/>
      <c r="M3" s="1682"/>
      <c r="N3" s="1682"/>
      <c r="O3" s="1682"/>
      <c r="P3" s="1682"/>
      <c r="Q3" s="1682"/>
      <c r="R3" s="1682"/>
      <c r="S3" s="1682"/>
      <c r="T3" s="1682"/>
      <c r="U3" s="1682"/>
      <c r="V3" s="1682"/>
      <c r="W3" s="1682"/>
      <c r="X3" s="1682"/>
      <c r="Y3" s="1682"/>
      <c r="Z3" s="1682"/>
      <c r="AA3" s="1682"/>
      <c r="AB3" s="1682"/>
      <c r="AC3" s="1682"/>
      <c r="AD3" s="1682"/>
      <c r="AE3" s="1682"/>
      <c r="AF3" s="1682"/>
      <c r="AG3" s="1682"/>
      <c r="AH3" s="1682"/>
      <c r="AI3" s="1682"/>
      <c r="AJ3" s="1682"/>
      <c r="AK3" s="1682"/>
      <c r="AL3" s="1682"/>
      <c r="AM3" s="1682"/>
      <c r="AN3" s="2670"/>
      <c r="AO3" s="2670"/>
      <c r="AP3" s="2670"/>
      <c r="AQ3" s="2670"/>
      <c r="AR3" s="2670"/>
      <c r="AS3" s="1684"/>
      <c r="AT3" s="1684"/>
      <c r="AU3" s="1684"/>
      <c r="AV3" s="1684"/>
      <c r="AW3" s="1684"/>
      <c r="AX3" s="1684"/>
      <c r="AY3" s="1684"/>
      <c r="AZ3" s="1684"/>
      <c r="BA3" s="1684"/>
      <c r="BB3" s="1684"/>
      <c r="BC3" s="1684"/>
      <c r="BD3" s="1684"/>
      <c r="BE3" s="1684"/>
      <c r="BF3" s="1684"/>
      <c r="BG3" s="1684"/>
      <c r="BH3" s="1684"/>
      <c r="BI3" s="1684"/>
      <c r="BJ3" s="1684"/>
      <c r="BK3" s="1684"/>
      <c r="BL3" s="1684"/>
      <c r="BM3" s="1684"/>
      <c r="BN3" s="1684"/>
      <c r="BO3" s="1684"/>
    </row>
    <row r="4" spans="1:67" s="1557" customFormat="1" ht="15" thickBot="1">
      <c r="A4" s="60" t="s">
        <v>1162</v>
      </c>
      <c r="B4" s="1686"/>
      <c r="C4" s="1687"/>
      <c r="D4" s="1688"/>
      <c r="E4" s="1687" t="s">
        <v>1163</v>
      </c>
      <c r="F4" s="1687"/>
      <c r="G4" s="1687"/>
      <c r="H4" s="1687"/>
      <c r="I4" s="1687"/>
      <c r="J4" s="1689"/>
      <c r="K4" s="1690"/>
      <c r="L4" s="1691"/>
      <c r="M4" s="1687"/>
      <c r="N4" s="1687" t="s">
        <v>1164</v>
      </c>
      <c r="O4" s="1687"/>
      <c r="P4" s="1687"/>
      <c r="Q4" s="1687"/>
      <c r="R4" s="1687"/>
      <c r="S4" s="1689"/>
      <c r="T4" s="2655" t="str">
        <f>'数据-汇总表'!I17</f>
        <v>按面积比例</v>
      </c>
      <c r="U4" s="1686" t="s">
        <v>1165</v>
      </c>
      <c r="V4" s="1687"/>
      <c r="W4" s="1687"/>
      <c r="X4" s="1687"/>
      <c r="Y4" s="1689"/>
      <c r="Z4" s="1650" t="s">
        <v>1166</v>
      </c>
      <c r="AA4" s="1650"/>
      <c r="AB4" s="1650"/>
      <c r="AC4" s="1650"/>
      <c r="AD4" s="1650"/>
      <c r="AE4" s="1648" t="s">
        <v>1167</v>
      </c>
      <c r="AF4" s="1650"/>
      <c r="AG4" s="1692"/>
      <c r="AH4" s="1686"/>
      <c r="AI4" s="1687"/>
      <c r="AJ4" s="1687"/>
      <c r="AK4" s="1687"/>
      <c r="AL4" s="1687"/>
      <c r="AM4" s="1689"/>
      <c r="AN4" s="2670"/>
      <c r="AO4" s="2670"/>
      <c r="AP4" s="2670"/>
      <c r="AQ4" s="2670"/>
      <c r="AR4" s="2670"/>
      <c r="AS4" s="1684"/>
      <c r="AT4" s="1684"/>
      <c r="AU4" s="1684"/>
      <c r="AV4" s="1684"/>
      <c r="AW4" s="1684"/>
      <c r="AX4" s="1684"/>
      <c r="AY4" s="1684"/>
      <c r="AZ4" s="1684"/>
      <c r="BA4" s="1684"/>
      <c r="BB4" s="1684"/>
      <c r="BC4" s="1684"/>
      <c r="BD4" s="1684"/>
      <c r="BE4" s="1684"/>
      <c r="BF4" s="1684"/>
      <c r="BG4" s="1684"/>
      <c r="BH4" s="1684"/>
      <c r="BI4" s="1684"/>
      <c r="BJ4" s="1684"/>
      <c r="BK4" s="1684"/>
      <c r="BL4" s="1684"/>
      <c r="BM4" s="1684"/>
      <c r="BN4" s="1684"/>
      <c r="BO4" s="1684"/>
    </row>
    <row r="5" spans="1:67" s="1558" customFormat="1" ht="42">
      <c r="A5" s="1693" t="s">
        <v>1168</v>
      </c>
      <c r="B5" s="1694" t="s">
        <v>1169</v>
      </c>
      <c r="C5" s="1695" t="s">
        <v>1170</v>
      </c>
      <c r="D5" s="1696" t="s">
        <v>1171</v>
      </c>
      <c r="E5" s="1046" t="s">
        <v>1172</v>
      </c>
      <c r="F5" s="1697" t="s">
        <v>1173</v>
      </c>
      <c r="G5" s="1046" t="s">
        <v>1174</v>
      </c>
      <c r="H5" s="1046" t="s">
        <v>1175</v>
      </c>
      <c r="I5" s="1046" t="s">
        <v>1176</v>
      </c>
      <c r="J5" s="1698" t="s">
        <v>1177</v>
      </c>
      <c r="K5" s="1699" t="s">
        <v>1178</v>
      </c>
      <c r="L5" s="1700" t="s">
        <v>1179</v>
      </c>
      <c r="M5" s="1701" t="s">
        <v>1180</v>
      </c>
      <c r="N5" s="1702" t="s">
        <v>3395</v>
      </c>
      <c r="O5" s="1700" t="s">
        <v>1181</v>
      </c>
      <c r="P5" s="1703" t="s">
        <v>1182</v>
      </c>
      <c r="Q5" s="61" t="s">
        <v>1183</v>
      </c>
      <c r="R5" s="1704" t="s">
        <v>1184</v>
      </c>
      <c r="S5" s="1705" t="s">
        <v>1185</v>
      </c>
      <c r="T5" s="1706" t="s">
        <v>1186</v>
      </c>
      <c r="U5" s="1045" t="s">
        <v>1187</v>
      </c>
      <c r="V5" s="1046" t="s">
        <v>1188</v>
      </c>
      <c r="W5" s="1046" t="s">
        <v>1189</v>
      </c>
      <c r="X5" s="63"/>
      <c r="Y5" s="62" t="s">
        <v>1190</v>
      </c>
      <c r="Z5" s="1707" t="s">
        <v>1187</v>
      </c>
      <c r="AA5" s="1046" t="s">
        <v>1188</v>
      </c>
      <c r="AB5" s="1046" t="s">
        <v>1189</v>
      </c>
      <c r="AC5" s="63"/>
      <c r="AD5" s="63" t="s">
        <v>1190</v>
      </c>
      <c r="AE5" s="1045" t="s">
        <v>1191</v>
      </c>
      <c r="AF5" s="1046" t="s">
        <v>1192</v>
      </c>
      <c r="AG5" s="62" t="s">
        <v>1193</v>
      </c>
      <c r="AH5" s="1045" t="s">
        <v>1194</v>
      </c>
      <c r="AI5" s="1707" t="s">
        <v>1195</v>
      </c>
      <c r="AJ5" s="1707" t="s">
        <v>1196</v>
      </c>
      <c r="AK5" s="1046" t="s">
        <v>1197</v>
      </c>
      <c r="AL5" s="1046" t="s">
        <v>1198</v>
      </c>
      <c r="AM5" s="62" t="s">
        <v>1199</v>
      </c>
      <c r="AN5" s="1708" t="s">
        <v>1200</v>
      </c>
      <c r="AO5" s="1560" t="s">
        <v>1201</v>
      </c>
      <c r="AP5" s="1027" t="s">
        <v>1202</v>
      </c>
      <c r="AQ5" s="1709" t="s">
        <v>1203</v>
      </c>
      <c r="AR5" s="1709" t="s">
        <v>1204</v>
      </c>
      <c r="AS5" s="1570"/>
      <c r="AT5" s="1570"/>
      <c r="AU5" s="1570"/>
      <c r="AV5" s="1570"/>
      <c r="AW5" s="1570"/>
      <c r="AX5" s="1570"/>
      <c r="AY5" s="1570"/>
      <c r="AZ5" s="1570"/>
      <c r="BA5" s="1570"/>
      <c r="BB5" s="1570"/>
      <c r="BC5" s="1570"/>
      <c r="BD5" s="1570"/>
      <c r="BE5" s="1570"/>
      <c r="BF5" s="1570"/>
      <c r="BG5" s="1570"/>
      <c r="BH5" s="1570"/>
      <c r="BI5" s="1570"/>
      <c r="BJ5" s="1570"/>
      <c r="BK5" s="1570"/>
      <c r="BL5" s="1570"/>
      <c r="BM5" s="1570"/>
      <c r="BN5" s="1570"/>
      <c r="BO5" s="1570"/>
    </row>
    <row r="6" spans="1:67" s="1557" customFormat="1" ht="14.25">
      <c r="A6" s="1710" t="str">
        <f>'数据-汇总表'!C19</f>
        <v>商业</v>
      </c>
      <c r="B6" s="1711" t="str">
        <f>IF(A6=0,"","经营性")</f>
        <v>经营性</v>
      </c>
      <c r="C6" s="1712" t="s">
        <v>673</v>
      </c>
      <c r="D6" s="857">
        <f>SUMIF(项目基本情况!C$12:I$12,C6,项目基本情况!C$14:I$14)</f>
        <v>40</v>
      </c>
      <c r="E6" s="856">
        <f>IF(B6="","",SUMIF(项目基本情况!C$12:I$12,C6,项目基本情况!C$13:I$13))</f>
        <v>51945</v>
      </c>
      <c r="F6" s="64">
        <f>SUMIF(项目基本情况!C$12:I$12,C6,项目基本情况!C$15:I$15)</f>
        <v>18.84</v>
      </c>
      <c r="G6" s="65">
        <f>IF(ISERROR(ROUND(POWER(1+H6,D6-F6)*(POWER(1+H6,F6)-1)/(POWER(1+H6,D6)-1),3)),0,ROUND(POWER(1+H6,D6-F6)*(POWER(1+H6,F6)-1)/(POWER(1+H6,D6)-1),3))</f>
        <v>0.70099999999999996</v>
      </c>
      <c r="H6" s="731">
        <v>0.05</v>
      </c>
      <c r="I6" s="731">
        <v>5.5E-2</v>
      </c>
      <c r="J6" s="66">
        <v>7.4999999999999997E-2</v>
      </c>
      <c r="K6" s="1029">
        <f>SUMIF('数据-汇总表'!C$19:C$33,A6,'数据-汇总表'!E$19:E$33)</f>
        <v>20062.899999999998</v>
      </c>
      <c r="L6" s="732">
        <v>5000</v>
      </c>
      <c r="M6" s="67">
        <f t="shared" ref="M6:M14" si="0">ROUND(K6*L6/10000,0)</f>
        <v>10031</v>
      </c>
      <c r="N6" s="730">
        <v>0.75</v>
      </c>
      <c r="O6" s="67" t="str">
        <f>IF($N$5="成新度","——",ROUND(M6*N6,0))</f>
        <v>——</v>
      </c>
      <c r="P6" s="68" t="str">
        <f>IF($N$5="成新度","——",M6-O6)</f>
        <v>——</v>
      </c>
      <c r="Q6" s="733">
        <v>0.2</v>
      </c>
      <c r="R6" s="69">
        <f ca="1">SUMIF('数据-汇总表'!C$19:C$33,A6,'数据-汇总表'!R$19:R$27)</f>
        <v>10405.33</v>
      </c>
      <c r="S6" s="51">
        <f>IF('数据-汇总表'!$I$17="按面积比例",SUMIF('数据-汇总表'!C$19:C$33,A6,'数据-汇总表'!K$19:K$33),SUMIF('数据-汇总表'!C$19:C$33,A6,'数据-汇总表'!N$19:N$33))</f>
        <v>0</v>
      </c>
      <c r="T6" s="1171">
        <f>ROUND($L$14*S6/10000,0)</f>
        <v>0</v>
      </c>
      <c r="U6" s="3424">
        <v>2</v>
      </c>
      <c r="V6" s="70">
        <v>0.03</v>
      </c>
      <c r="W6" s="70">
        <v>0.1</v>
      </c>
      <c r="X6" s="1039"/>
      <c r="Y6" s="71">
        <f>N6</f>
        <v>0.75</v>
      </c>
      <c r="Z6" s="72"/>
      <c r="AA6" s="66"/>
      <c r="AB6" s="66"/>
      <c r="AC6" s="1039"/>
      <c r="AD6" s="73"/>
      <c r="AE6" s="1040">
        <f ca="1">IF(AN6="",0,SUMIF(INDIRECT("'"&amp;AN6&amp;"'"&amp;"!E:E"),$AE$5,INDIRECT("'"&amp;AN6&amp;"'"&amp;"!F:F")))</f>
        <v>18.84</v>
      </c>
      <c r="AF6" s="1346"/>
      <c r="AG6" s="138">
        <f>IF(AF6="",0,AE6-AF6)</f>
        <v>0</v>
      </c>
      <c r="AH6" s="74"/>
      <c r="AI6" s="76">
        <v>365</v>
      </c>
      <c r="AJ6" s="77"/>
      <c r="AK6" s="78">
        <v>5.0000000000000001E-3</v>
      </c>
      <c r="AL6" s="79">
        <v>1E-3</v>
      </c>
      <c r="AM6" s="80">
        <v>5.0000000000000001E-3</v>
      </c>
      <c r="AN6" s="1713" t="s">
        <v>3402</v>
      </c>
      <c r="AO6" s="52">
        <f ca="1">SUMIF(INDIRECT("'"&amp;AN6&amp;"'"&amp;"!A:A"),"总价",INDIRECT("'"&amp;AN6&amp;"'"&amp;"!B:B"))</f>
        <v>16158</v>
      </c>
      <c r="AP6" s="1714">
        <f>IF(C6="住宅",K6*L6,0)</f>
        <v>0</v>
      </c>
      <c r="AQ6" s="52">
        <f>ROUND($L$14*$N$14*S6/10000,0)</f>
        <v>0</v>
      </c>
      <c r="AR6" s="52">
        <f>ROUND($L$14*(1-$N$14)*S6/10000,0)</f>
        <v>0</v>
      </c>
      <c r="AS6" s="1684"/>
      <c r="AT6" s="1684"/>
      <c r="AU6" s="1684"/>
      <c r="AV6" s="1684"/>
      <c r="AW6" s="1684"/>
      <c r="AX6" s="1684"/>
      <c r="AY6" s="1684"/>
      <c r="AZ6" s="1684"/>
      <c r="BA6" s="1684"/>
      <c r="BB6" s="1684"/>
      <c r="BC6" s="1684"/>
      <c r="BD6" s="1684"/>
      <c r="BE6" s="1684"/>
      <c r="BF6" s="1684"/>
      <c r="BG6" s="1684"/>
      <c r="BH6" s="1684"/>
      <c r="BI6" s="1684"/>
      <c r="BJ6" s="1684"/>
      <c r="BK6" s="1684"/>
      <c r="BL6" s="1684"/>
      <c r="BM6" s="1684"/>
      <c r="BN6" s="1684"/>
      <c r="BO6" s="1684"/>
    </row>
    <row r="7" spans="1:67" s="1557" customFormat="1" ht="14.25">
      <c r="A7" s="1710">
        <f>'数据-汇总表'!C20</f>
        <v>0</v>
      </c>
      <c r="B7" s="1711" t="str">
        <f t="shared" ref="B7:B13" si="1">IF(A7=0,"","经营性")</f>
        <v/>
      </c>
      <c r="C7" s="1712"/>
      <c r="D7" s="857">
        <f>SUMIF(项目基本情况!C$12:I$12,C7,项目基本情况!C$14:I$14)</f>
        <v>0</v>
      </c>
      <c r="E7" s="856"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31"/>
      <c r="I7" s="731"/>
      <c r="J7" s="66"/>
      <c r="K7" s="1029">
        <f>SUMIF('数据-汇总表'!C$19:C$33,A7,'数据-汇总表'!E$19:E$33)</f>
        <v>0</v>
      </c>
      <c r="L7" s="732"/>
      <c r="M7" s="67">
        <f t="shared" si="0"/>
        <v>0</v>
      </c>
      <c r="N7" s="730"/>
      <c r="O7" s="67" t="str">
        <f t="shared" ref="O7:O14" si="3">IF($N$5="成新度","——",ROUND(M7*N7,0))</f>
        <v>——</v>
      </c>
      <c r="P7" s="68" t="str">
        <f t="shared" ref="P7:P14" si="4">IF($N$5="成新度","——",M7-O7)</f>
        <v>——</v>
      </c>
      <c r="Q7" s="733"/>
      <c r="R7" s="69">
        <f ca="1">SUMIF('数据-汇总表'!C$19:C$33,A7,'数据-汇总表'!R$19:R$27)</f>
        <v>0</v>
      </c>
      <c r="S7" s="51">
        <f>IF('数据-汇总表'!$I$17="按面积比例",SUMIF('数据-汇总表'!C$19:C$33,A7,'数据-汇总表'!K$19:K$33),SUMIF('数据-汇总表'!C$19:C$33,A7,'数据-汇总表'!N$19:N$33))</f>
        <v>0</v>
      </c>
      <c r="T7" s="1171">
        <f t="shared" ref="T7:T13" si="5">ROUND($L$14*S7/10000,0)</f>
        <v>0</v>
      </c>
      <c r="U7" s="3424"/>
      <c r="V7" s="70"/>
      <c r="W7" s="70"/>
      <c r="X7" s="1039"/>
      <c r="Y7" s="71"/>
      <c r="Z7" s="72"/>
      <c r="AA7" s="66"/>
      <c r="AB7" s="66"/>
      <c r="AC7" s="1039"/>
      <c r="AD7" s="73"/>
      <c r="AE7" s="1040">
        <f t="shared" ref="AE7:AE13" ca="1" si="6">IF(AN7="",0,SUMIF(INDIRECT("'"&amp;AN7&amp;"'"&amp;"!E:E"),$AE$5,INDIRECT("'"&amp;AN7&amp;"'"&amp;"!F:F")))</f>
        <v>0</v>
      </c>
      <c r="AF7" s="1346"/>
      <c r="AG7" s="138">
        <f t="shared" ref="AG7:AG13" si="7">IF(AF7="",0,AE7-AF7)</f>
        <v>0</v>
      </c>
      <c r="AH7" s="3424"/>
      <c r="AI7" s="76"/>
      <c r="AJ7" s="77"/>
      <c r="AK7" s="78"/>
      <c r="AL7" s="79"/>
      <c r="AM7" s="80"/>
      <c r="AN7" s="1713"/>
      <c r="AO7" s="52" t="e">
        <f t="shared" ref="AO7:AO13" ca="1" si="8">SUMIF(INDIRECT("'"&amp;AN7&amp;"'"&amp;"!A:A"),"总价",INDIRECT("'"&amp;AN7&amp;"'"&amp;"!B:B"))</f>
        <v>#REF!</v>
      </c>
      <c r="AP7" s="1714">
        <f t="shared" ref="AP7:AP13" si="9">IF(C7="住宅",K7*L7,0)</f>
        <v>0</v>
      </c>
      <c r="AQ7" s="52">
        <f t="shared" ref="AQ7:AQ13" si="10">ROUND($L$14*$N$14*S7/10000,0)</f>
        <v>0</v>
      </c>
      <c r="AR7" s="52">
        <f t="shared" ref="AR7:AR13" si="11">ROUND($L$14*(1-$N$14)*S7/10000,0)</f>
        <v>0</v>
      </c>
      <c r="AS7" s="1684"/>
      <c r="AT7" s="1684"/>
      <c r="AU7" s="1684"/>
      <c r="AV7" s="1684"/>
      <c r="AW7" s="1684"/>
      <c r="AX7" s="1684"/>
      <c r="AY7" s="1684"/>
      <c r="AZ7" s="1684"/>
      <c r="BA7" s="1684"/>
      <c r="BB7" s="1684"/>
      <c r="BC7" s="1684"/>
      <c r="BD7" s="1684"/>
      <c r="BE7" s="1684"/>
      <c r="BF7" s="1684"/>
      <c r="BG7" s="1684"/>
      <c r="BH7" s="1684"/>
      <c r="BI7" s="1684"/>
      <c r="BJ7" s="1684"/>
      <c r="BK7" s="1684"/>
      <c r="BL7" s="1684"/>
      <c r="BM7" s="1684"/>
      <c r="BN7" s="1684"/>
      <c r="BO7" s="1684"/>
    </row>
    <row r="8" spans="1:67" s="1557" customFormat="1" ht="14.25">
      <c r="A8" s="1710">
        <f>'数据-汇总表'!C21</f>
        <v>0</v>
      </c>
      <c r="B8" s="1711" t="str">
        <f t="shared" si="1"/>
        <v/>
      </c>
      <c r="C8" s="1712"/>
      <c r="D8" s="857">
        <f>SUMIF(项目基本情况!C$12:I$12,C8,项目基本情况!C$14:I$14)</f>
        <v>0</v>
      </c>
      <c r="E8" s="856" t="str">
        <f>IF(B8="","",SUMIF(项目基本情况!C$12:I$12,C8,项目基本情况!C$13:I$13))</f>
        <v/>
      </c>
      <c r="F8" s="64">
        <f>SUMIF(项目基本情况!C$12:I$12,C8,项目基本情况!C$15:I$15)</f>
        <v>0</v>
      </c>
      <c r="G8" s="65">
        <f t="shared" si="2"/>
        <v>0</v>
      </c>
      <c r="H8" s="731"/>
      <c r="I8" s="731"/>
      <c r="J8" s="66"/>
      <c r="K8" s="1029">
        <f>SUMIF('数据-汇总表'!C$19:C$33,A8,'数据-汇总表'!E$19:E$33)</f>
        <v>0</v>
      </c>
      <c r="L8" s="732"/>
      <c r="M8" s="67">
        <f>ROUND(K8*L8/10000,0)</f>
        <v>0</v>
      </c>
      <c r="N8" s="730"/>
      <c r="O8" s="67" t="str">
        <f t="shared" si="3"/>
        <v>——</v>
      </c>
      <c r="P8" s="68" t="str">
        <f t="shared" si="4"/>
        <v>——</v>
      </c>
      <c r="Q8" s="733"/>
      <c r="R8" s="69">
        <f ca="1">SUMIF('数据-汇总表'!C$19:C$33,A8,'数据-汇总表'!R$19:R$27)</f>
        <v>0</v>
      </c>
      <c r="S8" s="51">
        <f>IF('数据-汇总表'!$I$17="按面积比例",SUMIF('数据-汇总表'!C$19:C$33,A8,'数据-汇总表'!K$19:K$33),SUMIF('数据-汇总表'!C$19:C$33,A8,'数据-汇总表'!N$19:N$33))</f>
        <v>0</v>
      </c>
      <c r="T8" s="1171">
        <f t="shared" si="5"/>
        <v>0</v>
      </c>
      <c r="U8" s="3425"/>
      <c r="V8" s="734"/>
      <c r="W8" s="734"/>
      <c r="X8" s="1039"/>
      <c r="Y8" s="71"/>
      <c r="Z8" s="72"/>
      <c r="AA8" s="66"/>
      <c r="AB8" s="66"/>
      <c r="AC8" s="1039"/>
      <c r="AD8" s="73"/>
      <c r="AE8" s="1040">
        <f t="shared" ca="1" si="6"/>
        <v>0</v>
      </c>
      <c r="AF8" s="1346"/>
      <c r="AG8" s="138">
        <f t="shared" si="7"/>
        <v>0</v>
      </c>
      <c r="AH8" s="735"/>
      <c r="AI8" s="76"/>
      <c r="AJ8" s="77"/>
      <c r="AK8" s="736"/>
      <c r="AL8" s="737"/>
      <c r="AM8" s="738"/>
      <c r="AN8" s="1713"/>
      <c r="AO8" s="52" t="e">
        <f t="shared" ca="1" si="8"/>
        <v>#REF!</v>
      </c>
      <c r="AP8" s="1714">
        <f t="shared" si="9"/>
        <v>0</v>
      </c>
      <c r="AQ8" s="52">
        <f t="shared" si="10"/>
        <v>0</v>
      </c>
      <c r="AR8" s="52">
        <f t="shared" si="11"/>
        <v>0</v>
      </c>
      <c r="AS8" s="1684"/>
      <c r="AT8" s="1684"/>
      <c r="AU8" s="1684"/>
      <c r="AV8" s="1684"/>
      <c r="AW8" s="1684"/>
      <c r="AX8" s="1684"/>
      <c r="AY8" s="1684"/>
      <c r="AZ8" s="1684"/>
      <c r="BA8" s="1684"/>
      <c r="BB8" s="1684"/>
      <c r="BC8" s="1684"/>
      <c r="BD8" s="1684"/>
      <c r="BE8" s="1684"/>
      <c r="BF8" s="1684"/>
      <c r="BG8" s="1684"/>
      <c r="BH8" s="1684"/>
      <c r="BI8" s="1684"/>
      <c r="BJ8" s="1684"/>
      <c r="BK8" s="1684"/>
      <c r="BL8" s="1684"/>
      <c r="BM8" s="1684"/>
      <c r="BN8" s="1684"/>
      <c r="BO8" s="1684"/>
    </row>
    <row r="9" spans="1:67" s="1557" customFormat="1" ht="14.25">
      <c r="A9" s="1710">
        <f>'数据-汇总表'!C22</f>
        <v>0</v>
      </c>
      <c r="B9" s="1711" t="str">
        <f t="shared" si="1"/>
        <v/>
      </c>
      <c r="C9" s="1712"/>
      <c r="D9" s="857">
        <f>SUMIF(项目基本情况!C$12:I$12,C9,项目基本情况!C$14:I$14)</f>
        <v>0</v>
      </c>
      <c r="E9" s="856" t="str">
        <f>IF(B9="","",SUMIF(项目基本情况!C$12:I$12,C9,项目基本情况!C$13:I$13))</f>
        <v/>
      </c>
      <c r="F9" s="64">
        <f>SUMIF(项目基本情况!C$12:I$12,C9,项目基本情况!C$15:I$15)</f>
        <v>0</v>
      </c>
      <c r="G9" s="65">
        <f t="shared" si="2"/>
        <v>0</v>
      </c>
      <c r="H9" s="66"/>
      <c r="I9" s="66"/>
      <c r="J9" s="66"/>
      <c r="K9" s="1029">
        <f>SUMIF('数据-汇总表'!C$19:C$33,A9,'数据-汇总表'!E$19:E$33)</f>
        <v>0</v>
      </c>
      <c r="L9" s="732"/>
      <c r="M9" s="67">
        <f t="shared" si="0"/>
        <v>0</v>
      </c>
      <c r="N9" s="730"/>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1">
        <f t="shared" si="5"/>
        <v>0</v>
      </c>
      <c r="U9" s="3424"/>
      <c r="V9" s="70"/>
      <c r="W9" s="70"/>
      <c r="X9" s="1039"/>
      <c r="Y9" s="71"/>
      <c r="Z9" s="72"/>
      <c r="AA9" s="66"/>
      <c r="AB9" s="66"/>
      <c r="AC9" s="1039"/>
      <c r="AD9" s="73"/>
      <c r="AE9" s="1040">
        <f t="shared" ca="1" si="6"/>
        <v>0</v>
      </c>
      <c r="AF9" s="1346"/>
      <c r="AG9" s="138">
        <f t="shared" si="7"/>
        <v>0</v>
      </c>
      <c r="AH9" s="74"/>
      <c r="AI9" s="76"/>
      <c r="AJ9" s="77"/>
      <c r="AK9" s="78"/>
      <c r="AL9" s="79"/>
      <c r="AM9" s="80"/>
      <c r="AN9" s="1713"/>
      <c r="AO9" s="52" t="e">
        <f t="shared" ca="1" si="8"/>
        <v>#REF!</v>
      </c>
      <c r="AP9" s="1714">
        <f t="shared" si="9"/>
        <v>0</v>
      </c>
      <c r="AQ9" s="52">
        <f t="shared" si="10"/>
        <v>0</v>
      </c>
      <c r="AR9" s="52">
        <f t="shared" si="11"/>
        <v>0</v>
      </c>
      <c r="AS9" s="1684"/>
      <c r="AT9" s="1684"/>
      <c r="AU9" s="1684"/>
      <c r="AV9" s="1684"/>
      <c r="AW9" s="1684"/>
      <c r="AX9" s="1684"/>
      <c r="AY9" s="1684"/>
      <c r="AZ9" s="1684"/>
      <c r="BA9" s="1684"/>
      <c r="BB9" s="1684"/>
      <c r="BC9" s="1684"/>
      <c r="BD9" s="1684"/>
      <c r="BE9" s="1684"/>
      <c r="BF9" s="1684"/>
      <c r="BG9" s="1684"/>
      <c r="BH9" s="1684"/>
      <c r="BI9" s="1684"/>
      <c r="BJ9" s="1684"/>
      <c r="BK9" s="1684"/>
      <c r="BL9" s="1684"/>
      <c r="BM9" s="1684"/>
      <c r="BN9" s="1684"/>
      <c r="BO9" s="1684"/>
    </row>
    <row r="10" spans="1:67" s="1557" customFormat="1" ht="14.25">
      <c r="A10" s="1710">
        <f>'数据-汇总表'!C23</f>
        <v>0</v>
      </c>
      <c r="B10" s="1711" t="str">
        <f t="shared" si="1"/>
        <v/>
      </c>
      <c r="C10" s="1712"/>
      <c r="D10" s="857">
        <f>SUMIF(项目基本情况!C$12:I$12,C10,项目基本情况!C$14:I$14)</f>
        <v>0</v>
      </c>
      <c r="E10" s="856" t="str">
        <f>IF(B10="","",SUMIF(项目基本情况!C$12:I$12,C10,项目基本情况!C$13:I$13))</f>
        <v/>
      </c>
      <c r="F10" s="64">
        <f>SUMIF(项目基本情况!C$12:I$12,C10,项目基本情况!C$15:I$15)</f>
        <v>0</v>
      </c>
      <c r="G10" s="65">
        <f t="shared" si="2"/>
        <v>0</v>
      </c>
      <c r="H10" s="66"/>
      <c r="I10" s="66"/>
      <c r="J10" s="66"/>
      <c r="K10" s="1029">
        <f>SUMIF('数据-汇总表'!C$19:C$33,A10,'数据-汇总表'!E$19:E$33)</f>
        <v>0</v>
      </c>
      <c r="L10" s="732"/>
      <c r="M10" s="67">
        <f t="shared" si="0"/>
        <v>0</v>
      </c>
      <c r="N10" s="730"/>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1">
        <f t="shared" si="5"/>
        <v>0</v>
      </c>
      <c r="U10" s="3424"/>
      <c r="V10" s="70"/>
      <c r="W10" s="70"/>
      <c r="X10" s="1039"/>
      <c r="Y10" s="71"/>
      <c r="Z10" s="72"/>
      <c r="AA10" s="66"/>
      <c r="AB10" s="66"/>
      <c r="AC10" s="1039"/>
      <c r="AD10" s="73"/>
      <c r="AE10" s="1040">
        <f t="shared" ca="1" si="6"/>
        <v>0</v>
      </c>
      <c r="AF10" s="1346"/>
      <c r="AG10" s="138">
        <f t="shared" si="7"/>
        <v>0</v>
      </c>
      <c r="AH10" s="74"/>
      <c r="AI10" s="76"/>
      <c r="AJ10" s="77"/>
      <c r="AK10" s="78"/>
      <c r="AL10" s="79"/>
      <c r="AM10" s="80"/>
      <c r="AN10" s="1713"/>
      <c r="AO10" s="52" t="e">
        <f t="shared" ca="1" si="8"/>
        <v>#REF!</v>
      </c>
      <c r="AP10" s="1714">
        <f t="shared" si="9"/>
        <v>0</v>
      </c>
      <c r="AQ10" s="52">
        <f t="shared" si="10"/>
        <v>0</v>
      </c>
      <c r="AR10" s="52">
        <f t="shared" si="11"/>
        <v>0</v>
      </c>
      <c r="AS10" s="1684"/>
      <c r="AT10" s="1684"/>
      <c r="AU10" s="1684"/>
      <c r="AV10" s="1684"/>
      <c r="AW10" s="1684"/>
      <c r="AX10" s="1684"/>
      <c r="AY10" s="1684"/>
      <c r="AZ10" s="1684"/>
      <c r="BA10" s="1684"/>
      <c r="BB10" s="1684"/>
      <c r="BC10" s="1684"/>
      <c r="BD10" s="1684"/>
      <c r="BE10" s="1684"/>
      <c r="BF10" s="1684"/>
      <c r="BG10" s="1684"/>
      <c r="BH10" s="1684"/>
      <c r="BI10" s="1684"/>
      <c r="BJ10" s="1684"/>
      <c r="BK10" s="1684"/>
      <c r="BL10" s="1684"/>
      <c r="BM10" s="1684"/>
      <c r="BN10" s="1684"/>
      <c r="BO10" s="1684"/>
    </row>
    <row r="11" spans="1:67" s="1557" customFormat="1" ht="14.25">
      <c r="A11" s="1710">
        <f>'数据-汇总表'!C24</f>
        <v>0</v>
      </c>
      <c r="B11" s="1711" t="str">
        <f t="shared" si="1"/>
        <v/>
      </c>
      <c r="C11" s="1712"/>
      <c r="D11" s="857">
        <f>SUMIF(项目基本情况!C$12:I$12,C11,项目基本情况!C$14:I$14)</f>
        <v>0</v>
      </c>
      <c r="E11" s="856" t="str">
        <f>IF(B11="","",SUMIF(项目基本情况!C$12:I$12,C11,项目基本情况!C$13:I$13))</f>
        <v/>
      </c>
      <c r="F11" s="64">
        <f>SUMIF(项目基本情况!C$12:I$12,C11,项目基本情况!C$15:I$15)</f>
        <v>0</v>
      </c>
      <c r="G11" s="65">
        <f t="shared" si="2"/>
        <v>0</v>
      </c>
      <c r="H11" s="66"/>
      <c r="I11" s="66"/>
      <c r="J11" s="66"/>
      <c r="K11" s="1029">
        <f>SUMIF('数据-汇总表'!C$19:C$33,A11,'数据-汇总表'!E$19:E$33)</f>
        <v>0</v>
      </c>
      <c r="L11" s="82"/>
      <c r="M11" s="67">
        <f t="shared" si="0"/>
        <v>0</v>
      </c>
      <c r="N11" s="730"/>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1">
        <f t="shared" si="5"/>
        <v>0</v>
      </c>
      <c r="U11" s="3424"/>
      <c r="V11" s="66"/>
      <c r="W11" s="66"/>
      <c r="X11" s="1039"/>
      <c r="Y11" s="71"/>
      <c r="Z11" s="84"/>
      <c r="AA11" s="66"/>
      <c r="AB11" s="66"/>
      <c r="AC11" s="1039"/>
      <c r="AD11" s="73"/>
      <c r="AE11" s="1040">
        <f t="shared" ca="1" si="6"/>
        <v>0</v>
      </c>
      <c r="AF11" s="1346"/>
      <c r="AG11" s="138">
        <f t="shared" si="7"/>
        <v>0</v>
      </c>
      <c r="AH11" s="74"/>
      <c r="AI11" s="76"/>
      <c r="AJ11" s="77"/>
      <c r="AK11" s="85"/>
      <c r="AL11" s="86"/>
      <c r="AM11" s="87"/>
      <c r="AN11" s="1713"/>
      <c r="AO11" s="52" t="e">
        <f t="shared" ca="1" si="8"/>
        <v>#REF!</v>
      </c>
      <c r="AP11" s="1714">
        <f t="shared" si="9"/>
        <v>0</v>
      </c>
      <c r="AQ11" s="52">
        <f t="shared" si="10"/>
        <v>0</v>
      </c>
      <c r="AR11" s="52">
        <f t="shared" si="11"/>
        <v>0</v>
      </c>
      <c r="AS11" s="1684"/>
      <c r="AT11" s="1684"/>
      <c r="AU11" s="1684"/>
      <c r="AV11" s="1684"/>
      <c r="AW11" s="1684"/>
      <c r="AX11" s="1684"/>
      <c r="AY11" s="1684"/>
      <c r="AZ11" s="1684"/>
      <c r="BA11" s="1684"/>
      <c r="BB11" s="1684"/>
      <c r="BC11" s="1684"/>
      <c r="BD11" s="1684"/>
      <c r="BE11" s="1684"/>
      <c r="BF11" s="1684"/>
      <c r="BG11" s="1684"/>
      <c r="BH11" s="1684"/>
      <c r="BI11" s="1684"/>
      <c r="BJ11" s="1684"/>
      <c r="BK11" s="1684"/>
      <c r="BL11" s="1684"/>
      <c r="BM11" s="1684"/>
      <c r="BN11" s="1684"/>
      <c r="BO11" s="1684"/>
    </row>
    <row r="12" spans="1:67" s="1557" customFormat="1" ht="14.25">
      <c r="A12" s="1710">
        <f>'数据-汇总表'!C25</f>
        <v>0</v>
      </c>
      <c r="B12" s="1711" t="str">
        <f t="shared" si="1"/>
        <v/>
      </c>
      <c r="C12" s="1712"/>
      <c r="D12" s="857">
        <f>SUMIF(项目基本情况!C$12:I$12,C12,项目基本情况!C$14:I$14)</f>
        <v>0</v>
      </c>
      <c r="E12" s="856"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9">
        <f>SUMIF('数据-汇总表'!C$19:C$33,A12,'数据-汇总表'!E$19:E$33)</f>
        <v>0</v>
      </c>
      <c r="L12" s="82"/>
      <c r="M12" s="67">
        <f>ROUND(K12*L12/10000,0)</f>
        <v>0</v>
      </c>
      <c r="N12" s="730"/>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1">
        <f t="shared" si="5"/>
        <v>0</v>
      </c>
      <c r="U12" s="3424"/>
      <c r="V12" s="66"/>
      <c r="W12" s="66"/>
      <c r="X12" s="1039"/>
      <c r="Y12" s="71"/>
      <c r="Z12" s="84"/>
      <c r="AA12" s="66"/>
      <c r="AB12" s="66"/>
      <c r="AC12" s="1039"/>
      <c r="AD12" s="73"/>
      <c r="AE12" s="1040">
        <f t="shared" ca="1" si="6"/>
        <v>0</v>
      </c>
      <c r="AF12" s="1346"/>
      <c r="AG12" s="138">
        <f t="shared" si="7"/>
        <v>0</v>
      </c>
      <c r="AH12" s="74"/>
      <c r="AI12" s="76"/>
      <c r="AJ12" s="77"/>
      <c r="AK12" s="85"/>
      <c r="AL12" s="86"/>
      <c r="AM12" s="87"/>
      <c r="AN12" s="1713"/>
      <c r="AO12" s="52" t="e">
        <f t="shared" ca="1" si="8"/>
        <v>#REF!</v>
      </c>
      <c r="AP12" s="1714">
        <f t="shared" si="9"/>
        <v>0</v>
      </c>
      <c r="AQ12" s="52">
        <f t="shared" si="10"/>
        <v>0</v>
      </c>
      <c r="AR12" s="52">
        <f t="shared" si="11"/>
        <v>0</v>
      </c>
      <c r="AS12" s="1684"/>
      <c r="AT12" s="1684"/>
      <c r="AU12" s="1684"/>
      <c r="AV12" s="1684"/>
      <c r="AW12" s="1684"/>
      <c r="AX12" s="1684"/>
      <c r="AY12" s="1684"/>
      <c r="AZ12" s="1684"/>
      <c r="BA12" s="1684"/>
      <c r="BB12" s="1684"/>
      <c r="BC12" s="1684"/>
      <c r="BD12" s="1684"/>
      <c r="BE12" s="1684"/>
      <c r="BF12" s="1684"/>
      <c r="BG12" s="1684"/>
      <c r="BH12" s="1684"/>
      <c r="BI12" s="1684"/>
      <c r="BJ12" s="1684"/>
      <c r="BK12" s="1684"/>
      <c r="BL12" s="1684"/>
      <c r="BM12" s="1684"/>
      <c r="BN12" s="1684"/>
      <c r="BO12" s="1684"/>
    </row>
    <row r="13" spans="1:67" s="1557" customFormat="1" ht="14.25">
      <c r="A13" s="1710">
        <f>'数据-汇总表'!C26</f>
        <v>0</v>
      </c>
      <c r="B13" s="1711" t="str">
        <f t="shared" si="1"/>
        <v/>
      </c>
      <c r="C13" s="1712"/>
      <c r="D13" s="857">
        <f>SUMIF(项目基本情况!C$12:I$12,C13,项目基本情况!C$14:I$14)</f>
        <v>0</v>
      </c>
      <c r="E13" s="856"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9">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1">
        <f t="shared" si="5"/>
        <v>0</v>
      </c>
      <c r="U13" s="3426"/>
      <c r="V13" s="70"/>
      <c r="W13" s="70"/>
      <c r="X13" s="1039"/>
      <c r="Y13" s="71"/>
      <c r="Z13" s="72"/>
      <c r="AA13" s="66"/>
      <c r="AB13" s="66"/>
      <c r="AC13" s="1039"/>
      <c r="AD13" s="73"/>
      <c r="AE13" s="1040">
        <f t="shared" ca="1" si="6"/>
        <v>0</v>
      </c>
      <c r="AF13" s="1346"/>
      <c r="AG13" s="138">
        <f t="shared" si="7"/>
        <v>0</v>
      </c>
      <c r="AH13" s="74"/>
      <c r="AI13" s="76"/>
      <c r="AJ13" s="77"/>
      <c r="AK13" s="78"/>
      <c r="AL13" s="79"/>
      <c r="AM13" s="80"/>
      <c r="AN13" s="1713"/>
      <c r="AO13" s="52" t="e">
        <f t="shared" ca="1" si="8"/>
        <v>#REF!</v>
      </c>
      <c r="AP13" s="1714">
        <f t="shared" si="9"/>
        <v>0</v>
      </c>
      <c r="AQ13" s="52">
        <f t="shared" si="10"/>
        <v>0</v>
      </c>
      <c r="AR13" s="52">
        <f t="shared" si="11"/>
        <v>0</v>
      </c>
      <c r="AS13" s="1684"/>
      <c r="AT13" s="1684"/>
      <c r="AU13" s="1684"/>
      <c r="AV13" s="1684"/>
      <c r="AW13" s="1684"/>
      <c r="AX13" s="1684"/>
      <c r="AY13" s="1684"/>
      <c r="AZ13" s="1684"/>
      <c r="BA13" s="1684"/>
      <c r="BB13" s="1684"/>
      <c r="BC13" s="1684"/>
      <c r="BD13" s="1684"/>
      <c r="BE13" s="1684"/>
      <c r="BF13" s="1684"/>
      <c r="BG13" s="1684"/>
      <c r="BH13" s="1684"/>
      <c r="BI13" s="1684"/>
      <c r="BJ13" s="1684"/>
      <c r="BK13" s="1684"/>
      <c r="BL13" s="1684"/>
      <c r="BM13" s="1684"/>
      <c r="BN13" s="1684"/>
      <c r="BO13" s="1684"/>
    </row>
    <row r="14" spans="1:67" s="1557" customFormat="1" ht="14.25">
      <c r="A14" s="1715" t="s">
        <v>1205</v>
      </c>
      <c r="B14" s="1711" t="s">
        <v>1206</v>
      </c>
      <c r="C14" s="1716" t="s">
        <v>1205</v>
      </c>
      <c r="D14" s="857"/>
      <c r="E14" s="856"/>
      <c r="F14" s="64"/>
      <c r="G14" s="65"/>
      <c r="H14" s="1028"/>
      <c r="I14" s="1028"/>
      <c r="J14" s="1028"/>
      <c r="K14" s="1029">
        <f>SUMIF('数据-汇总表'!C$19:C$33,A14,'数据-汇总表'!E$19:E$33)</f>
        <v>0</v>
      </c>
      <c r="L14" s="82"/>
      <c r="M14" s="67">
        <f t="shared" si="0"/>
        <v>0</v>
      </c>
      <c r="N14" s="83"/>
      <c r="O14" s="67" t="str">
        <f t="shared" si="3"/>
        <v>——</v>
      </c>
      <c r="P14" s="68" t="str">
        <f t="shared" si="4"/>
        <v>——</v>
      </c>
      <c r="Q14" s="1032"/>
      <c r="R14" s="69"/>
      <c r="S14" s="51"/>
      <c r="T14" s="1171"/>
      <c r="U14" s="669"/>
      <c r="V14" s="1034"/>
      <c r="W14" s="1034"/>
      <c r="X14" s="1035"/>
      <c r="Y14" s="1036"/>
      <c r="Z14" s="1037"/>
      <c r="AA14" s="1038"/>
      <c r="AB14" s="1038"/>
      <c r="AC14" s="1039"/>
      <c r="AD14" s="1035"/>
      <c r="AE14" s="1040"/>
      <c r="AF14" s="52"/>
      <c r="AG14" s="138"/>
      <c r="AH14" s="1040"/>
      <c r="AI14" s="1355"/>
      <c r="AJ14" s="703"/>
      <c r="AK14" s="1041"/>
      <c r="AL14" s="1042"/>
      <c r="AM14" s="1043"/>
      <c r="AN14" s="2668"/>
      <c r="AO14" s="2670"/>
      <c r="AP14" s="2670"/>
      <c r="AQ14" s="2670"/>
      <c r="AR14" s="2670"/>
      <c r="AS14" s="1684"/>
      <c r="AT14" s="1684"/>
      <c r="AU14" s="1684"/>
      <c r="AV14" s="1684"/>
      <c r="AW14" s="1684"/>
      <c r="AX14" s="1684"/>
      <c r="AY14" s="1684"/>
      <c r="AZ14" s="1684"/>
      <c r="BA14" s="1684"/>
      <c r="BB14" s="1684"/>
      <c r="BC14" s="1684"/>
      <c r="BD14" s="1684"/>
      <c r="BE14" s="1684"/>
      <c r="BF14" s="1684"/>
      <c r="BG14" s="1684"/>
      <c r="BH14" s="1684"/>
      <c r="BI14" s="1684"/>
      <c r="BJ14" s="1684"/>
      <c r="BK14" s="1684"/>
      <c r="BL14" s="1684"/>
      <c r="BM14" s="1684"/>
      <c r="BN14" s="1684"/>
      <c r="BO14" s="1684"/>
    </row>
    <row r="15" spans="1:67" s="1557" customFormat="1" ht="27">
      <c r="A15" s="1715" t="s">
        <v>1207</v>
      </c>
      <c r="B15" s="1711" t="s">
        <v>1206</v>
      </c>
      <c r="C15" s="1716" t="s">
        <v>1208</v>
      </c>
      <c r="D15" s="857"/>
      <c r="E15" s="856"/>
      <c r="F15" s="64"/>
      <c r="G15" s="65"/>
      <c r="H15" s="1028"/>
      <c r="I15" s="1028"/>
      <c r="J15" s="1028"/>
      <c r="K15" s="1029">
        <f>SUMIF('数据-汇总表'!C$19:C$33,A15,'数据-汇总表'!E$19:E$33)</f>
        <v>0</v>
      </c>
      <c r="L15" s="1030"/>
      <c r="M15" s="67"/>
      <c r="N15" s="1031"/>
      <c r="O15" s="67"/>
      <c r="P15" s="68"/>
      <c r="Q15" s="1032"/>
      <c r="R15" s="69"/>
      <c r="S15" s="51"/>
      <c r="T15" s="1171"/>
      <c r="U15" s="669"/>
      <c r="V15" s="1034"/>
      <c r="W15" s="1034"/>
      <c r="X15" s="1035"/>
      <c r="Y15" s="1036"/>
      <c r="Z15" s="1037"/>
      <c r="AA15" s="1038"/>
      <c r="AB15" s="1038"/>
      <c r="AC15" s="1039"/>
      <c r="AD15" s="1035"/>
      <c r="AE15" s="1040"/>
      <c r="AF15" s="52"/>
      <c r="AG15" s="138"/>
      <c r="AH15" s="1040"/>
      <c r="AI15" s="1355"/>
      <c r="AJ15" s="703"/>
      <c r="AK15" s="1041"/>
      <c r="AL15" s="1042"/>
      <c r="AM15" s="1043"/>
      <c r="AN15" s="2668"/>
      <c r="AO15" s="2670"/>
      <c r="AP15" s="2670"/>
      <c r="AQ15" s="2670"/>
      <c r="AR15" s="2670"/>
      <c r="AS15" s="1684"/>
      <c r="AT15" s="1684"/>
      <c r="AU15" s="1684"/>
      <c r="AV15" s="1684"/>
      <c r="AW15" s="1684"/>
      <c r="AX15" s="1684"/>
      <c r="AY15" s="1684"/>
      <c r="AZ15" s="1684"/>
      <c r="BA15" s="1684"/>
      <c r="BB15" s="1684"/>
      <c r="BC15" s="1684"/>
      <c r="BD15" s="1684"/>
      <c r="BE15" s="1684"/>
      <c r="BF15" s="1684"/>
      <c r="BG15" s="1684"/>
      <c r="BH15" s="1684"/>
      <c r="BI15" s="1684"/>
      <c r="BJ15" s="1684"/>
      <c r="BK15" s="1684"/>
      <c r="BL15" s="1684"/>
      <c r="BM15" s="1684"/>
      <c r="BN15" s="1684"/>
      <c r="BO15" s="1684"/>
    </row>
    <row r="16" spans="1:67" s="1557" customFormat="1" ht="15.75" thickBot="1">
      <c r="A16" s="1717" t="s">
        <v>1209</v>
      </c>
      <c r="B16" s="88"/>
      <c r="C16" s="832"/>
      <c r="D16" s="1718"/>
      <c r="E16" s="88"/>
      <c r="F16" s="88"/>
      <c r="G16" s="89">
        <f>ROUND(SUMPRODUCT(G6:G13,K6:K13)/SUMPRODUCT((G6:G13&gt;0)*(K6:K13)),3)</f>
        <v>0.70099999999999996</v>
      </c>
      <c r="H16" s="90">
        <f>ROUND(SUMPRODUCT(H6:H13,K6:K13)/SUMPRODUCT((H6:H13&gt;0)*(K6:K13)),3)</f>
        <v>0.05</v>
      </c>
      <c r="I16" s="91"/>
      <c r="J16" s="91"/>
      <c r="K16" s="92">
        <f>SUM(K6:K15)</f>
        <v>20062.899999999998</v>
      </c>
      <c r="L16" s="93">
        <f>ROUND(M16*10000/SUM(K6:K14),0)</f>
        <v>5000</v>
      </c>
      <c r="M16" s="93">
        <f>SUM(M6:M14)</f>
        <v>10031</v>
      </c>
      <c r="N16" s="94">
        <f>ROUND(SUMPRODUCT(M6:M14,N6:N14)/M16,3)</f>
        <v>0.75</v>
      </c>
      <c r="O16" s="93">
        <f>SUM(O6:O14)</f>
        <v>0</v>
      </c>
      <c r="P16" s="93">
        <f>SUM(P6:P14)</f>
        <v>0</v>
      </c>
      <c r="Q16" s="95">
        <f>ROUND(SUMPRODUCT(Q6:Q13,K6:K13)/SUMPRODUCT((Q6:Q13&gt;0)*(K6:K13)),2)</f>
        <v>0.2</v>
      </c>
      <c r="R16" s="1033">
        <f ca="1">SUM(R6:R13)</f>
        <v>10405.33</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8"/>
      <c r="AO16" s="2670"/>
      <c r="AP16" s="2670"/>
      <c r="AQ16" s="2670"/>
      <c r="AR16" s="2670"/>
      <c r="AS16" s="1684"/>
      <c r="AT16" s="1684"/>
      <c r="AU16" s="1684"/>
      <c r="AV16" s="1684"/>
      <c r="AW16" s="1684"/>
      <c r="AX16" s="1684"/>
      <c r="AY16" s="1684"/>
      <c r="AZ16" s="1684"/>
      <c r="BA16" s="1684"/>
      <c r="BB16" s="1684"/>
      <c r="BC16" s="1684"/>
      <c r="BD16" s="1684"/>
      <c r="BE16" s="1684"/>
      <c r="BF16" s="1684"/>
      <c r="BG16" s="1684"/>
      <c r="BH16" s="1684"/>
      <c r="BI16" s="1684"/>
      <c r="BJ16" s="1684"/>
      <c r="BK16" s="1684"/>
      <c r="BL16" s="1684"/>
      <c r="BM16" s="1684"/>
      <c r="BN16" s="1684"/>
      <c r="BO16" s="1684"/>
    </row>
    <row r="17" spans="1:67" ht="13.5" thickBot="1">
      <c r="A17" s="1719"/>
      <c r="B17" s="2679"/>
      <c r="C17" s="2668"/>
      <c r="D17" s="2672"/>
      <c r="E17" s="2672"/>
      <c r="F17" s="2668"/>
      <c r="G17" s="2668"/>
      <c r="H17" s="2668"/>
      <c r="I17" s="2668"/>
      <c r="J17" s="2668"/>
      <c r="K17" s="2669"/>
      <c r="L17" s="2669"/>
      <c r="M17" s="2668"/>
      <c r="N17" s="2668"/>
      <c r="O17" s="2668"/>
      <c r="P17" s="2668"/>
      <c r="Q17" s="2668"/>
      <c r="R17" s="2668"/>
      <c r="S17" s="2668"/>
      <c r="T17" s="2668"/>
      <c r="U17" s="2668"/>
      <c r="V17" s="2668"/>
      <c r="W17" s="2668"/>
      <c r="X17" s="2668"/>
      <c r="Y17" s="2668"/>
      <c r="Z17" s="2668"/>
      <c r="AA17" s="2668"/>
      <c r="AB17" s="2668"/>
      <c r="AC17" s="2668"/>
      <c r="AD17" s="2668"/>
      <c r="AE17" s="2668"/>
      <c r="AF17" s="2668"/>
      <c r="AG17" s="2668"/>
      <c r="AH17" s="2668"/>
      <c r="AI17" s="2668"/>
      <c r="AJ17" s="2668"/>
      <c r="AK17" s="2668"/>
      <c r="AL17" s="2668"/>
      <c r="AM17" s="2668"/>
      <c r="AN17" s="2668"/>
      <c r="AO17" s="2668"/>
      <c r="AP17" s="2668"/>
      <c r="AQ17" s="2668"/>
      <c r="AR17" s="2668"/>
    </row>
    <row r="18" spans="1:67" ht="15" thickBot="1">
      <c r="A18" s="60" t="s">
        <v>1210</v>
      </c>
      <c r="B18" s="2682"/>
      <c r="C18" s="2670"/>
      <c r="D18" s="2673"/>
      <c r="E18" s="2670"/>
      <c r="F18" s="2670"/>
      <c r="G18" s="2670"/>
      <c r="H18" s="2670"/>
      <c r="I18" s="2670"/>
      <c r="J18" s="2670"/>
      <c r="K18" s="2669"/>
      <c r="L18" s="2669"/>
      <c r="M18" s="2668"/>
      <c r="N18" s="2668"/>
      <c r="O18" s="2668"/>
      <c r="P18" s="2668"/>
      <c r="Q18" s="2668"/>
      <c r="R18" s="2668"/>
      <c r="S18" s="2668"/>
      <c r="T18" s="2668"/>
      <c r="U18" s="2668"/>
      <c r="V18" s="2668"/>
      <c r="W18" s="2668"/>
      <c r="X18" s="2668"/>
      <c r="Y18" s="2668"/>
      <c r="Z18" s="2668"/>
      <c r="AA18" s="2668"/>
      <c r="AB18" s="2668"/>
      <c r="AC18" s="2668"/>
      <c r="AD18" s="2668"/>
      <c r="AE18" s="2668"/>
      <c r="AF18" s="2668"/>
      <c r="AG18" s="2668"/>
      <c r="AH18" s="2668"/>
      <c r="AI18" s="2668"/>
      <c r="AJ18" s="2668"/>
      <c r="AK18" s="2668"/>
      <c r="AL18" s="2668"/>
      <c r="AM18" s="2668"/>
      <c r="AN18" s="2668"/>
      <c r="AO18" s="2668"/>
      <c r="AP18" s="2668"/>
      <c r="AQ18" s="2668"/>
      <c r="AR18" s="2668"/>
    </row>
    <row r="19" spans="1:67" ht="14.25">
      <c r="A19" s="1720" t="s">
        <v>1211</v>
      </c>
      <c r="B19" s="103">
        <v>0</v>
      </c>
      <c r="C19" s="2795" t="s">
        <v>2303</v>
      </c>
      <c r="D19" s="2673"/>
      <c r="E19" s="2670"/>
      <c r="F19" s="2670"/>
      <c r="G19" s="2670"/>
      <c r="H19" s="2670"/>
      <c r="I19" s="2670"/>
      <c r="J19" s="2670"/>
      <c r="K19" s="2669"/>
      <c r="L19" s="2669"/>
      <c r="M19" s="2668"/>
      <c r="N19" s="2668"/>
      <c r="O19" s="2668"/>
      <c r="P19" s="2668"/>
      <c r="Q19" s="2668"/>
      <c r="R19" s="2668"/>
      <c r="S19" s="2668"/>
      <c r="T19" s="2668"/>
      <c r="U19" s="2668"/>
      <c r="V19" s="2668"/>
      <c r="W19" s="2668"/>
      <c r="X19" s="2668"/>
      <c r="Y19" s="2668"/>
      <c r="Z19" s="2668"/>
      <c r="AA19" s="2668"/>
      <c r="AB19" s="2668"/>
      <c r="AC19" s="2668"/>
      <c r="AD19" s="2668"/>
      <c r="AE19" s="2668"/>
      <c r="AF19" s="2668"/>
      <c r="AG19" s="2668"/>
      <c r="AH19" s="2668"/>
      <c r="AI19" s="2668"/>
      <c r="AJ19" s="2668"/>
      <c r="AK19" s="2668"/>
      <c r="AL19" s="2668"/>
      <c r="AM19" s="2668"/>
      <c r="AN19" s="2668"/>
      <c r="AO19" s="2668"/>
      <c r="AP19" s="2668"/>
      <c r="AQ19" s="2668"/>
      <c r="AR19" s="2668"/>
    </row>
    <row r="20" spans="1:67" ht="14.25">
      <c r="A20" s="1721" t="s">
        <v>1212</v>
      </c>
      <c r="B20" s="104">
        <v>2</v>
      </c>
      <c r="C20" s="2796" t="s">
        <v>2301</v>
      </c>
      <c r="D20" s="2673"/>
      <c r="E20" s="2670"/>
      <c r="F20" s="2670"/>
      <c r="G20" s="2670"/>
      <c r="H20" s="2670"/>
      <c r="I20" s="2670"/>
      <c r="J20" s="2670"/>
      <c r="K20" s="2669"/>
      <c r="L20" s="2669"/>
      <c r="M20" s="2668"/>
      <c r="N20" s="2668"/>
      <c r="O20" s="2668"/>
      <c r="P20" s="2668"/>
      <c r="Q20" s="2668"/>
      <c r="R20" s="2668"/>
      <c r="S20" s="2668"/>
      <c r="T20" s="2668"/>
      <c r="U20" s="2668"/>
      <c r="V20" s="2668"/>
      <c r="W20" s="2668"/>
      <c r="X20" s="2668"/>
      <c r="Y20" s="2668"/>
      <c r="Z20" s="2668"/>
      <c r="AA20" s="2668"/>
      <c r="AB20" s="2668"/>
      <c r="AC20" s="2668"/>
      <c r="AD20" s="2668"/>
      <c r="AE20" s="2668"/>
      <c r="AF20" s="2668"/>
      <c r="AG20" s="2668"/>
      <c r="AH20" s="2668"/>
      <c r="AI20" s="2668"/>
      <c r="AJ20" s="2668"/>
      <c r="AK20" s="2668"/>
      <c r="AL20" s="2668"/>
      <c r="AM20" s="2668"/>
      <c r="AN20" s="2668"/>
      <c r="AO20" s="2668"/>
      <c r="AP20" s="2668"/>
      <c r="AQ20" s="2668"/>
      <c r="AR20" s="2668"/>
    </row>
    <row r="21" spans="1:67" ht="14.25">
      <c r="A21" s="1722" t="s">
        <v>1213</v>
      </c>
      <c r="B21" s="104">
        <v>2</v>
      </c>
      <c r="C21" s="2670"/>
      <c r="D21" s="2673"/>
      <c r="E21" s="2670"/>
      <c r="F21" s="2670"/>
      <c r="G21" s="2670"/>
      <c r="H21" s="2670"/>
      <c r="I21" s="2670"/>
      <c r="J21" s="2670"/>
      <c r="K21" s="2669"/>
      <c r="L21" s="2669"/>
      <c r="M21" s="2668"/>
      <c r="N21" s="2668"/>
      <c r="O21" s="2668"/>
      <c r="P21" s="2668"/>
      <c r="Q21" s="2668"/>
      <c r="R21" s="2668"/>
      <c r="S21" s="2668"/>
      <c r="T21" s="2668"/>
      <c r="U21" s="2668"/>
      <c r="V21" s="3504" t="s">
        <v>3523</v>
      </c>
      <c r="W21" s="3504" t="s">
        <v>3522</v>
      </c>
      <c r="X21" s="3504" t="s">
        <v>3521</v>
      </c>
      <c r="Y21" s="2668"/>
      <c r="Z21" s="2668"/>
      <c r="AA21" s="2668"/>
      <c r="AB21" s="2668"/>
      <c r="AC21" s="2668"/>
      <c r="AD21" s="2668"/>
      <c r="AE21" s="2668"/>
      <c r="AF21" s="2668"/>
      <c r="AG21" s="2668"/>
      <c r="AH21" s="2668"/>
      <c r="AI21" s="2668"/>
      <c r="AJ21" s="2668"/>
      <c r="AK21" s="2668"/>
      <c r="AL21" s="2668"/>
      <c r="AM21" s="2668"/>
      <c r="AN21" s="2668"/>
      <c r="AO21" s="2668"/>
      <c r="AP21" s="2668"/>
      <c r="AQ21" s="2668"/>
      <c r="AR21" s="2668"/>
    </row>
    <row r="22" spans="1:67" ht="15" thickBot="1">
      <c r="A22" s="1721" t="s">
        <v>1214</v>
      </c>
      <c r="B22" s="105">
        <f>B19+B20</f>
        <v>2</v>
      </c>
      <c r="C22" s="2670"/>
      <c r="D22" s="2673"/>
      <c r="E22" s="2670"/>
      <c r="F22" s="2670"/>
      <c r="G22" s="2670"/>
      <c r="H22" s="2670"/>
      <c r="I22" s="2670"/>
      <c r="J22" s="2670"/>
      <c r="K22" s="2669"/>
      <c r="L22" s="2669"/>
      <c r="M22" s="2668">
        <v>2005</v>
      </c>
      <c r="N22" s="2668"/>
      <c r="O22" s="2668"/>
      <c r="P22" s="2668"/>
      <c r="Q22" s="2668"/>
      <c r="R22" s="2668"/>
      <c r="S22" s="2668"/>
      <c r="T22" s="2668"/>
      <c r="U22" s="2668">
        <v>-1</v>
      </c>
      <c r="V22" s="2668">
        <f>'数据-汇总表'!G19</f>
        <v>2869.28</v>
      </c>
      <c r="W22" s="2668">
        <v>0.2</v>
      </c>
      <c r="X22" s="2668">
        <f>X23*W22</f>
        <v>0.60000000000000009</v>
      </c>
      <c r="Y22" s="2668">
        <f>V22*X22</f>
        <v>1721.5680000000004</v>
      </c>
      <c r="Z22" s="2668"/>
      <c r="AA22" s="2668"/>
      <c r="AB22" s="2668"/>
      <c r="AC22" s="2668"/>
      <c r="AD22" s="2668"/>
      <c r="AE22" s="2668"/>
      <c r="AF22" s="2668"/>
      <c r="AG22" s="2668"/>
      <c r="AH22" s="2668"/>
      <c r="AI22" s="2668"/>
      <c r="AJ22" s="2668"/>
      <c r="AK22" s="2668"/>
      <c r="AL22" s="2668"/>
      <c r="AM22" s="2668"/>
      <c r="AN22" s="2668"/>
      <c r="AO22" s="2668"/>
      <c r="AP22" s="2668"/>
      <c r="AQ22" s="2668"/>
      <c r="AR22" s="2668"/>
    </row>
    <row r="23" spans="1:67" ht="15.75" thickTop="1" thickBot="1">
      <c r="A23" s="1722" t="s">
        <v>1215</v>
      </c>
      <c r="B23" s="105">
        <f>B19+B21</f>
        <v>2</v>
      </c>
      <c r="C23" s="2670"/>
      <c r="D23" s="2673"/>
      <c r="E23" s="2670"/>
      <c r="F23" s="2670"/>
      <c r="G23" s="2670"/>
      <c r="H23" s="2670"/>
      <c r="I23" s="2670"/>
      <c r="J23" s="2670"/>
      <c r="K23" s="2669"/>
      <c r="L23" s="2669"/>
      <c r="M23" s="2668">
        <f>ROUND(1-(2023-2005)/60,2)</f>
        <v>0.7</v>
      </c>
      <c r="N23" s="2668"/>
      <c r="O23" s="2668"/>
      <c r="P23" s="2668"/>
      <c r="Q23" s="2668"/>
      <c r="R23" s="2668"/>
      <c r="S23" s="2668"/>
      <c r="T23" s="2668"/>
      <c r="U23" s="2668">
        <v>1</v>
      </c>
      <c r="V23" s="3500">
        <v>5637.5</v>
      </c>
      <c r="W23" s="2668">
        <v>1</v>
      </c>
      <c r="X23" s="2668">
        <v>3</v>
      </c>
      <c r="Y23" s="2668">
        <f>V23*X23</f>
        <v>16912.5</v>
      </c>
      <c r="Z23" s="2668"/>
      <c r="AA23" s="2668"/>
      <c r="AB23" s="2668"/>
      <c r="AC23" s="2668"/>
      <c r="AD23" s="2668"/>
      <c r="AE23" s="2668"/>
      <c r="AF23" s="2668"/>
      <c r="AG23" s="2668"/>
      <c r="AH23" s="2668"/>
      <c r="AI23" s="2668"/>
      <c r="AJ23" s="2668"/>
      <c r="AK23" s="2668"/>
      <c r="AL23" s="2668"/>
      <c r="AM23" s="2668"/>
      <c r="AN23" s="2668"/>
      <c r="AO23" s="2668"/>
      <c r="AP23" s="2668"/>
      <c r="AQ23" s="2668"/>
      <c r="AR23" s="2668"/>
    </row>
    <row r="24" spans="1:67" ht="15" thickBot="1">
      <c r="A24" s="1723" t="s">
        <v>1216</v>
      </c>
      <c r="B24" s="106">
        <f>B20-B21</f>
        <v>0</v>
      </c>
      <c r="C24" s="2670"/>
      <c r="D24" s="2673"/>
      <c r="E24" s="2670"/>
      <c r="F24" s="2670"/>
      <c r="G24" s="2670"/>
      <c r="H24" s="2670"/>
      <c r="I24" s="2670"/>
      <c r="J24" s="2670"/>
      <c r="K24" s="2669"/>
      <c r="L24" s="2669"/>
      <c r="M24" s="2668">
        <v>0.8</v>
      </c>
      <c r="N24" s="2668"/>
      <c r="O24" s="2668"/>
      <c r="P24" s="2668"/>
      <c r="Q24" s="2668"/>
      <c r="R24" s="2668"/>
      <c r="S24" s="2668"/>
      <c r="T24" s="2668"/>
      <c r="U24" s="2668">
        <v>2</v>
      </c>
      <c r="V24" s="3501">
        <v>6456.64</v>
      </c>
      <c r="W24" s="2668">
        <v>0.7</v>
      </c>
      <c r="X24" s="2668">
        <f>X23*W24</f>
        <v>2.0999999999999996</v>
      </c>
      <c r="Y24" s="2668">
        <f t="shared" ref="Y24:Y25" si="12">V24*X24</f>
        <v>13558.943999999998</v>
      </c>
      <c r="Z24" s="2668"/>
      <c r="AA24" s="2668"/>
      <c r="AB24" s="2668"/>
      <c r="AC24" s="2668"/>
      <c r="AD24" s="2668"/>
      <c r="AE24" s="2668"/>
      <c r="AF24" s="2668"/>
      <c r="AG24" s="2668"/>
      <c r="AH24" s="2668"/>
      <c r="AI24" s="2668"/>
      <c r="AJ24" s="2668"/>
      <c r="AK24" s="2668"/>
      <c r="AL24" s="2668"/>
      <c r="AM24" s="2668"/>
      <c r="AN24" s="2668"/>
      <c r="AO24" s="2668"/>
      <c r="AP24" s="2668"/>
      <c r="AQ24" s="2668"/>
      <c r="AR24" s="2668"/>
    </row>
    <row r="25" spans="1:67" ht="15" thickBot="1">
      <c r="A25" s="1555"/>
      <c r="B25" s="1685"/>
      <c r="C25" s="2670"/>
      <c r="D25" s="2673"/>
      <c r="E25" s="2670"/>
      <c r="F25" s="2670"/>
      <c r="G25" s="2670"/>
      <c r="H25" s="2670"/>
      <c r="I25" s="2670"/>
      <c r="J25" s="2670"/>
      <c r="K25" s="2669"/>
      <c r="L25" s="2669"/>
      <c r="M25" s="2668"/>
      <c r="N25" s="2668"/>
      <c r="O25" s="2668"/>
      <c r="P25" s="2668"/>
      <c r="Q25" s="2668"/>
      <c r="R25" s="2668"/>
      <c r="S25" s="2668"/>
      <c r="T25" s="2668"/>
      <c r="U25" s="2668">
        <v>3</v>
      </c>
      <c r="V25" s="3502">
        <v>5099.4799999999996</v>
      </c>
      <c r="W25" s="2668">
        <v>0.6</v>
      </c>
      <c r="X25" s="2668">
        <f>X23*W25</f>
        <v>1.7999999999999998</v>
      </c>
      <c r="Y25" s="2668">
        <f t="shared" si="12"/>
        <v>9179.0639999999985</v>
      </c>
      <c r="Z25" s="2668"/>
      <c r="AA25" s="2668"/>
      <c r="AB25" s="2668"/>
      <c r="AC25" s="2668"/>
      <c r="AD25" s="2668"/>
      <c r="AE25" s="2668"/>
      <c r="AF25" s="2668"/>
      <c r="AG25" s="2668"/>
      <c r="AH25" s="2668"/>
      <c r="AI25" s="2668"/>
      <c r="AJ25" s="2668"/>
      <c r="AK25" s="2668"/>
      <c r="AL25" s="2668"/>
      <c r="AM25" s="2668"/>
      <c r="AN25" s="2668"/>
      <c r="AO25" s="2668"/>
      <c r="AP25" s="2668"/>
      <c r="AQ25" s="2668"/>
      <c r="AR25" s="2668"/>
    </row>
    <row r="26" spans="1:67" ht="15.75" thickTop="1" thickBot="1">
      <c r="A26" s="1681" t="s">
        <v>1217</v>
      </c>
      <c r="B26" s="1724" t="s">
        <v>1218</v>
      </c>
      <c r="C26" s="2674" t="s">
        <v>1219</v>
      </c>
      <c r="D26" s="2673"/>
      <c r="E26" s="2670"/>
      <c r="F26" s="2670"/>
      <c r="G26" s="2670"/>
      <c r="H26" s="2670"/>
      <c r="I26" s="2670"/>
      <c r="J26" s="2670"/>
      <c r="K26" s="2669"/>
      <c r="L26" s="2669"/>
      <c r="M26" s="2668"/>
      <c r="N26" s="2668"/>
      <c r="O26" s="2668"/>
      <c r="P26" s="2668"/>
      <c r="Q26" s="2668"/>
      <c r="R26" s="2668"/>
      <c r="S26" s="2668"/>
      <c r="T26" s="2668"/>
      <c r="U26" s="2668"/>
      <c r="V26" s="2668">
        <f t="shared" ref="V26" si="13">SUM(V22:V25)</f>
        <v>20062.900000000001</v>
      </c>
      <c r="W26" s="2668"/>
      <c r="X26" s="2668">
        <f>Y26/V26</f>
        <v>2.0621184375140178</v>
      </c>
      <c r="Y26" s="2668">
        <f>SUM(Y22:Y25)</f>
        <v>41372.075999999994</v>
      </c>
      <c r="Z26" s="2668"/>
      <c r="AA26" s="2668"/>
      <c r="AB26" s="2668"/>
      <c r="AC26" s="2668"/>
      <c r="AD26" s="2668"/>
      <c r="AE26" s="2668"/>
      <c r="AF26" s="2668"/>
      <c r="AG26" s="2668"/>
      <c r="AH26" s="2668"/>
      <c r="AI26" s="2668"/>
      <c r="AJ26" s="2668"/>
      <c r="AK26" s="2668"/>
      <c r="AL26" s="2668"/>
      <c r="AM26" s="2668"/>
      <c r="AN26" s="2668"/>
      <c r="AO26" s="2668"/>
      <c r="AP26" s="2668"/>
      <c r="AQ26" s="2668"/>
      <c r="AR26" s="2668"/>
    </row>
    <row r="27" spans="1:67" s="1726" customFormat="1" ht="27.75">
      <c r="A27" s="1725" t="s">
        <v>1220</v>
      </c>
      <c r="B27" s="107"/>
      <c r="C27" s="2797" t="s">
        <v>2305</v>
      </c>
      <c r="D27" s="2676"/>
      <c r="E27" s="2658"/>
      <c r="F27" s="2658"/>
      <c r="G27" s="2670"/>
      <c r="H27" s="2670"/>
      <c r="I27" s="2670"/>
      <c r="J27" s="2670"/>
      <c r="K27" s="2669"/>
      <c r="L27" s="2669"/>
      <c r="M27" s="2668"/>
      <c r="N27" s="2668"/>
      <c r="O27" s="2668"/>
      <c r="P27" s="2668"/>
      <c r="Q27" s="2668"/>
      <c r="R27" s="2668"/>
      <c r="S27" s="2668"/>
      <c r="T27" s="2668"/>
      <c r="U27" s="2668"/>
      <c r="V27" s="2668"/>
      <c r="W27" s="2668"/>
      <c r="X27" s="2668"/>
      <c r="Y27" s="2668"/>
      <c r="Z27" s="2668"/>
      <c r="AA27" s="2668"/>
      <c r="AB27" s="2668"/>
      <c r="AC27" s="2668"/>
      <c r="AD27" s="2668"/>
      <c r="AE27" s="2668"/>
      <c r="AF27" s="2668"/>
      <c r="AG27" s="2668"/>
      <c r="AH27" s="2668"/>
      <c r="AI27" s="2668"/>
      <c r="AJ27" s="2668"/>
      <c r="AK27" s="2668"/>
      <c r="AL27" s="2668"/>
      <c r="AM27" s="2668"/>
      <c r="AN27" s="2668"/>
      <c r="AO27" s="2668"/>
      <c r="AP27" s="2668"/>
      <c r="AQ27" s="2668"/>
      <c r="AR27" s="2668"/>
      <c r="AS27" s="793"/>
      <c r="AT27" s="793"/>
      <c r="AU27" s="793"/>
      <c r="AV27" s="793"/>
      <c r="AW27" s="793"/>
      <c r="AX27" s="793"/>
      <c r="AY27" s="793"/>
      <c r="AZ27" s="793"/>
      <c r="BA27" s="793"/>
      <c r="BB27" s="793"/>
      <c r="BC27" s="793"/>
      <c r="BD27" s="793"/>
      <c r="BE27" s="793"/>
      <c r="BF27" s="793"/>
      <c r="BG27" s="793"/>
      <c r="BH27" s="793"/>
      <c r="BI27" s="793"/>
      <c r="BJ27" s="793"/>
      <c r="BK27" s="793"/>
      <c r="BL27" s="793"/>
      <c r="BM27" s="793"/>
      <c r="BN27" s="793"/>
      <c r="BO27" s="793"/>
    </row>
    <row r="28" spans="1:67" s="1726" customFormat="1" ht="27.75">
      <c r="A28" s="1727" t="s">
        <v>1221</v>
      </c>
      <c r="B28" s="110">
        <v>200</v>
      </c>
      <c r="C28" s="2677"/>
      <c r="D28" s="2676"/>
      <c r="E28" s="2658"/>
      <c r="F28" s="2658"/>
      <c r="G28" s="2670"/>
      <c r="H28" s="2670"/>
      <c r="I28" s="2670"/>
      <c r="J28" s="2670"/>
      <c r="K28" s="2669"/>
      <c r="L28" s="2669"/>
      <c r="M28" s="2668"/>
      <c r="N28" s="2668"/>
      <c r="O28" s="2668"/>
      <c r="P28" s="2668"/>
      <c r="Q28" s="2668"/>
      <c r="R28" s="2668"/>
      <c r="S28" s="2668"/>
      <c r="T28" s="2668"/>
      <c r="U28" s="2668"/>
      <c r="V28" s="2668"/>
      <c r="W28" s="2668"/>
      <c r="X28" s="2668"/>
      <c r="Y28" s="2668"/>
      <c r="Z28" s="2668"/>
      <c r="AA28" s="2668"/>
      <c r="AB28" s="2668"/>
      <c r="AC28" s="2668"/>
      <c r="AD28" s="2668"/>
      <c r="AE28" s="2668"/>
      <c r="AF28" s="2668"/>
      <c r="AG28" s="2668"/>
      <c r="AH28" s="2668"/>
      <c r="AI28" s="2668"/>
      <c r="AJ28" s="2668"/>
      <c r="AK28" s="2668"/>
      <c r="AL28" s="2668"/>
      <c r="AM28" s="2668"/>
      <c r="AN28" s="2668"/>
      <c r="AO28" s="2668"/>
      <c r="AP28" s="2668"/>
      <c r="AQ28" s="2668"/>
      <c r="AR28" s="2668"/>
      <c r="AS28" s="793"/>
      <c r="AT28" s="793"/>
      <c r="AU28" s="793"/>
      <c r="AV28" s="793"/>
      <c r="AW28" s="793"/>
      <c r="AX28" s="793"/>
      <c r="AY28" s="793"/>
      <c r="AZ28" s="793"/>
      <c r="BA28" s="793"/>
      <c r="BB28" s="793"/>
      <c r="BC28" s="793"/>
      <c r="BD28" s="793"/>
      <c r="BE28" s="793"/>
      <c r="BF28" s="793"/>
      <c r="BG28" s="793"/>
      <c r="BH28" s="793"/>
      <c r="BI28" s="793"/>
      <c r="BJ28" s="793"/>
      <c r="BK28" s="793"/>
      <c r="BL28" s="793"/>
      <c r="BM28" s="793"/>
      <c r="BN28" s="793"/>
      <c r="BO28" s="793"/>
    </row>
    <row r="29" spans="1:67" s="1726" customFormat="1" ht="28.5" thickBot="1">
      <c r="A29" s="1728" t="s">
        <v>1222</v>
      </c>
      <c r="B29" s="112">
        <f ca="1">成本法!C10</f>
        <v>401</v>
      </c>
      <c r="C29" s="2798" t="s">
        <v>2292</v>
      </c>
      <c r="D29" s="2676"/>
      <c r="E29" s="2658"/>
      <c r="F29" s="2658"/>
      <c r="G29" s="2670"/>
      <c r="H29" s="2670"/>
      <c r="I29" s="2670"/>
      <c r="J29" s="2670"/>
      <c r="K29" s="2669"/>
      <c r="L29" s="2669"/>
      <c r="M29" s="2668"/>
      <c r="N29" s="2668"/>
      <c r="O29" s="2668"/>
      <c r="P29" s="2668"/>
      <c r="Q29" s="2668"/>
      <c r="R29" s="2668"/>
      <c r="S29" s="2668"/>
      <c r="T29" s="2668"/>
      <c r="U29" s="2668"/>
      <c r="V29" s="2668"/>
      <c r="W29" s="2668"/>
      <c r="X29" s="2668"/>
      <c r="Y29" s="2668"/>
      <c r="Z29" s="2668"/>
      <c r="AA29" s="2668"/>
      <c r="AB29" s="2668"/>
      <c r="AC29" s="2668"/>
      <c r="AD29" s="2668"/>
      <c r="AE29" s="2668"/>
      <c r="AF29" s="2668"/>
      <c r="AG29" s="2668"/>
      <c r="AH29" s="2668"/>
      <c r="AI29" s="2668"/>
      <c r="AJ29" s="2668"/>
      <c r="AK29" s="2668"/>
      <c r="AL29" s="2668"/>
      <c r="AM29" s="2668"/>
      <c r="AN29" s="2668"/>
      <c r="AO29" s="2668"/>
      <c r="AP29" s="2668"/>
      <c r="AQ29" s="2668"/>
      <c r="AR29" s="2668"/>
      <c r="AS29" s="793"/>
      <c r="AT29" s="793"/>
      <c r="AU29" s="793"/>
      <c r="AV29" s="793"/>
      <c r="AW29" s="793"/>
      <c r="AX29" s="793"/>
      <c r="AY29" s="793"/>
      <c r="AZ29" s="793"/>
      <c r="BA29" s="793"/>
      <c r="BB29" s="793"/>
      <c r="BC29" s="793"/>
      <c r="BD29" s="793"/>
      <c r="BE29" s="793"/>
      <c r="BF29" s="793"/>
      <c r="BG29" s="793"/>
      <c r="BH29" s="793"/>
      <c r="BI29" s="793"/>
      <c r="BJ29" s="793"/>
      <c r="BK29" s="793"/>
      <c r="BL29" s="793"/>
      <c r="BM29" s="793"/>
      <c r="BN29" s="793"/>
      <c r="BO29" s="793"/>
    </row>
    <row r="30" spans="1:67" s="1726" customFormat="1" ht="27">
      <c r="A30" s="1729" t="s">
        <v>1223</v>
      </c>
      <c r="B30" s="670">
        <v>200</v>
      </c>
      <c r="C30" s="2677"/>
      <c r="D30" s="2676"/>
      <c r="E30" s="2658"/>
      <c r="F30" s="2658"/>
      <c r="G30" s="2670"/>
      <c r="H30" s="2670"/>
      <c r="I30" s="2670"/>
      <c r="J30" s="2670"/>
      <c r="K30" s="2669"/>
      <c r="L30" s="2669"/>
      <c r="M30" s="2668"/>
      <c r="N30" s="2668"/>
      <c r="O30" s="2668"/>
      <c r="P30" s="2668"/>
      <c r="Q30" s="2668"/>
      <c r="R30" s="2668"/>
      <c r="S30" s="2668"/>
      <c r="T30" s="2668"/>
      <c r="U30" s="2668"/>
      <c r="V30" s="2668"/>
      <c r="W30" s="2668"/>
      <c r="X30" s="2668"/>
      <c r="Y30" s="2668"/>
      <c r="Z30" s="2668"/>
      <c r="AA30" s="2668"/>
      <c r="AB30" s="2668"/>
      <c r="AC30" s="2668"/>
      <c r="AD30" s="2668"/>
      <c r="AE30" s="2668"/>
      <c r="AF30" s="2668"/>
      <c r="AG30" s="2668"/>
      <c r="AH30" s="2668"/>
      <c r="AI30" s="2668"/>
      <c r="AJ30" s="2668"/>
      <c r="AK30" s="2668"/>
      <c r="AL30" s="2668"/>
      <c r="AM30" s="2668"/>
      <c r="AN30" s="2668"/>
      <c r="AO30" s="2668"/>
      <c r="AP30" s="2668"/>
      <c r="AQ30" s="2668"/>
      <c r="AR30" s="2668"/>
      <c r="AS30" s="793"/>
      <c r="AT30" s="793"/>
      <c r="AU30" s="793"/>
      <c r="AV30" s="793"/>
      <c r="AW30" s="793"/>
      <c r="AX30" s="793"/>
      <c r="AY30" s="793"/>
      <c r="AZ30" s="793"/>
      <c r="BA30" s="793"/>
      <c r="BB30" s="793"/>
      <c r="BC30" s="793"/>
      <c r="BD30" s="793"/>
      <c r="BE30" s="793"/>
      <c r="BF30" s="793"/>
      <c r="BG30" s="793"/>
      <c r="BH30" s="793"/>
      <c r="BI30" s="793"/>
      <c r="BJ30" s="793"/>
      <c r="BK30" s="793"/>
      <c r="BL30" s="793"/>
      <c r="BM30" s="793"/>
      <c r="BN30" s="793"/>
      <c r="BO30" s="793"/>
    </row>
    <row r="31" spans="1:67" s="1726" customFormat="1" ht="27">
      <c r="A31" s="1727" t="s">
        <v>1224</v>
      </c>
      <c r="B31" s="111">
        <f>B30-B32</f>
        <v>200</v>
      </c>
      <c r="C31" s="2675"/>
      <c r="D31" s="2676"/>
      <c r="E31" s="2658"/>
      <c r="F31" s="2658"/>
      <c r="G31" s="2670"/>
      <c r="H31" s="2670"/>
      <c r="I31" s="2670"/>
      <c r="J31" s="2670"/>
      <c r="K31" s="2669"/>
      <c r="L31" s="2669"/>
      <c r="M31" s="2668"/>
      <c r="N31" s="2668"/>
      <c r="O31" s="2668"/>
      <c r="P31" s="2668"/>
      <c r="Q31" s="2668"/>
      <c r="R31" s="2668"/>
      <c r="S31" s="2668"/>
      <c r="T31" s="2668"/>
      <c r="U31" s="2668"/>
      <c r="V31" s="2668"/>
      <c r="W31" s="2668"/>
      <c r="X31" s="2668"/>
      <c r="Y31" s="2668"/>
      <c r="Z31" s="2668"/>
      <c r="AA31" s="2668"/>
      <c r="AB31" s="2668"/>
      <c r="AC31" s="2668"/>
      <c r="AD31" s="2668"/>
      <c r="AE31" s="2668"/>
      <c r="AF31" s="2668"/>
      <c r="AG31" s="2668"/>
      <c r="AH31" s="2668"/>
      <c r="AI31" s="2668"/>
      <c r="AJ31" s="2668"/>
      <c r="AK31" s="2668"/>
      <c r="AL31" s="2668"/>
      <c r="AM31" s="2668"/>
      <c r="AN31" s="2668"/>
      <c r="AO31" s="2668"/>
      <c r="AP31" s="2668"/>
      <c r="AQ31" s="2668"/>
      <c r="AR31" s="2668"/>
      <c r="AS31" s="793"/>
      <c r="AT31" s="793"/>
      <c r="AU31" s="793"/>
      <c r="AV31" s="793"/>
      <c r="AW31" s="793"/>
      <c r="AX31" s="793"/>
      <c r="AY31" s="793"/>
      <c r="AZ31" s="793"/>
      <c r="BA31" s="793"/>
      <c r="BB31" s="793"/>
      <c r="BC31" s="793"/>
      <c r="BD31" s="793"/>
      <c r="BE31" s="793"/>
      <c r="BF31" s="793"/>
      <c r="BG31" s="793"/>
      <c r="BH31" s="793"/>
      <c r="BI31" s="793"/>
      <c r="BJ31" s="793"/>
      <c r="BK31" s="793"/>
      <c r="BL31" s="793"/>
      <c r="BM31" s="793"/>
      <c r="BN31" s="793"/>
      <c r="BO31" s="793"/>
    </row>
    <row r="32" spans="1:67" s="1726" customFormat="1" ht="27.75" thickBot="1">
      <c r="A32" s="1730" t="s">
        <v>1225</v>
      </c>
      <c r="B32" s="671">
        <v>0</v>
      </c>
      <c r="C32" s="2677"/>
      <c r="D32" s="2673"/>
      <c r="E32" s="2670"/>
      <c r="F32" s="2670"/>
      <c r="G32" s="2670"/>
      <c r="H32" s="2670"/>
      <c r="I32" s="2670"/>
      <c r="J32" s="2670"/>
      <c r="K32" s="2669"/>
      <c r="L32" s="2669"/>
      <c r="M32" s="2668"/>
      <c r="N32" s="2668"/>
      <c r="O32" s="2668"/>
      <c r="P32" s="2668"/>
      <c r="Q32" s="2668"/>
      <c r="R32" s="2668"/>
      <c r="S32" s="2668"/>
      <c r="T32" s="2668"/>
      <c r="U32" s="2668"/>
      <c r="V32" s="2668"/>
      <c r="W32" s="2668"/>
      <c r="X32" s="2668"/>
      <c r="Y32" s="2668"/>
      <c r="Z32" s="2668"/>
      <c r="AA32" s="2668"/>
      <c r="AB32" s="2668"/>
      <c r="AC32" s="2668"/>
      <c r="AD32" s="2668"/>
      <c r="AE32" s="2668"/>
      <c r="AF32" s="2668"/>
      <c r="AG32" s="2668"/>
      <c r="AH32" s="2668"/>
      <c r="AI32" s="2668"/>
      <c r="AJ32" s="2668"/>
      <c r="AK32" s="2668"/>
      <c r="AL32" s="2668"/>
      <c r="AM32" s="2668"/>
      <c r="AN32" s="2668"/>
      <c r="AO32" s="2668"/>
      <c r="AP32" s="2668"/>
      <c r="AQ32" s="2668"/>
      <c r="AR32" s="2668"/>
      <c r="AS32" s="793"/>
      <c r="AT32" s="793"/>
      <c r="AU32" s="793"/>
      <c r="AV32" s="793"/>
      <c r="AW32" s="793"/>
      <c r="AX32" s="793"/>
      <c r="AY32" s="793"/>
      <c r="AZ32" s="793"/>
      <c r="BA32" s="793"/>
      <c r="BB32" s="793"/>
      <c r="BC32" s="793"/>
      <c r="BD32" s="793"/>
      <c r="BE32" s="793"/>
      <c r="BF32" s="793"/>
      <c r="BG32" s="793"/>
      <c r="BH32" s="793"/>
      <c r="BI32" s="793"/>
      <c r="BJ32" s="793"/>
      <c r="BK32" s="793"/>
      <c r="BL32" s="793"/>
      <c r="BM32" s="793"/>
      <c r="BN32" s="793"/>
      <c r="BO32" s="793"/>
    </row>
    <row r="33" spans="1:67" s="1726" customFormat="1" ht="14.25">
      <c r="A33" s="1725" t="s">
        <v>1226</v>
      </c>
      <c r="B33" s="672">
        <v>0.03</v>
      </c>
      <c r="C33" s="2799" t="s">
        <v>2293</v>
      </c>
      <c r="D33" s="2673"/>
      <c r="E33" s="2670"/>
      <c r="F33" s="2670"/>
      <c r="G33" s="2670"/>
      <c r="H33" s="2670"/>
      <c r="I33" s="2670"/>
      <c r="J33" s="2670"/>
      <c r="K33" s="2669"/>
      <c r="L33" s="2669"/>
      <c r="M33" s="2668"/>
      <c r="N33" s="2668"/>
      <c r="O33" s="2668"/>
      <c r="P33" s="2668"/>
      <c r="Q33" s="2668"/>
      <c r="R33" s="2668"/>
      <c r="S33" s="2668"/>
      <c r="T33" s="2668"/>
      <c r="U33" s="2668"/>
      <c r="V33" s="2668"/>
      <c r="W33" s="2668"/>
      <c r="X33" s="2668"/>
      <c r="Y33" s="2668"/>
      <c r="Z33" s="2668"/>
      <c r="AA33" s="2668"/>
      <c r="AB33" s="2668"/>
      <c r="AC33" s="2668"/>
      <c r="AD33" s="2668"/>
      <c r="AE33" s="2668"/>
      <c r="AF33" s="2668"/>
      <c r="AG33" s="2668"/>
      <c r="AH33" s="2668"/>
      <c r="AI33" s="2668"/>
      <c r="AJ33" s="2668"/>
      <c r="AK33" s="2668"/>
      <c r="AL33" s="2668"/>
      <c r="AM33" s="2668"/>
      <c r="AN33" s="2668"/>
      <c r="AO33" s="2668"/>
      <c r="AP33" s="2668"/>
      <c r="AQ33" s="2668"/>
      <c r="AR33" s="2668"/>
      <c r="AS33" s="793"/>
      <c r="AT33" s="793"/>
      <c r="AU33" s="793"/>
      <c r="AV33" s="793"/>
      <c r="AW33" s="793"/>
      <c r="AX33" s="793"/>
      <c r="AY33" s="793"/>
      <c r="AZ33" s="793"/>
      <c r="BA33" s="793"/>
      <c r="BB33" s="793"/>
      <c r="BC33" s="793"/>
      <c r="BD33" s="793"/>
      <c r="BE33" s="793"/>
      <c r="BF33" s="793"/>
      <c r="BG33" s="793"/>
      <c r="BH33" s="793"/>
      <c r="BI33" s="793"/>
      <c r="BJ33" s="793"/>
      <c r="BK33" s="793"/>
      <c r="BL33" s="793"/>
      <c r="BM33" s="793"/>
      <c r="BN33" s="793"/>
      <c r="BO33" s="793"/>
    </row>
    <row r="34" spans="1:67" s="1726" customFormat="1" ht="14.25">
      <c r="A34" s="1727" t="s">
        <v>1227</v>
      </c>
      <c r="B34" s="113">
        <v>0.05</v>
      </c>
      <c r="C34" s="2799" t="s">
        <v>2294</v>
      </c>
      <c r="D34" s="2681" t="s">
        <v>2302</v>
      </c>
      <c r="E34" s="2679"/>
      <c r="F34" s="2670"/>
      <c r="G34" s="2670"/>
      <c r="H34" s="2670"/>
      <c r="I34" s="2670"/>
      <c r="J34" s="2670"/>
      <c r="K34" s="2669"/>
      <c r="L34" s="2669"/>
      <c r="M34" s="2668"/>
      <c r="N34" s="2668"/>
      <c r="O34" s="2668"/>
      <c r="P34" s="2668"/>
      <c r="Q34" s="2668"/>
      <c r="R34" s="2668"/>
      <c r="S34" s="2668"/>
      <c r="T34" s="2668"/>
      <c r="U34" s="2668"/>
      <c r="V34" s="2668"/>
      <c r="W34" s="2668"/>
      <c r="X34" s="2668"/>
      <c r="Y34" s="2668"/>
      <c r="Z34" s="2668"/>
      <c r="AA34" s="2668"/>
      <c r="AB34" s="2668"/>
      <c r="AC34" s="2668"/>
      <c r="AD34" s="2668"/>
      <c r="AE34" s="2668"/>
      <c r="AF34" s="2668"/>
      <c r="AG34" s="2668"/>
      <c r="AH34" s="2668"/>
      <c r="AI34" s="2668"/>
      <c r="AJ34" s="2668"/>
      <c r="AK34" s="2668"/>
      <c r="AL34" s="2668"/>
      <c r="AM34" s="2668"/>
      <c r="AN34" s="2668"/>
      <c r="AO34" s="2668"/>
      <c r="AP34" s="2668"/>
      <c r="AQ34" s="2668"/>
      <c r="AR34" s="2668"/>
      <c r="AS34" s="793"/>
      <c r="AT34" s="793"/>
      <c r="AU34" s="793"/>
      <c r="AV34" s="793"/>
      <c r="AW34" s="793"/>
      <c r="AX34" s="793"/>
      <c r="AY34" s="793"/>
      <c r="AZ34" s="793"/>
      <c r="BA34" s="793"/>
      <c r="BB34" s="793"/>
      <c r="BC34" s="793"/>
      <c r="BD34" s="793"/>
      <c r="BE34" s="793"/>
      <c r="BF34" s="793"/>
      <c r="BG34" s="793"/>
      <c r="BH34" s="793"/>
      <c r="BI34" s="793"/>
      <c r="BJ34" s="793"/>
      <c r="BK34" s="793"/>
      <c r="BL34" s="793"/>
      <c r="BM34" s="793"/>
      <c r="BN34" s="793"/>
      <c r="BO34" s="793"/>
    </row>
    <row r="35" spans="1:67" s="1726" customFormat="1" ht="14.25">
      <c r="A35" s="1727" t="s">
        <v>1228</v>
      </c>
      <c r="B35" s="110">
        <v>200</v>
      </c>
      <c r="C35" s="2799" t="s">
        <v>2295</v>
      </c>
      <c r="D35" s="2676"/>
      <c r="E35" s="2658"/>
      <c r="F35" s="2658"/>
      <c r="G35" s="2670"/>
      <c r="H35" s="2670"/>
      <c r="I35" s="2670"/>
      <c r="J35" s="2670"/>
      <c r="K35" s="2669"/>
      <c r="L35" s="2669"/>
      <c r="M35" s="2668"/>
      <c r="N35" s="2668"/>
      <c r="O35" s="2668"/>
      <c r="P35" s="2668"/>
      <c r="Q35" s="2668"/>
      <c r="R35" s="2668"/>
      <c r="S35" s="2668"/>
      <c r="T35" s="2668"/>
      <c r="U35" s="2668"/>
      <c r="V35" s="2668"/>
      <c r="W35" s="2668"/>
      <c r="X35" s="2668"/>
      <c r="Y35" s="2668"/>
      <c r="Z35" s="2668"/>
      <c r="AA35" s="2668"/>
      <c r="AB35" s="2668"/>
      <c r="AC35" s="2668"/>
      <c r="AD35" s="2668"/>
      <c r="AE35" s="2668"/>
      <c r="AF35" s="2668"/>
      <c r="AG35" s="2668"/>
      <c r="AH35" s="2668"/>
      <c r="AI35" s="2668"/>
      <c r="AJ35" s="2668"/>
      <c r="AK35" s="2668"/>
      <c r="AL35" s="2668"/>
      <c r="AM35" s="2668"/>
      <c r="AN35" s="2668"/>
      <c r="AO35" s="2668"/>
      <c r="AP35" s="2668"/>
      <c r="AQ35" s="2668"/>
      <c r="AR35" s="2668"/>
      <c r="AS35" s="793"/>
      <c r="AT35" s="793"/>
      <c r="AU35" s="793"/>
      <c r="AV35" s="793"/>
      <c r="AW35" s="793"/>
      <c r="AX35" s="793"/>
      <c r="AY35" s="793"/>
      <c r="AZ35" s="793"/>
      <c r="BA35" s="793"/>
      <c r="BB35" s="793"/>
      <c r="BC35" s="793"/>
      <c r="BD35" s="793"/>
      <c r="BE35" s="793"/>
      <c r="BF35" s="793"/>
      <c r="BG35" s="793"/>
      <c r="BH35" s="793"/>
      <c r="BI35" s="793"/>
      <c r="BJ35" s="793"/>
      <c r="BK35" s="793"/>
      <c r="BL35" s="793"/>
      <c r="BM35" s="793"/>
      <c r="BN35" s="793"/>
      <c r="BO35" s="793"/>
    </row>
    <row r="36" spans="1:67" ht="15" thickBot="1">
      <c r="A36" s="1728" t="s">
        <v>1229</v>
      </c>
      <c r="B36" s="114">
        <v>1.4999999999999999E-2</v>
      </c>
      <c r="C36" s="2799" t="s">
        <v>2296</v>
      </c>
      <c r="D36" s="2673"/>
      <c r="E36" s="2670"/>
      <c r="F36" s="2670"/>
      <c r="G36" s="2670"/>
      <c r="H36" s="2670"/>
      <c r="I36" s="2670"/>
      <c r="J36" s="2670"/>
      <c r="K36" s="2669"/>
      <c r="L36" s="2669"/>
      <c r="M36" s="2668"/>
      <c r="N36" s="2668"/>
      <c r="O36" s="2668"/>
      <c r="P36" s="2668"/>
      <c r="Q36" s="2668"/>
      <c r="R36" s="2668"/>
      <c r="S36" s="2668"/>
      <c r="T36" s="2668"/>
      <c r="U36" s="2668"/>
      <c r="V36" s="2668"/>
      <c r="W36" s="2668"/>
      <c r="X36" s="2668"/>
      <c r="Y36" s="2668"/>
      <c r="Z36" s="2668"/>
      <c r="AA36" s="2668"/>
      <c r="AB36" s="2668"/>
      <c r="AC36" s="2668"/>
      <c r="AD36" s="2668"/>
      <c r="AE36" s="2668"/>
      <c r="AF36" s="2668"/>
      <c r="AG36" s="2668"/>
      <c r="AH36" s="2668"/>
      <c r="AI36" s="2668"/>
      <c r="AJ36" s="2668"/>
      <c r="AK36" s="2668"/>
      <c r="AL36" s="2668"/>
      <c r="AM36" s="2668"/>
      <c r="AN36" s="2668"/>
      <c r="AO36" s="2668"/>
      <c r="AP36" s="2668"/>
      <c r="AQ36" s="2668"/>
      <c r="AR36" s="2668"/>
    </row>
    <row r="37" spans="1:67" ht="14.25">
      <c r="A37" s="1729" t="s">
        <v>1230</v>
      </c>
      <c r="B37" s="115">
        <v>0.02</v>
      </c>
      <c r="C37" s="2799" t="s">
        <v>2297</v>
      </c>
      <c r="D37" s="2673"/>
      <c r="E37" s="2670"/>
      <c r="F37" s="2670"/>
      <c r="G37" s="2670"/>
      <c r="H37" s="2670"/>
      <c r="I37" s="2670"/>
      <c r="J37" s="2670"/>
      <c r="K37" s="2669"/>
      <c r="L37" s="2669"/>
      <c r="M37" s="2668"/>
      <c r="N37" s="2668"/>
      <c r="O37" s="2668"/>
      <c r="P37" s="2668"/>
      <c r="Q37" s="2668"/>
      <c r="R37" s="2668"/>
      <c r="S37" s="2668"/>
      <c r="T37" s="2668"/>
      <c r="U37" s="2668"/>
      <c r="V37" s="2668"/>
      <c r="W37" s="2668"/>
      <c r="X37" s="2668"/>
      <c r="Y37" s="2668"/>
      <c r="Z37" s="2668"/>
      <c r="AA37" s="2668"/>
      <c r="AB37" s="2668"/>
      <c r="AC37" s="2668"/>
      <c r="AD37" s="2668"/>
      <c r="AE37" s="2668"/>
      <c r="AF37" s="2668"/>
      <c r="AG37" s="2668"/>
      <c r="AH37" s="2668"/>
      <c r="AI37" s="2668"/>
      <c r="AJ37" s="2668"/>
      <c r="AK37" s="2668"/>
      <c r="AL37" s="2668"/>
      <c r="AM37" s="2668"/>
      <c r="AN37" s="2668"/>
      <c r="AO37" s="2668"/>
      <c r="AP37" s="2668"/>
      <c r="AQ37" s="2668"/>
      <c r="AR37" s="2668"/>
    </row>
    <row r="38" spans="1:67" ht="14.25">
      <c r="A38" s="1727" t="s">
        <v>1231</v>
      </c>
      <c r="B38" s="113">
        <v>0.02</v>
      </c>
      <c r="C38" s="2799" t="s">
        <v>2297</v>
      </c>
      <c r="D38" s="2673"/>
      <c r="E38" s="2670"/>
      <c r="F38" s="2670"/>
      <c r="G38" s="2670"/>
      <c r="H38" s="2670"/>
      <c r="I38" s="2670"/>
      <c r="J38" s="2670"/>
      <c r="K38" s="2669"/>
      <c r="L38" s="2669"/>
      <c r="M38" s="2668"/>
      <c r="N38" s="2668"/>
      <c r="O38" s="2668"/>
      <c r="P38" s="2668"/>
      <c r="Q38" s="2668"/>
      <c r="R38" s="2668"/>
      <c r="S38" s="2668"/>
      <c r="T38" s="2668"/>
      <c r="U38" s="2668"/>
      <c r="V38" s="2668"/>
      <c r="W38" s="2668"/>
      <c r="X38" s="2668"/>
      <c r="Y38" s="2668"/>
      <c r="Z38" s="2668"/>
      <c r="AA38" s="2668"/>
      <c r="AB38" s="2668"/>
      <c r="AC38" s="2668"/>
      <c r="AD38" s="2668"/>
      <c r="AE38" s="2668"/>
      <c r="AF38" s="2668"/>
      <c r="AG38" s="2668"/>
      <c r="AH38" s="2668"/>
      <c r="AI38" s="2668"/>
      <c r="AJ38" s="2668"/>
      <c r="AK38" s="2668"/>
      <c r="AL38" s="2668"/>
      <c r="AM38" s="2668"/>
      <c r="AN38" s="2668"/>
      <c r="AO38" s="2668"/>
      <c r="AP38" s="2668"/>
      <c r="AQ38" s="2668"/>
      <c r="AR38" s="2668"/>
    </row>
    <row r="39" spans="1:67" ht="14.25">
      <c r="A39" s="1730" t="s">
        <v>1232</v>
      </c>
      <c r="B39" s="317">
        <f ca="1">存贷款利率!I1</f>
        <v>1.4999999999999999E-2</v>
      </c>
      <c r="C39" s="2678"/>
      <c r="D39" s="2673"/>
      <c r="E39" s="2670"/>
      <c r="F39" s="2670"/>
      <c r="G39" s="2670"/>
      <c r="H39" s="2670"/>
      <c r="I39" s="2670"/>
      <c r="J39" s="2670"/>
      <c r="K39" s="2669"/>
      <c r="L39" s="2669"/>
      <c r="M39" s="2668"/>
      <c r="N39" s="2668"/>
      <c r="O39" s="2668"/>
      <c r="P39" s="2668"/>
      <c r="Q39" s="2668"/>
      <c r="R39" s="2668"/>
      <c r="S39" s="2668"/>
      <c r="T39" s="2668"/>
      <c r="U39" s="2668"/>
      <c r="V39" s="2668"/>
      <c r="W39" s="2668"/>
      <c r="X39" s="2668"/>
      <c r="Y39" s="2668"/>
      <c r="Z39" s="2668"/>
      <c r="AA39" s="2668"/>
      <c r="AB39" s="2668"/>
      <c r="AC39" s="2668"/>
      <c r="AD39" s="2668"/>
      <c r="AE39" s="2668"/>
      <c r="AF39" s="2668"/>
      <c r="AG39" s="2668"/>
      <c r="AH39" s="2668"/>
      <c r="AI39" s="2668"/>
      <c r="AJ39" s="2668"/>
      <c r="AK39" s="2668"/>
      <c r="AL39" s="2668"/>
      <c r="AM39" s="2668"/>
      <c r="AN39" s="2668"/>
      <c r="AO39" s="2668"/>
      <c r="AP39" s="2668"/>
      <c r="AQ39" s="2668"/>
      <c r="AR39" s="2668"/>
    </row>
    <row r="40" spans="1:67" ht="29.25" thickBot="1">
      <c r="A40" s="2811" t="s">
        <v>3394</v>
      </c>
      <c r="B40" s="1077">
        <f ca="1">IF(A40="利息：取LPR",存贷款利率!G1,存贷款利率!G1+C40)</f>
        <v>4.1499999999999995E-2</v>
      </c>
      <c r="C40" s="2810">
        <v>5.0000000000000001E-3</v>
      </c>
      <c r="D40" s="2668"/>
      <c r="E40" s="2673"/>
      <c r="F40" s="2670"/>
      <c r="G40" s="2670"/>
      <c r="H40" s="2670"/>
      <c r="I40" s="2670"/>
      <c r="J40" s="2670"/>
      <c r="K40" s="2669"/>
      <c r="L40" s="2669"/>
      <c r="M40" s="2668"/>
      <c r="N40" s="2668"/>
      <c r="O40" s="2668"/>
      <c r="P40" s="2668"/>
      <c r="Q40" s="2668"/>
      <c r="R40" s="2668"/>
      <c r="S40" s="2668"/>
      <c r="T40" s="2668"/>
      <c r="U40" s="2668"/>
      <c r="V40" s="2668"/>
      <c r="W40" s="2668"/>
      <c r="X40" s="2668"/>
      <c r="Y40" s="2668"/>
      <c r="Z40" s="2668"/>
      <c r="AA40" s="2668"/>
      <c r="AB40" s="2668"/>
      <c r="AC40" s="2668"/>
      <c r="AD40" s="2668"/>
      <c r="AE40" s="2668"/>
      <c r="AF40" s="2668"/>
      <c r="AG40" s="2668"/>
      <c r="AH40" s="2668"/>
      <c r="AI40" s="2668"/>
      <c r="AJ40" s="2668"/>
      <c r="AK40" s="2668"/>
      <c r="AL40" s="2668"/>
      <c r="AM40" s="2668"/>
      <c r="AN40" s="2668"/>
      <c r="AO40" s="2668"/>
      <c r="AP40" s="2668"/>
      <c r="AQ40" s="2668"/>
      <c r="AR40" s="2668"/>
    </row>
    <row r="41" spans="1:67" ht="14.25">
      <c r="A41" s="1725" t="s">
        <v>1233</v>
      </c>
      <c r="B41" s="116">
        <f>B42+B43</f>
        <v>5.5000000000000007E-2</v>
      </c>
      <c r="C41" s="2675"/>
      <c r="D41" s="2668"/>
      <c r="E41" s="2673"/>
      <c r="F41" s="2670"/>
      <c r="G41" s="2670"/>
      <c r="H41" s="2670"/>
      <c r="I41" s="2670"/>
      <c r="J41" s="2670"/>
      <c r="K41" s="2669"/>
      <c r="L41" s="2669"/>
      <c r="M41" s="2668"/>
      <c r="N41" s="2668"/>
      <c r="O41" s="2668"/>
      <c r="P41" s="2668"/>
      <c r="Q41" s="2668"/>
      <c r="R41" s="2668"/>
      <c r="S41" s="2668"/>
      <c r="T41" s="2668"/>
      <c r="U41" s="2668"/>
      <c r="V41" s="2668"/>
      <c r="W41" s="2668"/>
      <c r="X41" s="2668"/>
      <c r="Y41" s="2668"/>
      <c r="Z41" s="2668"/>
      <c r="AA41" s="2668"/>
      <c r="AB41" s="2668"/>
      <c r="AC41" s="2668"/>
      <c r="AD41" s="2668"/>
      <c r="AE41" s="2668"/>
      <c r="AF41" s="2668"/>
      <c r="AG41" s="2668"/>
      <c r="AH41" s="2668"/>
      <c r="AI41" s="2668"/>
      <c r="AJ41" s="2668"/>
      <c r="AK41" s="2668"/>
      <c r="AL41" s="2668"/>
      <c r="AM41" s="2668"/>
      <c r="AN41" s="2668"/>
      <c r="AO41" s="2668"/>
      <c r="AP41" s="2668"/>
      <c r="AQ41" s="2668"/>
      <c r="AR41" s="2668"/>
    </row>
    <row r="42" spans="1:67" ht="14.25">
      <c r="A42" s="1731" t="s">
        <v>1234</v>
      </c>
      <c r="B42" s="117">
        <v>0.05</v>
      </c>
      <c r="C42" s="2680">
        <f>IF(B2&lt;DATE(2016,5,1),0,B42)</f>
        <v>0.05</v>
      </c>
      <c r="D42" s="2673"/>
      <c r="E42" s="2670"/>
      <c r="F42" s="2670"/>
      <c r="G42" s="2670"/>
      <c r="H42" s="2670"/>
      <c r="I42" s="2670"/>
      <c r="J42" s="2670"/>
      <c r="K42" s="2669"/>
      <c r="L42" s="2669"/>
      <c r="M42" s="2668"/>
      <c r="N42" s="2668"/>
      <c r="O42" s="2668"/>
      <c r="P42" s="2668"/>
      <c r="Q42" s="2668"/>
      <c r="R42" s="2668"/>
      <c r="S42" s="2668"/>
      <c r="T42" s="2668"/>
      <c r="U42" s="2668"/>
      <c r="V42" s="2668"/>
      <c r="W42" s="2668"/>
      <c r="X42" s="2668"/>
      <c r="Y42" s="2668"/>
      <c r="Z42" s="2668"/>
      <c r="AA42" s="2668"/>
      <c r="AB42" s="2668"/>
      <c r="AC42" s="2668"/>
      <c r="AD42" s="2668"/>
      <c r="AE42" s="2668"/>
      <c r="AF42" s="2668"/>
      <c r="AG42" s="2668"/>
      <c r="AH42" s="2668"/>
      <c r="AI42" s="2668"/>
      <c r="AJ42" s="2668"/>
      <c r="AK42" s="2668"/>
      <c r="AL42" s="2668"/>
      <c r="AM42" s="2668"/>
      <c r="AN42" s="2668"/>
      <c r="AO42" s="2668"/>
      <c r="AP42" s="2668"/>
      <c r="AQ42" s="2668"/>
      <c r="AR42" s="2668"/>
    </row>
    <row r="43" spans="1:67" ht="14.25">
      <c r="A43" s="1731" t="s">
        <v>1235</v>
      </c>
      <c r="B43" s="118">
        <f>B42*(B44+B45+B46)+B47</f>
        <v>5.000000000000001E-3</v>
      </c>
      <c r="C43" s="2675"/>
      <c r="D43" s="2673"/>
      <c r="E43" s="2670"/>
      <c r="F43" s="2670"/>
      <c r="G43" s="2670"/>
      <c r="H43" s="2670"/>
      <c r="I43" s="2670"/>
      <c r="J43" s="2670"/>
      <c r="K43" s="2669"/>
      <c r="L43" s="2669"/>
      <c r="M43" s="2668"/>
      <c r="N43" s="2668"/>
      <c r="O43" s="2668"/>
      <c r="P43" s="2668"/>
      <c r="Q43" s="2668"/>
      <c r="R43" s="2668"/>
      <c r="S43" s="2668"/>
      <c r="T43" s="2668"/>
      <c r="U43" s="2668"/>
      <c r="V43" s="2668"/>
      <c r="W43" s="2668"/>
      <c r="X43" s="2668"/>
      <c r="Y43" s="2668"/>
      <c r="Z43" s="2668"/>
      <c r="AA43" s="2668"/>
      <c r="AB43" s="2668"/>
      <c r="AC43" s="2668"/>
      <c r="AD43" s="2668"/>
      <c r="AE43" s="2668"/>
      <c r="AF43" s="2668"/>
      <c r="AG43" s="2668"/>
      <c r="AH43" s="2668"/>
      <c r="AI43" s="2668"/>
      <c r="AJ43" s="2668"/>
      <c r="AK43" s="2668"/>
      <c r="AL43" s="2668"/>
      <c r="AM43" s="2668"/>
      <c r="AN43" s="2668"/>
      <c r="AO43" s="2668"/>
      <c r="AP43" s="2668"/>
      <c r="AQ43" s="2668"/>
      <c r="AR43" s="2668"/>
    </row>
    <row r="44" spans="1:67" ht="14.25">
      <c r="A44" s="1732" t="s">
        <v>1236</v>
      </c>
      <c r="B44" s="119">
        <v>0.05</v>
      </c>
      <c r="C44" s="2799" t="s">
        <v>2306</v>
      </c>
      <c r="D44" s="2673"/>
      <c r="E44" s="2670"/>
      <c r="F44" s="2670"/>
      <c r="G44" s="2670"/>
      <c r="H44" s="2670"/>
      <c r="I44" s="2670"/>
      <c r="J44" s="2670"/>
      <c r="K44" s="2669"/>
      <c r="L44" s="2669"/>
      <c r="M44" s="2668"/>
      <c r="N44" s="2668"/>
      <c r="O44" s="2668"/>
      <c r="P44" s="2668"/>
      <c r="Q44" s="2668"/>
      <c r="R44" s="2668"/>
      <c r="S44" s="2668"/>
      <c r="T44" s="2668"/>
      <c r="U44" s="2668"/>
      <c r="V44" s="2668"/>
      <c r="W44" s="2668"/>
      <c r="X44" s="2668"/>
      <c r="Y44" s="2668"/>
      <c r="Z44" s="2668"/>
      <c r="AA44" s="2668"/>
      <c r="AB44" s="2668"/>
      <c r="AC44" s="2668"/>
      <c r="AD44" s="2668"/>
      <c r="AE44" s="2668"/>
      <c r="AF44" s="2668"/>
      <c r="AG44" s="2668"/>
      <c r="AH44" s="2668"/>
      <c r="AI44" s="2668"/>
      <c r="AJ44" s="2668"/>
      <c r="AK44" s="2668"/>
      <c r="AL44" s="2668"/>
      <c r="AM44" s="2668"/>
      <c r="AN44" s="2668"/>
      <c r="AO44" s="2668"/>
      <c r="AP44" s="2668"/>
      <c r="AQ44" s="2668"/>
      <c r="AR44" s="2668"/>
    </row>
    <row r="45" spans="1:67" ht="14.25">
      <c r="A45" s="1732" t="s">
        <v>1237</v>
      </c>
      <c r="B45" s="117">
        <v>0.03</v>
      </c>
      <c r="C45" s="2798" t="s">
        <v>2298</v>
      </c>
      <c r="D45" s="2673"/>
      <c r="E45" s="2670"/>
      <c r="F45" s="2670"/>
      <c r="G45" s="2670"/>
      <c r="H45" s="2670"/>
      <c r="I45" s="2670"/>
      <c r="J45" s="2670"/>
      <c r="K45" s="2669"/>
      <c r="L45" s="2669"/>
      <c r="M45" s="2668"/>
      <c r="N45" s="2668"/>
      <c r="O45" s="2668"/>
      <c r="P45" s="2668"/>
      <c r="Q45" s="2668"/>
      <c r="R45" s="2668"/>
      <c r="S45" s="2668"/>
      <c r="T45" s="2668"/>
      <c r="U45" s="2668"/>
      <c r="V45" s="2668"/>
      <c r="W45" s="2668"/>
      <c r="X45" s="2668"/>
      <c r="Y45" s="2668"/>
      <c r="Z45" s="2668"/>
      <c r="AA45" s="2668"/>
      <c r="AB45" s="2668"/>
      <c r="AC45" s="2668"/>
      <c r="AD45" s="2668"/>
      <c r="AE45" s="2668"/>
      <c r="AF45" s="2668"/>
      <c r="AG45" s="2668"/>
      <c r="AH45" s="2668"/>
      <c r="AI45" s="2668"/>
      <c r="AJ45" s="2668"/>
      <c r="AK45" s="2668"/>
      <c r="AL45" s="2668"/>
      <c r="AM45" s="2668"/>
      <c r="AN45" s="2668"/>
      <c r="AO45" s="2668"/>
      <c r="AP45" s="2668"/>
      <c r="AQ45" s="2668"/>
      <c r="AR45" s="2668"/>
    </row>
    <row r="46" spans="1:67" ht="14.25">
      <c r="A46" s="1732" t="s">
        <v>1238</v>
      </c>
      <c r="B46" s="117">
        <v>0.02</v>
      </c>
      <c r="C46" s="2798" t="s">
        <v>2299</v>
      </c>
      <c r="D46" s="2673"/>
      <c r="E46" s="2670"/>
      <c r="F46" s="2670"/>
      <c r="G46" s="2670"/>
      <c r="H46" s="2670"/>
      <c r="I46" s="2670"/>
      <c r="J46" s="2670"/>
      <c r="K46" s="2669"/>
      <c r="L46" s="2669"/>
      <c r="M46" s="2668"/>
      <c r="N46" s="2668"/>
      <c r="O46" s="2668"/>
      <c r="P46" s="2668"/>
      <c r="Q46" s="2668"/>
      <c r="R46" s="2668"/>
      <c r="S46" s="2668"/>
      <c r="T46" s="2668"/>
      <c r="U46" s="2668"/>
      <c r="V46" s="2668"/>
      <c r="W46" s="2668"/>
      <c r="X46" s="2668"/>
      <c r="Y46" s="2668"/>
      <c r="Z46" s="2668"/>
      <c r="AA46" s="2668"/>
      <c r="AB46" s="2668"/>
      <c r="AC46" s="2668"/>
      <c r="AD46" s="2668"/>
      <c r="AE46" s="2668"/>
      <c r="AF46" s="2668"/>
      <c r="AG46" s="2668"/>
      <c r="AH46" s="2668"/>
      <c r="AI46" s="2668"/>
      <c r="AJ46" s="2668"/>
      <c r="AK46" s="2668"/>
      <c r="AL46" s="2668"/>
      <c r="AM46" s="2668"/>
      <c r="AN46" s="2668"/>
      <c r="AO46" s="2668"/>
      <c r="AP46" s="2668"/>
      <c r="AQ46" s="2668"/>
      <c r="AR46" s="2668"/>
    </row>
    <row r="47" spans="1:67" ht="15" thickBot="1">
      <c r="A47" s="1733" t="s">
        <v>1239</v>
      </c>
      <c r="B47" s="120"/>
      <c r="C47" s="2801" t="s">
        <v>2307</v>
      </c>
      <c r="D47" s="2673"/>
      <c r="E47" s="2670"/>
      <c r="F47" s="2670"/>
      <c r="G47" s="2670"/>
      <c r="H47" s="2670"/>
      <c r="I47" s="2670"/>
      <c r="J47" s="2670"/>
      <c r="K47" s="2669"/>
      <c r="L47" s="2669"/>
      <c r="M47" s="2668"/>
      <c r="N47" s="2668"/>
      <c r="O47" s="2668"/>
      <c r="P47" s="2668"/>
      <c r="Q47" s="2668"/>
      <c r="R47" s="2668"/>
      <c r="S47" s="2668"/>
      <c r="T47" s="2668"/>
      <c r="U47" s="2668"/>
      <c r="V47" s="2668"/>
      <c r="W47" s="2668"/>
      <c r="X47" s="2668"/>
      <c r="Y47" s="2668"/>
      <c r="Z47" s="2668"/>
      <c r="AA47" s="2668"/>
      <c r="AB47" s="2668"/>
      <c r="AC47" s="2668"/>
      <c r="AD47" s="2668"/>
      <c r="AE47" s="2668"/>
      <c r="AF47" s="2668"/>
      <c r="AG47" s="2668"/>
      <c r="AH47" s="2668"/>
      <c r="AI47" s="2668"/>
      <c r="AJ47" s="2668"/>
      <c r="AK47" s="2668"/>
      <c r="AL47" s="2668"/>
      <c r="AM47" s="2668"/>
      <c r="AN47" s="2668"/>
      <c r="AO47" s="2668"/>
      <c r="AP47" s="2668"/>
      <c r="AQ47" s="2668"/>
      <c r="AR47" s="2668"/>
    </row>
    <row r="48" spans="1:67" ht="14.25">
      <c r="A48" s="1734" t="s">
        <v>1240</v>
      </c>
      <c r="B48" s="121">
        <v>0.03</v>
      </c>
      <c r="C48" s="2798" t="s">
        <v>2298</v>
      </c>
      <c r="D48" s="2673"/>
      <c r="E48" s="2670"/>
      <c r="F48" s="2670"/>
      <c r="G48" s="2670"/>
      <c r="H48" s="2670"/>
      <c r="I48" s="2670"/>
      <c r="J48" s="2670"/>
      <c r="K48" s="2669"/>
      <c r="L48" s="2669"/>
      <c r="M48" s="2668"/>
      <c r="N48" s="2668"/>
      <c r="O48" s="2668"/>
      <c r="P48" s="2668"/>
      <c r="Q48" s="2668"/>
      <c r="R48" s="2668"/>
      <c r="S48" s="2668"/>
      <c r="T48" s="2668"/>
      <c r="U48" s="2668"/>
      <c r="V48" s="2668"/>
      <c r="W48" s="2668"/>
      <c r="X48" s="2668"/>
      <c r="Y48" s="2668"/>
      <c r="Z48" s="2668"/>
      <c r="AA48" s="2668"/>
      <c r="AB48" s="2668"/>
      <c r="AC48" s="2668"/>
      <c r="AD48" s="2668"/>
      <c r="AE48" s="2668"/>
      <c r="AF48" s="2668"/>
      <c r="AG48" s="2668"/>
      <c r="AH48" s="2668"/>
      <c r="AI48" s="2668"/>
      <c r="AJ48" s="2668"/>
      <c r="AK48" s="2668"/>
      <c r="AL48" s="2668"/>
      <c r="AM48" s="2668"/>
      <c r="AN48" s="2668"/>
      <c r="AO48" s="2668"/>
      <c r="AP48" s="2668"/>
      <c r="AQ48" s="2668"/>
      <c r="AR48" s="2668"/>
    </row>
    <row r="49" spans="1:44" ht="15" thickBot="1">
      <c r="A49" s="1730" t="s">
        <v>1241</v>
      </c>
      <c r="B49" s="117">
        <v>5.0000000000000001E-4</v>
      </c>
      <c r="C49" s="2798" t="s">
        <v>2300</v>
      </c>
      <c r="D49" s="2673"/>
      <c r="E49" s="2670"/>
      <c r="F49" s="2670"/>
      <c r="G49" s="2670"/>
      <c r="H49" s="2670"/>
      <c r="I49" s="2670"/>
      <c r="J49" s="2670"/>
      <c r="K49" s="2669"/>
      <c r="L49" s="2669"/>
      <c r="M49" s="2668"/>
      <c r="N49" s="2668"/>
      <c r="O49" s="2668"/>
      <c r="P49" s="2668"/>
      <c r="Q49" s="2668"/>
      <c r="R49" s="2668"/>
      <c r="S49" s="2668"/>
      <c r="T49" s="2668"/>
      <c r="U49" s="2668"/>
      <c r="V49" s="2668"/>
      <c r="W49" s="2668"/>
      <c r="X49" s="2668"/>
      <c r="Y49" s="2668"/>
      <c r="Z49" s="2668"/>
      <c r="AA49" s="2668"/>
      <c r="AB49" s="2668"/>
      <c r="AC49" s="2668"/>
      <c r="AD49" s="2668"/>
      <c r="AE49" s="2668"/>
      <c r="AF49" s="2668"/>
      <c r="AG49" s="2668"/>
      <c r="AH49" s="2668"/>
      <c r="AI49" s="2668"/>
      <c r="AJ49" s="2668"/>
      <c r="AK49" s="2668"/>
      <c r="AL49" s="2668"/>
      <c r="AM49" s="2668"/>
      <c r="AN49" s="2668"/>
      <c r="AO49" s="2668"/>
      <c r="AP49" s="2668"/>
      <c r="AQ49" s="2668"/>
      <c r="AR49" s="2668"/>
    </row>
    <row r="50" spans="1:44" ht="14.25">
      <c r="A50" s="1735" t="s">
        <v>1242</v>
      </c>
      <c r="B50" s="122">
        <v>1.2E-2</v>
      </c>
      <c r="C50" s="2658"/>
      <c r="D50" s="2673"/>
      <c r="E50" s="2670"/>
      <c r="F50" s="2670"/>
      <c r="G50" s="2670"/>
      <c r="H50" s="2670"/>
      <c r="I50" s="2670"/>
      <c r="J50" s="2670"/>
      <c r="K50" s="2669"/>
      <c r="L50" s="2669"/>
      <c r="M50" s="2668"/>
      <c r="N50" s="2668"/>
      <c r="O50" s="2668"/>
      <c r="P50" s="2668"/>
      <c r="Q50" s="2668"/>
      <c r="R50" s="2668"/>
      <c r="S50" s="2668"/>
      <c r="T50" s="2668"/>
      <c r="U50" s="2668"/>
      <c r="V50" s="2668"/>
      <c r="W50" s="2668"/>
      <c r="X50" s="2668"/>
      <c r="Y50" s="2668"/>
      <c r="Z50" s="2668"/>
      <c r="AA50" s="2668"/>
      <c r="AB50" s="2668"/>
      <c r="AC50" s="2668"/>
      <c r="AD50" s="2668"/>
      <c r="AE50" s="2668"/>
      <c r="AF50" s="2668"/>
      <c r="AG50" s="2668"/>
      <c r="AH50" s="2668"/>
      <c r="AI50" s="2668"/>
      <c r="AJ50" s="2668"/>
      <c r="AK50" s="2668"/>
      <c r="AL50" s="2668"/>
      <c r="AM50" s="2668"/>
      <c r="AN50" s="2668"/>
      <c r="AO50" s="2668"/>
      <c r="AP50" s="2668"/>
      <c r="AQ50" s="2668"/>
      <c r="AR50" s="2668"/>
    </row>
    <row r="51" spans="1:44" ht="15" thickBot="1">
      <c r="A51" s="1728" t="s">
        <v>1243</v>
      </c>
      <c r="B51" s="123">
        <v>0.12</v>
      </c>
      <c r="C51" s="2658"/>
      <c r="D51" s="2673"/>
      <c r="E51" s="2670"/>
      <c r="F51" s="2670"/>
      <c r="G51" s="2670"/>
      <c r="H51" s="2670"/>
      <c r="I51" s="2670"/>
      <c r="J51" s="2670"/>
      <c r="K51" s="2669"/>
      <c r="L51" s="2669"/>
      <c r="M51" s="2668"/>
      <c r="N51" s="2668"/>
      <c r="O51" s="2668"/>
      <c r="P51" s="2668"/>
      <c r="Q51" s="2668"/>
      <c r="R51" s="2668"/>
      <c r="S51" s="2668"/>
      <c r="T51" s="2668"/>
      <c r="U51" s="2668"/>
      <c r="V51" s="2668"/>
      <c r="W51" s="2668"/>
      <c r="X51" s="2668"/>
      <c r="Y51" s="2668"/>
      <c r="Z51" s="2668"/>
      <c r="AA51" s="2668"/>
      <c r="AB51" s="2668"/>
      <c r="AC51" s="2668"/>
      <c r="AD51" s="2668"/>
      <c r="AE51" s="2668"/>
      <c r="AF51" s="2668"/>
      <c r="AG51" s="2668"/>
      <c r="AH51" s="2668"/>
      <c r="AI51" s="2668"/>
      <c r="AJ51" s="2668"/>
      <c r="AK51" s="2668"/>
      <c r="AL51" s="2668"/>
      <c r="AM51" s="2668"/>
      <c r="AN51" s="2668"/>
      <c r="AO51" s="2668"/>
      <c r="AP51" s="2668"/>
      <c r="AQ51" s="2668"/>
      <c r="AR51" s="2668"/>
    </row>
    <row r="52" spans="1:44" ht="14.25">
      <c r="A52" s="1735" t="s">
        <v>1244</v>
      </c>
      <c r="B52" s="124">
        <f>SUMIF(A54:A63,B53,B54:B63)</f>
        <v>1.5</v>
      </c>
      <c r="C52" s="2658"/>
      <c r="D52" s="2673"/>
      <c r="E52" s="2670"/>
      <c r="F52" s="2670"/>
      <c r="G52" s="2670"/>
      <c r="H52" s="2670"/>
      <c r="I52" s="2670"/>
      <c r="J52" s="2670"/>
      <c r="K52" s="2669"/>
      <c r="L52" s="2669"/>
      <c r="M52" s="2668"/>
      <c r="N52" s="2668"/>
      <c r="O52" s="2668"/>
      <c r="P52" s="2668"/>
      <c r="Q52" s="2668"/>
      <c r="R52" s="2668"/>
      <c r="S52" s="2668"/>
      <c r="T52" s="2668"/>
      <c r="U52" s="2668"/>
      <c r="V52" s="2668"/>
      <c r="W52" s="2668"/>
      <c r="X52" s="2668"/>
      <c r="Y52" s="2668"/>
      <c r="Z52" s="2668"/>
      <c r="AA52" s="2668"/>
      <c r="AB52" s="2668"/>
      <c r="AC52" s="2668"/>
      <c r="AD52" s="2668"/>
      <c r="AE52" s="2668"/>
      <c r="AF52" s="2668"/>
      <c r="AG52" s="2668"/>
      <c r="AH52" s="2668"/>
      <c r="AI52" s="2668"/>
      <c r="AJ52" s="2668"/>
      <c r="AK52" s="2668"/>
      <c r="AL52" s="2668"/>
      <c r="AM52" s="2668"/>
      <c r="AN52" s="2668"/>
      <c r="AO52" s="2668"/>
      <c r="AP52" s="2668"/>
      <c r="AQ52" s="2668"/>
      <c r="AR52" s="2668"/>
    </row>
    <row r="53" spans="1:44" ht="27">
      <c r="A53" s="1727" t="s">
        <v>1245</v>
      </c>
      <c r="B53" s="1736" t="s">
        <v>29</v>
      </c>
      <c r="C53" s="2658" t="s">
        <v>1246</v>
      </c>
      <c r="D53" s="2800" t="s">
        <v>2304</v>
      </c>
      <c r="E53" s="2670"/>
      <c r="F53" s="2670"/>
      <c r="G53" s="2670"/>
      <c r="H53" s="2670"/>
      <c r="I53" s="2670"/>
      <c r="J53" s="2670"/>
      <c r="K53" s="2669"/>
      <c r="L53" s="2669"/>
      <c r="M53" s="2668"/>
      <c r="N53" s="2668"/>
      <c r="O53" s="2668"/>
      <c r="P53" s="2668"/>
      <c r="Q53" s="2668"/>
      <c r="R53" s="2668"/>
      <c r="S53" s="2668"/>
      <c r="T53" s="2668"/>
      <c r="U53" s="2668"/>
      <c r="V53" s="2668"/>
      <c r="W53" s="2668"/>
      <c r="X53" s="2668"/>
      <c r="Y53" s="2668"/>
      <c r="Z53" s="2668"/>
      <c r="AA53" s="2668"/>
      <c r="AB53" s="2668"/>
      <c r="AC53" s="2668"/>
      <c r="AD53" s="2668"/>
      <c r="AE53" s="2668"/>
      <c r="AF53" s="2668"/>
      <c r="AG53" s="2668"/>
      <c r="AH53" s="2668"/>
      <c r="AI53" s="2668"/>
      <c r="AJ53" s="2668"/>
      <c r="AK53" s="2668"/>
      <c r="AL53" s="2668"/>
      <c r="AM53" s="2668"/>
      <c r="AN53" s="2668"/>
      <c r="AO53" s="2668"/>
      <c r="AP53" s="2668"/>
      <c r="AQ53" s="2668"/>
      <c r="AR53" s="2668"/>
    </row>
    <row r="54" spans="1:44" ht="14.25">
      <c r="A54" s="1737" t="s">
        <v>1247</v>
      </c>
      <c r="B54" s="75"/>
      <c r="C54" s="2658">
        <v>30</v>
      </c>
      <c r="D54" s="2673"/>
      <c r="E54" s="2670"/>
      <c r="F54" s="2670"/>
      <c r="G54" s="2670"/>
      <c r="H54" s="2670"/>
      <c r="I54" s="2670"/>
      <c r="J54" s="2670"/>
      <c r="K54" s="2669"/>
      <c r="L54" s="2669"/>
      <c r="M54" s="2668"/>
      <c r="N54" s="2668"/>
      <c r="O54" s="2668"/>
      <c r="P54" s="2668"/>
      <c r="Q54" s="2668"/>
      <c r="R54" s="2668"/>
      <c r="S54" s="2668"/>
      <c r="T54" s="2668"/>
      <c r="U54" s="2668"/>
      <c r="V54" s="2668"/>
      <c r="W54" s="2668"/>
      <c r="X54" s="2668"/>
      <c r="Y54" s="2668"/>
      <c r="Z54" s="2668"/>
      <c r="AA54" s="2668"/>
      <c r="AB54" s="2668"/>
      <c r="AC54" s="2668"/>
      <c r="AD54" s="2668"/>
      <c r="AE54" s="2668"/>
      <c r="AF54" s="2668"/>
      <c r="AG54" s="2668"/>
      <c r="AH54" s="2668"/>
      <c r="AI54" s="2668"/>
      <c r="AJ54" s="2668"/>
      <c r="AK54" s="2668"/>
      <c r="AL54" s="2668"/>
      <c r="AM54" s="2668"/>
      <c r="AN54" s="2668"/>
      <c r="AO54" s="2668"/>
      <c r="AP54" s="2668"/>
      <c r="AQ54" s="2668"/>
      <c r="AR54" s="2668"/>
    </row>
    <row r="55" spans="1:44" ht="14.25">
      <c r="A55" s="1737" t="s">
        <v>1248</v>
      </c>
      <c r="B55" s="75"/>
      <c r="C55" s="2658">
        <v>24</v>
      </c>
      <c r="D55" s="2673"/>
      <c r="E55" s="2670"/>
      <c r="F55" s="2670"/>
      <c r="G55" s="2670"/>
      <c r="H55" s="2670"/>
      <c r="I55" s="2671"/>
      <c r="J55" s="2670"/>
      <c r="K55" s="2669"/>
      <c r="L55" s="2669"/>
      <c r="M55" s="2668"/>
      <c r="N55" s="2668"/>
      <c r="O55" s="2668"/>
      <c r="P55" s="2668"/>
      <c r="Q55" s="2668"/>
      <c r="R55" s="2668"/>
      <c r="S55" s="2668"/>
      <c r="T55" s="2668"/>
      <c r="U55" s="2668"/>
      <c r="V55" s="2668"/>
      <c r="W55" s="2668"/>
      <c r="X55" s="2668"/>
      <c r="Y55" s="2668"/>
      <c r="Z55" s="2668"/>
      <c r="AA55" s="2668"/>
      <c r="AB55" s="2668"/>
      <c r="AC55" s="2668"/>
      <c r="AD55" s="2668"/>
      <c r="AE55" s="2668"/>
      <c r="AF55" s="2668"/>
      <c r="AG55" s="2668"/>
      <c r="AH55" s="2668"/>
      <c r="AI55" s="2668"/>
      <c r="AJ55" s="2668"/>
      <c r="AK55" s="2668"/>
      <c r="AL55" s="2668"/>
      <c r="AM55" s="2668"/>
      <c r="AN55" s="2668"/>
      <c r="AO55" s="2668"/>
      <c r="AP55" s="2668"/>
      <c r="AQ55" s="2668"/>
      <c r="AR55" s="2668"/>
    </row>
    <row r="56" spans="1:44" ht="14.25">
      <c r="A56" s="1737" t="s">
        <v>1249</v>
      </c>
      <c r="B56" s="75"/>
      <c r="C56" s="2658">
        <v>18</v>
      </c>
      <c r="D56" s="2673"/>
      <c r="E56" s="2670"/>
      <c r="F56" s="2670"/>
      <c r="G56" s="2670"/>
      <c r="H56" s="2670"/>
      <c r="I56" s="2670"/>
      <c r="J56" s="2670"/>
      <c r="K56" s="2669"/>
      <c r="L56" s="2669"/>
      <c r="M56" s="2668"/>
      <c r="N56" s="2668"/>
      <c r="O56" s="2668"/>
      <c r="P56" s="2668"/>
      <c r="Q56" s="2668"/>
      <c r="R56" s="2668"/>
      <c r="S56" s="2668"/>
      <c r="T56" s="2668"/>
      <c r="U56" s="2668"/>
      <c r="V56" s="2668"/>
      <c r="W56" s="2668"/>
      <c r="X56" s="2668"/>
      <c r="Y56" s="2668"/>
      <c r="Z56" s="2668"/>
      <c r="AA56" s="2668"/>
      <c r="AB56" s="2668"/>
      <c r="AC56" s="2668"/>
      <c r="AD56" s="2668"/>
      <c r="AE56" s="2668"/>
      <c r="AF56" s="2668"/>
      <c r="AG56" s="2668"/>
      <c r="AH56" s="2668"/>
      <c r="AI56" s="2668"/>
      <c r="AJ56" s="2668"/>
      <c r="AK56" s="2668"/>
      <c r="AL56" s="2668"/>
      <c r="AM56" s="2668"/>
      <c r="AN56" s="2668"/>
      <c r="AO56" s="2668"/>
      <c r="AP56" s="2668"/>
      <c r="AQ56" s="2668"/>
      <c r="AR56" s="2668"/>
    </row>
    <row r="57" spans="1:44" ht="14.25">
      <c r="A57" s="1737" t="s">
        <v>1250</v>
      </c>
      <c r="B57" s="75"/>
      <c r="C57" s="2658">
        <v>12</v>
      </c>
      <c r="D57" s="2673"/>
      <c r="E57" s="2670"/>
      <c r="F57" s="2670"/>
      <c r="G57" s="2670"/>
      <c r="H57" s="2670"/>
      <c r="I57" s="2670"/>
      <c r="J57" s="2670"/>
      <c r="K57" s="2669"/>
      <c r="L57" s="2669"/>
      <c r="M57" s="2668"/>
      <c r="N57" s="2668"/>
      <c r="O57" s="2668"/>
      <c r="P57" s="2668"/>
      <c r="Q57" s="2668"/>
      <c r="R57" s="2668"/>
      <c r="S57" s="2668"/>
      <c r="T57" s="2668"/>
      <c r="U57" s="2668"/>
      <c r="V57" s="2668"/>
      <c r="W57" s="2668"/>
      <c r="X57" s="2668"/>
      <c r="Y57" s="2668"/>
      <c r="Z57" s="2668"/>
      <c r="AA57" s="2668"/>
      <c r="AB57" s="2668"/>
      <c r="AC57" s="2668"/>
      <c r="AD57" s="2668"/>
      <c r="AE57" s="2668"/>
      <c r="AF57" s="2668"/>
      <c r="AG57" s="2668"/>
      <c r="AH57" s="2668"/>
      <c r="AI57" s="2668"/>
      <c r="AJ57" s="2668"/>
      <c r="AK57" s="2668"/>
      <c r="AL57" s="2668"/>
      <c r="AM57" s="2668"/>
      <c r="AN57" s="2668"/>
      <c r="AO57" s="2668"/>
      <c r="AP57" s="2668"/>
      <c r="AQ57" s="2668"/>
      <c r="AR57" s="2668"/>
    </row>
    <row r="58" spans="1:44" ht="14.25">
      <c r="A58" s="1737" t="s">
        <v>1251</v>
      </c>
      <c r="B58" s="75"/>
      <c r="C58" s="2658">
        <v>3</v>
      </c>
      <c r="D58" s="2673"/>
      <c r="E58" s="2670"/>
      <c r="F58" s="2670"/>
      <c r="G58" s="2670"/>
      <c r="H58" s="2670"/>
      <c r="I58" s="2670"/>
      <c r="J58" s="2670"/>
      <c r="K58" s="2669"/>
      <c r="L58" s="2669"/>
      <c r="M58" s="2668"/>
      <c r="N58" s="2668"/>
      <c r="O58" s="2668"/>
      <c r="P58" s="2668"/>
      <c r="Q58" s="2668"/>
      <c r="R58" s="2668"/>
      <c r="S58" s="2668"/>
      <c r="T58" s="2668"/>
      <c r="U58" s="2668"/>
      <c r="V58" s="2668"/>
      <c r="W58" s="2668"/>
      <c r="X58" s="2668"/>
      <c r="Y58" s="2668"/>
      <c r="Z58" s="2668"/>
      <c r="AA58" s="2668"/>
      <c r="AB58" s="2668"/>
      <c r="AC58" s="2668"/>
      <c r="AD58" s="2668"/>
      <c r="AE58" s="2668"/>
      <c r="AF58" s="2668"/>
      <c r="AG58" s="2668"/>
      <c r="AH58" s="2668"/>
      <c r="AI58" s="2668"/>
      <c r="AJ58" s="2668"/>
      <c r="AK58" s="2668"/>
      <c r="AL58" s="2668"/>
      <c r="AM58" s="2668"/>
      <c r="AN58" s="2668"/>
      <c r="AO58" s="2668"/>
      <c r="AP58" s="2668"/>
      <c r="AQ58" s="2668"/>
      <c r="AR58" s="2668"/>
    </row>
    <row r="59" spans="1:44" ht="14.25">
      <c r="A59" s="1737" t="s">
        <v>1252</v>
      </c>
      <c r="B59" s="75">
        <v>1.5</v>
      </c>
      <c r="C59" s="2658">
        <v>1.5</v>
      </c>
      <c r="D59" s="2673"/>
      <c r="E59" s="2670"/>
      <c r="F59" s="2670"/>
      <c r="G59" s="2670"/>
      <c r="H59" s="2670"/>
      <c r="I59" s="2670"/>
      <c r="J59" s="2670"/>
      <c r="K59" s="2669"/>
      <c r="L59" s="2669"/>
      <c r="M59" s="2668"/>
      <c r="N59" s="2668"/>
      <c r="O59" s="2668"/>
      <c r="P59" s="2668"/>
      <c r="Q59" s="2668"/>
      <c r="R59" s="2668"/>
      <c r="S59" s="2668"/>
      <c r="T59" s="2668"/>
      <c r="U59" s="2668"/>
      <c r="V59" s="2668"/>
      <c r="W59" s="2668"/>
      <c r="X59" s="2668"/>
      <c r="Y59" s="2668"/>
      <c r="Z59" s="2668"/>
      <c r="AA59" s="2668"/>
      <c r="AB59" s="2668"/>
      <c r="AC59" s="2668"/>
      <c r="AD59" s="2668"/>
      <c r="AE59" s="2668"/>
      <c r="AF59" s="2668"/>
      <c r="AG59" s="2668"/>
      <c r="AH59" s="2668"/>
      <c r="AI59" s="2668"/>
      <c r="AJ59" s="2668"/>
      <c r="AK59" s="2668"/>
      <c r="AL59" s="2668"/>
      <c r="AM59" s="2668"/>
      <c r="AN59" s="2668"/>
      <c r="AO59" s="2668"/>
      <c r="AP59" s="2668"/>
      <c r="AQ59" s="2668"/>
      <c r="AR59" s="2668"/>
    </row>
    <row r="60" spans="1:44" ht="14.25">
      <c r="A60" s="1737" t="s">
        <v>1253</v>
      </c>
      <c r="B60" s="75"/>
      <c r="C60" s="2670"/>
      <c r="D60" s="2673"/>
      <c r="E60" s="2670"/>
      <c r="F60" s="2670"/>
      <c r="G60" s="2670"/>
      <c r="H60" s="2670"/>
      <c r="I60" s="2670"/>
      <c r="J60" s="2670"/>
      <c r="K60" s="2669"/>
      <c r="L60" s="2669"/>
      <c r="M60" s="2668"/>
      <c r="N60" s="2668"/>
      <c r="O60" s="2668"/>
      <c r="P60" s="2668"/>
      <c r="Q60" s="2668"/>
      <c r="R60" s="2668"/>
      <c r="S60" s="2668"/>
      <c r="T60" s="2668"/>
      <c r="U60" s="2668"/>
      <c r="V60" s="2668"/>
      <c r="W60" s="2668"/>
      <c r="X60" s="2668"/>
      <c r="Y60" s="2668"/>
      <c r="Z60" s="2668"/>
      <c r="AA60" s="2668"/>
      <c r="AB60" s="2668"/>
      <c r="AC60" s="2668"/>
      <c r="AD60" s="2668"/>
      <c r="AE60" s="2668"/>
      <c r="AF60" s="2668"/>
      <c r="AG60" s="2668"/>
      <c r="AH60" s="2668"/>
      <c r="AI60" s="2668"/>
      <c r="AJ60" s="2668"/>
      <c r="AK60" s="2668"/>
      <c r="AL60" s="2668"/>
      <c r="AM60" s="2668"/>
      <c r="AN60" s="2668"/>
      <c r="AO60" s="2668"/>
      <c r="AP60" s="2668"/>
      <c r="AQ60" s="2668"/>
      <c r="AR60" s="2668"/>
    </row>
    <row r="61" spans="1:44" ht="14.25">
      <c r="A61" s="1737" t="s">
        <v>1254</v>
      </c>
      <c r="B61" s="75"/>
      <c r="C61" s="2670"/>
      <c r="D61" s="2673"/>
      <c r="E61" s="2670"/>
      <c r="F61" s="2670"/>
      <c r="G61" s="2670"/>
      <c r="H61" s="2670"/>
      <c r="I61" s="2670"/>
      <c r="J61" s="2670"/>
      <c r="K61" s="2669"/>
      <c r="L61" s="2669"/>
      <c r="M61" s="2668"/>
      <c r="N61" s="2668"/>
      <c r="O61" s="2668"/>
      <c r="P61" s="2668"/>
      <c r="Q61" s="2668"/>
      <c r="R61" s="2668"/>
      <c r="S61" s="2668"/>
      <c r="T61" s="2668"/>
      <c r="U61" s="2668"/>
      <c r="V61" s="2668"/>
      <c r="W61" s="2668"/>
      <c r="X61" s="2668"/>
      <c r="Y61" s="2668"/>
      <c r="Z61" s="2668"/>
      <c r="AA61" s="2668"/>
      <c r="AB61" s="2668"/>
      <c r="AC61" s="2668"/>
      <c r="AD61" s="2668"/>
      <c r="AE61" s="2668"/>
      <c r="AF61" s="2668"/>
      <c r="AG61" s="2668"/>
      <c r="AH61" s="2668"/>
      <c r="AI61" s="2668"/>
      <c r="AJ61" s="2668"/>
      <c r="AK61" s="2668"/>
      <c r="AL61" s="2668"/>
      <c r="AM61" s="2668"/>
      <c r="AN61" s="2668"/>
      <c r="AO61" s="2668"/>
      <c r="AP61" s="2668"/>
      <c r="AQ61" s="2668"/>
      <c r="AR61" s="2668"/>
    </row>
    <row r="62" spans="1:44" ht="14.25">
      <c r="A62" s="1737" t="s">
        <v>1255</v>
      </c>
      <c r="B62" s="75"/>
      <c r="C62" s="2670"/>
      <c r="D62" s="2673"/>
      <c r="E62" s="2670"/>
      <c r="F62" s="2670"/>
      <c r="G62" s="2670"/>
      <c r="H62" s="2670"/>
      <c r="I62" s="2670"/>
      <c r="J62" s="2670"/>
      <c r="K62" s="2669"/>
      <c r="L62" s="2669"/>
      <c r="M62" s="2668"/>
      <c r="N62" s="2668"/>
      <c r="O62" s="2668"/>
      <c r="P62" s="2668"/>
      <c r="Q62" s="2668"/>
      <c r="R62" s="2668"/>
      <c r="S62" s="2668"/>
      <c r="T62" s="2668"/>
      <c r="U62" s="2668"/>
      <c r="V62" s="2668"/>
      <c r="W62" s="2668"/>
      <c r="X62" s="2668"/>
      <c r="Y62" s="2668"/>
      <c r="Z62" s="2668"/>
      <c r="AA62" s="2668"/>
      <c r="AB62" s="2668"/>
      <c r="AC62" s="2668"/>
      <c r="AD62" s="2668"/>
      <c r="AE62" s="2668"/>
      <c r="AF62" s="2668"/>
      <c r="AG62" s="2668"/>
      <c r="AH62" s="2668"/>
      <c r="AI62" s="2668"/>
      <c r="AJ62" s="2668"/>
      <c r="AK62" s="2668"/>
      <c r="AL62" s="2668"/>
      <c r="AM62" s="2668"/>
      <c r="AN62" s="2668"/>
      <c r="AO62" s="2668"/>
      <c r="AP62" s="2668"/>
      <c r="AQ62" s="2668"/>
      <c r="AR62" s="2668"/>
    </row>
    <row r="63" spans="1:44" ht="15" thickBot="1">
      <c r="A63" s="1738" t="s">
        <v>1256</v>
      </c>
      <c r="B63" s="125"/>
      <c r="C63" s="2670"/>
      <c r="D63" s="2673"/>
      <c r="E63" s="2670"/>
      <c r="F63" s="2670"/>
      <c r="G63" s="2670"/>
      <c r="H63" s="2670"/>
      <c r="I63" s="2670"/>
      <c r="J63" s="2670"/>
      <c r="K63" s="2669"/>
      <c r="L63" s="2669"/>
      <c r="M63" s="2668"/>
      <c r="N63" s="2668"/>
      <c r="O63" s="2668"/>
      <c r="P63" s="2668"/>
      <c r="Q63" s="2668"/>
      <c r="R63" s="2668"/>
      <c r="S63" s="2668"/>
      <c r="T63" s="2668"/>
      <c r="U63" s="2668"/>
      <c r="V63" s="2668"/>
      <c r="W63" s="2668"/>
      <c r="X63" s="2668"/>
      <c r="Y63" s="2668"/>
      <c r="Z63" s="2668"/>
      <c r="AA63" s="2668"/>
      <c r="AB63" s="2668"/>
      <c r="AC63" s="2668"/>
      <c r="AD63" s="2668"/>
      <c r="AE63" s="2668"/>
      <c r="AF63" s="2668"/>
      <c r="AG63" s="2668"/>
      <c r="AH63" s="2668"/>
      <c r="AI63" s="2668"/>
      <c r="AJ63" s="2668"/>
      <c r="AK63" s="2668"/>
      <c r="AL63" s="2668"/>
      <c r="AM63" s="2668"/>
      <c r="AN63" s="2668"/>
      <c r="AO63" s="2668"/>
      <c r="AP63" s="2668"/>
      <c r="AQ63" s="2668"/>
      <c r="AR63" s="2668"/>
    </row>
    <row r="64" spans="1:44" s="792" customFormat="1">
      <c r="A64" s="2661"/>
      <c r="B64" s="2668"/>
      <c r="C64" s="2668"/>
      <c r="D64" s="2672"/>
      <c r="E64" s="2668"/>
      <c r="F64" s="2668"/>
      <c r="G64" s="2668"/>
      <c r="H64" s="2668"/>
      <c r="I64" s="2668"/>
      <c r="J64" s="2668"/>
      <c r="K64" s="2669"/>
      <c r="L64" s="2669"/>
      <c r="M64" s="2668"/>
      <c r="N64" s="2668"/>
      <c r="O64" s="2668"/>
      <c r="P64" s="2668"/>
      <c r="Q64" s="2668"/>
      <c r="R64" s="2668"/>
      <c r="S64" s="2668"/>
      <c r="T64" s="2668"/>
      <c r="U64" s="2668"/>
      <c r="V64" s="2668"/>
      <c r="W64" s="2668"/>
      <c r="X64" s="2668"/>
      <c r="Y64" s="2668"/>
      <c r="Z64" s="2668"/>
      <c r="AA64" s="2668"/>
      <c r="AB64" s="2668"/>
      <c r="AC64" s="2668"/>
      <c r="AD64" s="2668"/>
      <c r="AE64" s="2668"/>
      <c r="AF64" s="2668"/>
      <c r="AG64" s="2668"/>
      <c r="AH64" s="2668"/>
      <c r="AI64" s="2668"/>
      <c r="AJ64" s="2668"/>
      <c r="AK64" s="2668"/>
      <c r="AL64" s="2668"/>
      <c r="AM64" s="2668"/>
      <c r="AN64" s="2668"/>
      <c r="AO64" s="2668"/>
      <c r="AP64" s="2668"/>
      <c r="AQ64" s="2668"/>
      <c r="AR64" s="2668"/>
    </row>
    <row r="65" spans="1:44" s="792" customFormat="1">
      <c r="A65" s="2661"/>
      <c r="B65" s="2668"/>
      <c r="C65" s="2668"/>
      <c r="D65" s="2672"/>
      <c r="E65" s="2668"/>
      <c r="F65" s="2668"/>
      <c r="G65" s="2668"/>
      <c r="H65" s="2668"/>
      <c r="I65" s="2668"/>
      <c r="J65" s="2668"/>
      <c r="K65" s="2669"/>
      <c r="L65" s="2669"/>
      <c r="M65" s="2668"/>
      <c r="N65" s="2668"/>
      <c r="O65" s="2668"/>
      <c r="P65" s="2668"/>
      <c r="Q65" s="2668"/>
      <c r="R65" s="2668"/>
      <c r="S65" s="2668"/>
      <c r="T65" s="2668"/>
      <c r="U65" s="2668"/>
      <c r="V65" s="2668"/>
      <c r="W65" s="2668"/>
      <c r="X65" s="2668"/>
      <c r="Y65" s="2668"/>
      <c r="Z65" s="2668"/>
      <c r="AA65" s="2668"/>
      <c r="AB65" s="2668"/>
      <c r="AC65" s="2668"/>
      <c r="AD65" s="2668"/>
      <c r="AE65" s="2668"/>
      <c r="AF65" s="2668"/>
      <c r="AG65" s="2668"/>
      <c r="AH65" s="2668"/>
      <c r="AI65" s="2668"/>
      <c r="AJ65" s="2668"/>
      <c r="AK65" s="2668"/>
      <c r="AL65" s="2668"/>
      <c r="AM65" s="2668"/>
      <c r="AN65" s="2668"/>
      <c r="AO65" s="2668"/>
      <c r="AP65" s="2668"/>
      <c r="AQ65" s="2668"/>
      <c r="AR65" s="2668"/>
    </row>
    <row r="66" spans="1:44" s="792" customFormat="1">
      <c r="A66" s="2661"/>
      <c r="B66" s="2668"/>
      <c r="C66" s="2668"/>
      <c r="D66" s="2672"/>
      <c r="E66" s="2668"/>
      <c r="F66" s="2668"/>
      <c r="G66" s="2668"/>
      <c r="H66" s="2668"/>
      <c r="I66" s="2668"/>
      <c r="J66" s="2668"/>
      <c r="K66" s="2669"/>
      <c r="L66" s="2669"/>
      <c r="M66" s="2668"/>
      <c r="N66" s="2668"/>
      <c r="O66" s="2668"/>
      <c r="P66" s="2668"/>
      <c r="Q66" s="2668"/>
      <c r="R66" s="2668"/>
      <c r="S66" s="2668"/>
      <c r="T66" s="2668"/>
      <c r="U66" s="2668"/>
      <c r="V66" s="2668"/>
      <c r="W66" s="2668"/>
      <c r="X66" s="2668"/>
      <c r="Y66" s="2668"/>
      <c r="Z66" s="2668"/>
      <c r="AA66" s="2668"/>
      <c r="AB66" s="2668"/>
      <c r="AC66" s="2668"/>
      <c r="AD66" s="2668"/>
      <c r="AE66" s="2668"/>
      <c r="AF66" s="2668"/>
      <c r="AG66" s="2668"/>
      <c r="AH66" s="2668"/>
      <c r="AI66" s="2668"/>
      <c r="AJ66" s="2668"/>
      <c r="AK66" s="2668"/>
      <c r="AL66" s="2668"/>
      <c r="AM66" s="2668"/>
      <c r="AN66" s="2668"/>
      <c r="AO66" s="2668"/>
      <c r="AP66" s="2668"/>
      <c r="AQ66" s="2668"/>
      <c r="AR66" s="2668"/>
    </row>
    <row r="67" spans="1:44" s="792" customFormat="1">
      <c r="A67" s="2661"/>
      <c r="B67" s="2668"/>
      <c r="C67" s="2668"/>
      <c r="D67" s="2672"/>
      <c r="E67" s="2668"/>
      <c r="F67" s="2668"/>
      <c r="G67" s="2668"/>
      <c r="H67" s="2668"/>
      <c r="I67" s="2668"/>
      <c r="J67" s="2668"/>
      <c r="K67" s="2669"/>
      <c r="L67" s="2669"/>
      <c r="M67" s="2668"/>
      <c r="N67" s="2668"/>
      <c r="O67" s="2668"/>
      <c r="P67" s="2668"/>
      <c r="Q67" s="2668"/>
      <c r="R67" s="2668"/>
      <c r="S67" s="2668"/>
      <c r="T67" s="2668"/>
      <c r="U67" s="2668"/>
      <c r="V67" s="2668"/>
      <c r="W67" s="2668"/>
      <c r="X67" s="2668"/>
      <c r="Y67" s="2668"/>
      <c r="Z67" s="2668"/>
      <c r="AA67" s="2668"/>
      <c r="AB67" s="2668"/>
      <c r="AC67" s="2668"/>
      <c r="AD67" s="2668"/>
      <c r="AE67" s="2668"/>
      <c r="AF67" s="2668"/>
      <c r="AG67" s="2668"/>
      <c r="AH67" s="2668"/>
      <c r="AI67" s="2668"/>
      <c r="AJ67" s="2668"/>
      <c r="AK67" s="2668"/>
      <c r="AL67" s="2668"/>
      <c r="AM67" s="2668"/>
      <c r="AN67" s="2668"/>
      <c r="AO67" s="2668"/>
      <c r="AP67" s="2668"/>
      <c r="AQ67" s="2668"/>
      <c r="AR67" s="2668"/>
    </row>
    <row r="68" spans="1:44" s="792" customFormat="1">
      <c r="A68" s="2661"/>
      <c r="B68" s="2668"/>
      <c r="C68" s="2668"/>
      <c r="D68" s="2672"/>
      <c r="E68" s="2668"/>
      <c r="F68" s="2668"/>
      <c r="G68" s="2668"/>
      <c r="H68" s="2668"/>
      <c r="I68" s="2668"/>
      <c r="J68" s="2668"/>
      <c r="K68" s="2669"/>
      <c r="L68" s="2669"/>
      <c r="M68" s="2668"/>
      <c r="N68" s="2668"/>
      <c r="O68" s="2668"/>
      <c r="P68" s="2668"/>
      <c r="Q68" s="2668"/>
      <c r="R68" s="2668"/>
      <c r="S68" s="2668"/>
      <c r="T68" s="2668"/>
      <c r="U68" s="2668"/>
      <c r="V68" s="2668"/>
      <c r="W68" s="2668"/>
      <c r="X68" s="2668"/>
      <c r="Y68" s="2668"/>
      <c r="Z68" s="2668"/>
      <c r="AA68" s="2668"/>
      <c r="AB68" s="2668"/>
      <c r="AC68" s="2668"/>
      <c r="AD68" s="2668"/>
      <c r="AE68" s="2668"/>
      <c r="AF68" s="2668"/>
      <c r="AG68" s="2668"/>
      <c r="AH68" s="2668"/>
      <c r="AI68" s="2668"/>
      <c r="AJ68" s="2668"/>
      <c r="AK68" s="2668"/>
      <c r="AL68" s="2668"/>
      <c r="AM68" s="2668"/>
      <c r="AN68" s="2668"/>
      <c r="AO68" s="2668"/>
      <c r="AP68" s="2668"/>
      <c r="AQ68" s="2668"/>
      <c r="AR68" s="2668"/>
    </row>
    <row r="69" spans="1:44" s="792" customFormat="1">
      <c r="A69" s="1739"/>
      <c r="D69" s="1740"/>
      <c r="K69" s="727"/>
      <c r="L69" s="727"/>
    </row>
    <row r="70" spans="1:44" s="792" customFormat="1">
      <c r="A70" s="1739"/>
      <c r="D70" s="1740"/>
      <c r="K70" s="727"/>
      <c r="L70" s="727"/>
    </row>
    <row r="71" spans="1:44" s="792" customFormat="1">
      <c r="A71" s="1739"/>
      <c r="D71" s="1740"/>
      <c r="K71" s="727"/>
      <c r="L71" s="727"/>
    </row>
    <row r="72" spans="1:44" s="792" customFormat="1">
      <c r="A72" s="1739"/>
      <c r="D72" s="1740"/>
      <c r="K72" s="727"/>
      <c r="L72" s="727"/>
    </row>
    <row r="73" spans="1:44" s="792" customFormat="1">
      <c r="A73" s="1739"/>
      <c r="D73" s="1740"/>
      <c r="K73" s="727"/>
      <c r="L73" s="727"/>
    </row>
    <row r="74" spans="1:44" s="792" customFormat="1">
      <c r="A74" s="1739"/>
      <c r="D74" s="1740"/>
      <c r="K74" s="727"/>
      <c r="L74" s="727"/>
    </row>
    <row r="75" spans="1:44" s="792" customFormat="1">
      <c r="A75" s="1739"/>
      <c r="D75" s="1740"/>
      <c r="K75" s="727"/>
      <c r="L75" s="727"/>
    </row>
    <row r="76" spans="1:44" s="792" customFormat="1">
      <c r="A76" s="1739"/>
      <c r="D76" s="1740"/>
      <c r="K76" s="727"/>
      <c r="L76" s="727"/>
    </row>
    <row r="77" spans="1:44" s="792" customFormat="1">
      <c r="A77" s="1739"/>
      <c r="D77" s="1740"/>
      <c r="K77" s="727"/>
      <c r="L77" s="727"/>
    </row>
    <row r="78" spans="1:44" s="792" customFormat="1">
      <c r="A78" s="1739"/>
      <c r="D78" s="1740"/>
      <c r="K78" s="727"/>
      <c r="L78" s="727"/>
    </row>
    <row r="79" spans="1:44" s="792" customFormat="1">
      <c r="A79" s="1739"/>
      <c r="D79" s="1740"/>
      <c r="K79" s="727"/>
      <c r="L79" s="727"/>
    </row>
    <row r="80" spans="1:44" s="792" customFormat="1">
      <c r="A80" s="1739"/>
      <c r="D80" s="1740"/>
      <c r="K80" s="727"/>
      <c r="L80" s="727"/>
    </row>
    <row r="81" spans="1:12" s="792" customFormat="1">
      <c r="A81" s="1739"/>
      <c r="D81" s="1740"/>
      <c r="K81" s="727"/>
      <c r="L81" s="727"/>
    </row>
    <row r="82" spans="1:12" s="792" customFormat="1">
      <c r="A82" s="1739"/>
      <c r="D82" s="1740"/>
      <c r="K82" s="727"/>
      <c r="L82" s="727"/>
    </row>
    <row r="83" spans="1:12" s="792" customFormat="1">
      <c r="A83" s="1739"/>
      <c r="D83" s="1740"/>
      <c r="K83" s="727"/>
      <c r="L83" s="727"/>
    </row>
    <row r="84" spans="1:12" s="792" customFormat="1">
      <c r="A84" s="1739"/>
      <c r="D84" s="1740"/>
      <c r="K84" s="727"/>
      <c r="L84" s="727"/>
    </row>
    <row r="85" spans="1:12" s="792" customFormat="1">
      <c r="A85" s="1739"/>
      <c r="D85" s="1740"/>
      <c r="K85" s="727"/>
      <c r="L85" s="727"/>
    </row>
    <row r="86" spans="1:12" s="792" customFormat="1">
      <c r="A86" s="1739"/>
      <c r="D86" s="1740"/>
      <c r="K86" s="727"/>
      <c r="L86" s="727"/>
    </row>
    <row r="87" spans="1:12" s="792" customFormat="1">
      <c r="A87" s="1739"/>
      <c r="D87" s="1740"/>
      <c r="K87" s="727"/>
      <c r="L87" s="727"/>
    </row>
    <row r="88" spans="1:12" s="792" customFormat="1">
      <c r="A88" s="1739"/>
      <c r="D88" s="1740"/>
      <c r="K88" s="727"/>
      <c r="L88" s="727"/>
    </row>
    <row r="89" spans="1:12" s="792" customFormat="1">
      <c r="A89" s="1739"/>
      <c r="D89" s="1740"/>
      <c r="K89" s="727"/>
      <c r="L89" s="727"/>
    </row>
    <row r="90" spans="1:12" s="792" customFormat="1">
      <c r="A90" s="1739"/>
      <c r="D90" s="1740"/>
      <c r="K90" s="727"/>
      <c r="L90" s="727"/>
    </row>
    <row r="91" spans="1:12" s="792" customFormat="1">
      <c r="A91" s="1739"/>
      <c r="D91" s="1740"/>
      <c r="K91" s="727"/>
      <c r="L91" s="727"/>
    </row>
    <row r="92" spans="1:12" s="792" customFormat="1">
      <c r="A92" s="1739"/>
      <c r="D92" s="1740"/>
      <c r="K92" s="727"/>
      <c r="L92" s="727"/>
    </row>
    <row r="93" spans="1:12" s="792" customFormat="1">
      <c r="A93" s="1739"/>
      <c r="D93" s="1740"/>
      <c r="K93" s="727"/>
      <c r="L93" s="727"/>
    </row>
    <row r="94" spans="1:12" s="792" customFormat="1">
      <c r="A94" s="1739"/>
      <c r="D94" s="1740"/>
      <c r="K94" s="727"/>
      <c r="L94" s="727"/>
    </row>
    <row r="95" spans="1:12" s="792" customFormat="1">
      <c r="A95" s="1739"/>
      <c r="D95" s="1740"/>
      <c r="K95" s="727"/>
      <c r="L95" s="727"/>
    </row>
    <row r="96" spans="1:12" s="792" customFormat="1">
      <c r="A96" s="1739"/>
      <c r="D96" s="1740"/>
      <c r="K96" s="727"/>
      <c r="L96" s="727"/>
    </row>
    <row r="97" spans="1:12" s="792" customFormat="1">
      <c r="A97" s="1739"/>
      <c r="D97" s="1740"/>
      <c r="K97" s="727"/>
      <c r="L97" s="727"/>
    </row>
    <row r="98" spans="1:12" s="792" customFormat="1">
      <c r="A98" s="1739"/>
      <c r="D98" s="1740"/>
      <c r="K98" s="727"/>
      <c r="L98" s="727"/>
    </row>
    <row r="99" spans="1:12" s="792" customFormat="1">
      <c r="A99" s="1739"/>
      <c r="D99" s="1740"/>
      <c r="K99" s="727"/>
      <c r="L99" s="727"/>
    </row>
    <row r="100" spans="1:12" s="792" customFormat="1">
      <c r="A100" s="1739"/>
      <c r="D100" s="1740"/>
      <c r="K100" s="727"/>
      <c r="L100" s="727"/>
    </row>
    <row r="101" spans="1:12" s="792" customFormat="1">
      <c r="A101" s="1739"/>
      <c r="D101" s="1740"/>
      <c r="K101" s="727"/>
      <c r="L101" s="727"/>
    </row>
    <row r="102" spans="1:12" s="792" customFormat="1">
      <c r="A102" s="1739"/>
      <c r="D102" s="1740"/>
      <c r="K102" s="727"/>
      <c r="L102" s="727"/>
    </row>
    <row r="103" spans="1:12" s="792" customFormat="1">
      <c r="A103" s="1739"/>
      <c r="D103" s="1740"/>
      <c r="K103" s="727"/>
      <c r="L103" s="727"/>
    </row>
    <row r="104" spans="1:12" s="792" customFormat="1">
      <c r="A104" s="1739"/>
      <c r="D104" s="1740"/>
      <c r="K104" s="727"/>
      <c r="L104" s="727"/>
    </row>
    <row r="105" spans="1:12" s="792" customFormat="1">
      <c r="A105" s="1739"/>
      <c r="D105" s="1740"/>
      <c r="K105" s="727"/>
      <c r="L105" s="727"/>
    </row>
    <row r="106" spans="1:12" s="792" customFormat="1">
      <c r="A106" s="1739"/>
      <c r="D106" s="1740"/>
      <c r="K106" s="727"/>
      <c r="L106" s="727"/>
    </row>
    <row r="107" spans="1:12" s="792" customFormat="1">
      <c r="A107" s="1739"/>
      <c r="D107" s="1740"/>
      <c r="K107" s="727"/>
      <c r="L107" s="727"/>
    </row>
    <row r="108" spans="1:12" s="792" customFormat="1">
      <c r="A108" s="1739"/>
      <c r="D108" s="1740"/>
      <c r="K108" s="727"/>
      <c r="L108" s="727"/>
    </row>
    <row r="109" spans="1:12" s="792" customFormat="1">
      <c r="A109" s="1739"/>
      <c r="D109" s="1740"/>
      <c r="K109" s="727"/>
      <c r="L109" s="727"/>
    </row>
    <row r="110" spans="1:12" s="792" customFormat="1">
      <c r="A110" s="1739"/>
      <c r="D110" s="1740"/>
      <c r="K110" s="727"/>
      <c r="L110" s="727"/>
    </row>
    <row r="111" spans="1:12" s="792" customFormat="1">
      <c r="A111" s="1739"/>
      <c r="D111" s="1740"/>
      <c r="K111" s="727"/>
      <c r="L111" s="727"/>
    </row>
    <row r="112" spans="1:12" s="792" customFormat="1">
      <c r="A112" s="1739"/>
      <c r="D112" s="1740"/>
      <c r="K112" s="727"/>
      <c r="L112" s="727"/>
    </row>
    <row r="113" spans="1:12" s="792" customFormat="1">
      <c r="A113" s="1739"/>
      <c r="D113" s="1740"/>
      <c r="K113" s="727"/>
      <c r="L113" s="727"/>
    </row>
    <row r="114" spans="1:12" s="792" customFormat="1">
      <c r="A114" s="1739"/>
      <c r="D114" s="1740"/>
      <c r="K114" s="727"/>
      <c r="L114" s="727"/>
    </row>
    <row r="115" spans="1:12" s="792" customFormat="1">
      <c r="A115" s="1739"/>
      <c r="D115" s="1740"/>
      <c r="K115" s="727"/>
      <c r="L115" s="727"/>
    </row>
    <row r="116" spans="1:12" s="792" customFormat="1">
      <c r="A116" s="1739"/>
      <c r="D116" s="1740"/>
      <c r="K116" s="727"/>
      <c r="L116" s="727"/>
    </row>
    <row r="117" spans="1:12" s="792" customFormat="1">
      <c r="A117" s="1739"/>
      <c r="D117" s="1740"/>
      <c r="K117" s="727"/>
      <c r="L117" s="727"/>
    </row>
    <row r="118" spans="1:12" s="792" customFormat="1">
      <c r="A118" s="1739"/>
      <c r="D118" s="1740"/>
      <c r="K118" s="727"/>
      <c r="L118" s="727"/>
    </row>
    <row r="119" spans="1:12" s="792" customFormat="1">
      <c r="A119" s="1739"/>
      <c r="D119" s="1740"/>
      <c r="K119" s="727"/>
      <c r="L119" s="727"/>
    </row>
    <row r="120" spans="1:12" s="792" customFormat="1">
      <c r="A120" s="1739"/>
      <c r="D120" s="1740"/>
      <c r="K120" s="727"/>
      <c r="L120" s="727"/>
    </row>
    <row r="121" spans="1:12" s="792" customFormat="1">
      <c r="A121" s="1739"/>
      <c r="D121" s="1740"/>
      <c r="K121" s="727"/>
      <c r="L121" s="727"/>
    </row>
    <row r="122" spans="1:12" s="792" customFormat="1">
      <c r="A122" s="1739"/>
      <c r="D122" s="1740"/>
      <c r="K122" s="727"/>
      <c r="L122" s="727"/>
    </row>
    <row r="123" spans="1:12" s="792" customFormat="1">
      <c r="A123" s="1739"/>
      <c r="D123" s="1740"/>
      <c r="K123" s="727"/>
      <c r="L123" s="727"/>
    </row>
    <row r="124" spans="1:12" s="792" customFormat="1">
      <c r="A124" s="1739"/>
      <c r="D124" s="1740"/>
      <c r="K124" s="727"/>
      <c r="L124" s="727"/>
    </row>
    <row r="125" spans="1:12" s="792" customFormat="1">
      <c r="A125" s="1739"/>
      <c r="D125" s="1740"/>
      <c r="K125" s="727"/>
      <c r="L125" s="727"/>
    </row>
    <row r="126" spans="1:12" s="792" customFormat="1">
      <c r="A126" s="1739"/>
      <c r="D126" s="1740"/>
      <c r="K126" s="727"/>
      <c r="L126" s="727"/>
    </row>
    <row r="127" spans="1:12" s="792" customFormat="1">
      <c r="A127" s="1739"/>
      <c r="D127" s="1740"/>
      <c r="K127" s="727"/>
      <c r="L127" s="727"/>
    </row>
    <row r="128" spans="1:12" s="792" customFormat="1">
      <c r="A128" s="1739"/>
      <c r="D128" s="1740"/>
      <c r="K128" s="727"/>
      <c r="L128" s="727"/>
    </row>
    <row r="129" spans="1:12" s="792" customFormat="1">
      <c r="A129" s="1739"/>
      <c r="D129" s="1740"/>
      <c r="K129" s="727"/>
      <c r="L129" s="727"/>
    </row>
    <row r="130" spans="1:12" s="792" customFormat="1">
      <c r="A130" s="1739"/>
      <c r="D130" s="1740"/>
      <c r="K130" s="727"/>
      <c r="L130" s="727"/>
    </row>
    <row r="131" spans="1:12" s="792" customFormat="1">
      <c r="A131" s="1739"/>
      <c r="D131" s="1740"/>
      <c r="K131" s="727"/>
      <c r="L131" s="727"/>
    </row>
    <row r="132" spans="1:12" s="792" customFormat="1">
      <c r="A132" s="1739"/>
      <c r="D132" s="1740"/>
      <c r="K132" s="727"/>
      <c r="L132" s="727"/>
    </row>
    <row r="133" spans="1:12" s="792" customFormat="1">
      <c r="A133" s="1739"/>
      <c r="D133" s="1740"/>
      <c r="K133" s="727"/>
      <c r="L133" s="727"/>
    </row>
    <row r="134" spans="1:12" s="1679" customFormat="1">
      <c r="A134" s="1741"/>
      <c r="D134" s="1742"/>
      <c r="K134" s="24"/>
      <c r="L134" s="24"/>
    </row>
    <row r="135" spans="1:12" s="1679" customFormat="1">
      <c r="A135" s="1741"/>
      <c r="D135" s="1742"/>
      <c r="K135" s="24"/>
      <c r="L135" s="24"/>
    </row>
    <row r="136" spans="1:12" s="1679" customFormat="1">
      <c r="A136" s="1741"/>
      <c r="D136" s="1742"/>
      <c r="K136" s="24"/>
      <c r="L136" s="24"/>
    </row>
    <row r="137" spans="1:12" s="1679" customFormat="1">
      <c r="A137" s="1741"/>
      <c r="D137" s="1742"/>
      <c r="K137" s="24"/>
      <c r="L137" s="24"/>
    </row>
    <row r="138" spans="1:12" s="1679" customFormat="1">
      <c r="A138" s="1741"/>
      <c r="D138" s="1742"/>
      <c r="K138" s="24"/>
      <c r="L138" s="24"/>
    </row>
    <row r="139" spans="1:12" s="1679" customFormat="1">
      <c r="A139" s="1741"/>
      <c r="D139" s="1742"/>
      <c r="K139" s="24"/>
      <c r="L139" s="24"/>
    </row>
    <row r="140" spans="1:12" s="1679" customFormat="1">
      <c r="A140" s="1741"/>
      <c r="D140" s="1742"/>
      <c r="K140" s="24"/>
      <c r="L140" s="24"/>
    </row>
    <row r="141" spans="1:12" s="1679" customFormat="1">
      <c r="A141" s="1741"/>
      <c r="D141" s="1742"/>
      <c r="K141" s="24"/>
      <c r="L141" s="24"/>
    </row>
    <row r="142" spans="1:12" s="1679" customFormat="1">
      <c r="A142" s="1741"/>
      <c r="D142" s="1742"/>
      <c r="K142" s="24"/>
      <c r="L142" s="24"/>
    </row>
    <row r="143" spans="1:12" s="1679" customFormat="1">
      <c r="A143" s="1741"/>
      <c r="D143" s="1742"/>
      <c r="K143" s="24"/>
      <c r="L143" s="24"/>
    </row>
    <row r="144" spans="1:12" s="1679" customFormat="1">
      <c r="A144" s="1741"/>
      <c r="D144" s="1742"/>
      <c r="K144" s="24"/>
      <c r="L144" s="24"/>
    </row>
    <row r="145" spans="1:12" s="1679" customFormat="1">
      <c r="A145" s="1741"/>
      <c r="D145" s="1742"/>
      <c r="K145" s="24"/>
      <c r="L145" s="24"/>
    </row>
    <row r="146" spans="1:12" s="1679" customFormat="1">
      <c r="A146" s="1741"/>
      <c r="D146" s="1742"/>
      <c r="K146" s="24"/>
      <c r="L146" s="24"/>
    </row>
    <row r="147" spans="1:12" s="1679" customFormat="1">
      <c r="A147" s="1741"/>
      <c r="D147" s="1742"/>
      <c r="K147" s="24"/>
      <c r="L147" s="24"/>
    </row>
    <row r="148" spans="1:12" s="1679" customFormat="1">
      <c r="A148" s="1741"/>
      <c r="D148" s="1742"/>
      <c r="K148" s="24"/>
      <c r="L148" s="24"/>
    </row>
    <row r="149" spans="1:12" s="1679" customFormat="1">
      <c r="A149" s="1741"/>
      <c r="D149" s="1742"/>
      <c r="K149" s="24"/>
      <c r="L149" s="24"/>
    </row>
    <row r="150" spans="1:12" s="1679" customFormat="1">
      <c r="A150" s="1741"/>
      <c r="D150" s="1742"/>
      <c r="K150" s="24"/>
      <c r="L150" s="24"/>
    </row>
    <row r="151" spans="1:12" s="1679" customFormat="1">
      <c r="A151" s="1741"/>
      <c r="D151" s="1742"/>
      <c r="K151" s="24"/>
      <c r="L151" s="24"/>
    </row>
    <row r="152" spans="1:12" s="1679" customFormat="1">
      <c r="A152" s="1741"/>
      <c r="D152" s="1742"/>
      <c r="K152" s="24"/>
      <c r="L152" s="24"/>
    </row>
    <row r="153" spans="1:12" s="1679" customFormat="1">
      <c r="A153" s="1741"/>
      <c r="D153" s="1742"/>
      <c r="K153" s="24"/>
      <c r="L153" s="24"/>
    </row>
    <row r="154" spans="1:12" s="1679" customFormat="1">
      <c r="A154" s="1741"/>
      <c r="D154" s="1742"/>
      <c r="K154" s="24"/>
      <c r="L154" s="24"/>
    </row>
    <row r="155" spans="1:12" s="1679" customFormat="1">
      <c r="A155" s="1741"/>
      <c r="D155" s="1742"/>
      <c r="K155" s="24"/>
      <c r="L155" s="24"/>
    </row>
    <row r="156" spans="1:12" s="1679" customFormat="1">
      <c r="A156" s="1741"/>
      <c r="D156" s="1742"/>
      <c r="K156" s="24"/>
      <c r="L156" s="24"/>
    </row>
    <row r="157" spans="1:12" s="1679" customFormat="1">
      <c r="A157" s="1741"/>
      <c r="D157" s="1742"/>
      <c r="K157" s="24"/>
      <c r="L157" s="24"/>
    </row>
    <row r="158" spans="1:12" s="1679" customFormat="1">
      <c r="A158" s="1741"/>
      <c r="D158" s="1742"/>
      <c r="K158" s="24"/>
      <c r="L158" s="24"/>
    </row>
    <row r="159" spans="1:12" s="1679" customFormat="1">
      <c r="A159" s="1741"/>
      <c r="D159" s="1742"/>
      <c r="K159" s="24"/>
      <c r="L159" s="24"/>
    </row>
    <row r="160" spans="1:12" s="1679" customFormat="1">
      <c r="A160" s="1741"/>
      <c r="D160" s="1742"/>
      <c r="K160" s="24"/>
      <c r="L160" s="24"/>
    </row>
    <row r="161" spans="1:12" s="1679" customFormat="1">
      <c r="A161" s="1741"/>
      <c r="D161" s="1742"/>
      <c r="K161" s="24"/>
      <c r="L161" s="24"/>
    </row>
    <row r="162" spans="1:12" s="1679" customFormat="1">
      <c r="A162" s="1741"/>
      <c r="D162" s="1742"/>
      <c r="K162" s="24"/>
      <c r="L162" s="24"/>
    </row>
    <row r="163" spans="1:12" s="1679" customFormat="1">
      <c r="A163" s="1741"/>
      <c r="D163" s="1742"/>
      <c r="K163" s="24"/>
      <c r="L163" s="24"/>
    </row>
    <row r="164" spans="1:12" s="1679" customFormat="1">
      <c r="A164" s="1741"/>
      <c r="D164" s="1742"/>
      <c r="K164" s="24"/>
      <c r="L164" s="24"/>
    </row>
    <row r="165" spans="1:12" s="1679" customFormat="1">
      <c r="A165" s="1741"/>
      <c r="D165" s="1742"/>
      <c r="K165" s="24"/>
      <c r="L165" s="24"/>
    </row>
    <row r="166" spans="1:12" s="1679" customFormat="1">
      <c r="A166" s="1741"/>
      <c r="D166" s="1742"/>
      <c r="K166" s="24"/>
      <c r="L166" s="24"/>
    </row>
    <row r="167" spans="1:12" s="1679" customFormat="1">
      <c r="A167" s="1741"/>
      <c r="D167" s="1742"/>
      <c r="K167" s="24"/>
      <c r="L167" s="24"/>
    </row>
    <row r="168" spans="1:12" s="1679" customFormat="1">
      <c r="A168" s="1741"/>
      <c r="D168" s="1742"/>
      <c r="K168" s="24"/>
      <c r="L168" s="24"/>
    </row>
    <row r="169" spans="1:12" s="1679" customFormat="1">
      <c r="A169" s="1741"/>
      <c r="D169" s="1742"/>
      <c r="K169" s="24"/>
      <c r="L169" s="24"/>
    </row>
    <row r="170" spans="1:12" s="1679" customFormat="1">
      <c r="A170" s="1741"/>
      <c r="D170" s="1742"/>
      <c r="K170" s="24"/>
      <c r="L170" s="24"/>
    </row>
    <row r="171" spans="1:12" s="1679" customFormat="1">
      <c r="A171" s="1741"/>
      <c r="D171" s="1742"/>
      <c r="K171" s="24"/>
      <c r="L171" s="24"/>
    </row>
    <row r="172" spans="1:12" s="1679" customFormat="1">
      <c r="A172" s="1741"/>
      <c r="D172" s="1742"/>
      <c r="K172" s="24"/>
      <c r="L172" s="24"/>
    </row>
    <row r="173" spans="1:12" s="1679" customFormat="1">
      <c r="A173" s="1741"/>
      <c r="D173" s="1742"/>
      <c r="K173" s="24"/>
      <c r="L173" s="24"/>
    </row>
    <row r="174" spans="1:12" s="1679" customFormat="1">
      <c r="A174" s="1741"/>
      <c r="D174" s="1742"/>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K10" sqref="K10"/>
    </sheetView>
  </sheetViews>
  <sheetFormatPr defaultColWidth="9" defaultRowHeight="14.25"/>
  <cols>
    <col min="1" max="1" width="9.5" style="1684" customWidth="1"/>
    <col min="2" max="2" width="24.5" style="1570" customWidth="1"/>
    <col min="3" max="3" width="24.5" style="2507" customWidth="1"/>
    <col min="4" max="4" width="2.625" style="2507" customWidth="1"/>
    <col min="5" max="5" width="5.875" style="2507" customWidth="1"/>
    <col min="6" max="6" width="27" style="1570" customWidth="1"/>
    <col min="7" max="7" width="27" style="2508" customWidth="1"/>
    <col min="8" max="8" width="11.875" style="2488" customWidth="1"/>
    <col min="9" max="9" width="16.75" style="2489" customWidth="1"/>
    <col min="10" max="10" width="2.625" style="2488" customWidth="1"/>
    <col min="11" max="11" width="11.875" style="2488" customWidth="1"/>
    <col min="12" max="12" width="16.75" style="2489" customWidth="1"/>
    <col min="13" max="13" width="2.625" style="2488" customWidth="1"/>
    <col min="14" max="14" width="11.875" style="2488" customWidth="1"/>
    <col min="15" max="15" width="16.75" style="2489" customWidth="1"/>
    <col min="16" max="16" width="2.625" style="2488" customWidth="1"/>
    <col min="17" max="17" width="11.875" style="2488" customWidth="1"/>
    <col min="18" max="18" width="16.75" style="2490" customWidth="1"/>
    <col min="19" max="29" width="9" style="798"/>
    <col min="30" max="16384" width="9" style="1684"/>
  </cols>
  <sheetData>
    <row r="1" spans="1:29" s="2454" customFormat="1" ht="18.75" thickBot="1">
      <c r="A1" s="3614" t="s">
        <v>2284</v>
      </c>
      <c r="B1" s="3615"/>
      <c r="C1" s="3615"/>
      <c r="D1" s="3615"/>
      <c r="E1" s="3615"/>
      <c r="F1" s="3615"/>
      <c r="G1" s="3615"/>
      <c r="H1" s="2449"/>
      <c r="I1" s="2450"/>
      <c r="J1" s="2449"/>
      <c r="K1" s="2449"/>
      <c r="L1" s="2450"/>
      <c r="M1" s="2449"/>
      <c r="N1" s="2449"/>
      <c r="O1" s="2450"/>
      <c r="P1" s="2449"/>
      <c r="Q1" s="2451"/>
      <c r="R1" s="2452"/>
      <c r="S1" s="2453"/>
      <c r="T1" s="2453"/>
      <c r="U1" s="2453"/>
      <c r="V1" s="2453"/>
      <c r="W1" s="2453"/>
      <c r="X1" s="2453"/>
      <c r="Y1" s="2453"/>
      <c r="Z1" s="2453"/>
      <c r="AA1" s="2453"/>
      <c r="AB1" s="2453"/>
      <c r="AC1" s="2453"/>
    </row>
    <row r="2" spans="1:29" ht="15" thickBot="1">
      <c r="A2" s="2455"/>
      <c r="B2" s="2456"/>
      <c r="C2" s="2457" t="s">
        <v>2279</v>
      </c>
      <c r="D2" s="2458"/>
      <c r="E2" s="2455"/>
      <c r="F2" s="2459"/>
      <c r="G2" s="2457" t="s">
        <v>2280</v>
      </c>
      <c r="H2" s="798"/>
      <c r="I2" s="798"/>
      <c r="J2" s="798"/>
      <c r="K2" s="798"/>
      <c r="L2" s="798"/>
      <c r="M2" s="798"/>
      <c r="N2" s="798"/>
      <c r="O2" s="798"/>
      <c r="P2" s="798"/>
      <c r="Q2" s="798"/>
      <c r="R2" s="798"/>
    </row>
    <row r="3" spans="1:29" ht="48">
      <c r="A3" s="2438" t="s">
        <v>2281</v>
      </c>
      <c r="B3" s="2460" t="s">
        <v>2250</v>
      </c>
      <c r="C3" s="2461" t="s">
        <v>2282</v>
      </c>
      <c r="D3" s="2462"/>
      <c r="E3" s="2439" t="s">
        <v>2281</v>
      </c>
      <c r="F3" s="2463" t="s">
        <v>2251</v>
      </c>
      <c r="G3" s="2464" t="s">
        <v>2283</v>
      </c>
      <c r="H3" s="798"/>
      <c r="I3" s="798"/>
      <c r="J3" s="798"/>
      <c r="K3" s="798"/>
      <c r="L3" s="798"/>
      <c r="M3" s="798"/>
      <c r="N3" s="798"/>
      <c r="O3" s="798"/>
      <c r="P3" s="798"/>
      <c r="Q3" s="798"/>
      <c r="R3" s="798"/>
    </row>
    <row r="4" spans="1:29" ht="36.75">
      <c r="A4" s="2439"/>
      <c r="B4" s="323" t="s">
        <v>2252</v>
      </c>
      <c r="C4" s="2465" t="s">
        <v>2253</v>
      </c>
      <c r="D4" s="2462"/>
      <c r="E4" s="2466"/>
      <c r="F4" s="1371" t="s">
        <v>2254</v>
      </c>
      <c r="G4" s="2467" t="s">
        <v>2255</v>
      </c>
      <c r="H4" s="798"/>
      <c r="I4" s="798"/>
      <c r="J4" s="798"/>
      <c r="K4" s="798"/>
      <c r="L4" s="798"/>
      <c r="M4" s="798"/>
      <c r="N4" s="798"/>
      <c r="O4" s="798"/>
      <c r="P4" s="798"/>
      <c r="Q4" s="798"/>
      <c r="R4" s="798"/>
    </row>
    <row r="5" spans="1:29" ht="36.75">
      <c r="A5" s="2439"/>
      <c r="B5" s="323" t="s">
        <v>2256</v>
      </c>
      <c r="C5" s="2465" t="s">
        <v>2257</v>
      </c>
      <c r="D5" s="2462"/>
      <c r="E5" s="2466"/>
      <c r="F5" s="323" t="s">
        <v>2258</v>
      </c>
      <c r="G5" s="2467" t="s">
        <v>2259</v>
      </c>
      <c r="H5" s="798"/>
      <c r="I5" s="798"/>
      <c r="J5" s="798"/>
      <c r="K5" s="798"/>
      <c r="L5" s="798"/>
      <c r="M5" s="798"/>
      <c r="N5" s="798"/>
      <c r="O5" s="798"/>
      <c r="P5" s="798"/>
      <c r="Q5" s="798"/>
      <c r="R5" s="798"/>
    </row>
    <row r="6" spans="1:29" ht="36">
      <c r="A6" s="2439"/>
      <c r="B6" s="323" t="s">
        <v>2260</v>
      </c>
      <c r="C6" s="2467" t="s">
        <v>2255</v>
      </c>
      <c r="D6" s="2462"/>
      <c r="E6" s="2466"/>
      <c r="F6" s="323" t="s">
        <v>2261</v>
      </c>
      <c r="G6" s="2467" t="s">
        <v>2262</v>
      </c>
      <c r="H6" s="798"/>
      <c r="I6" s="798"/>
      <c r="J6" s="798"/>
      <c r="K6" s="798"/>
      <c r="L6" s="798"/>
      <c r="M6" s="798"/>
      <c r="N6" s="798"/>
      <c r="O6" s="798"/>
      <c r="P6" s="798"/>
      <c r="Q6" s="798"/>
      <c r="R6" s="798"/>
    </row>
    <row r="7" spans="1:29" ht="24.75" thickBot="1">
      <c r="A7" s="2439"/>
      <c r="B7" s="323" t="s">
        <v>2258</v>
      </c>
      <c r="C7" s="2467" t="s">
        <v>2259</v>
      </c>
      <c r="D7" s="2468"/>
      <c r="E7" s="2469"/>
      <c r="F7" s="2470" t="s">
        <v>2263</v>
      </c>
      <c r="G7" s="2471" t="s">
        <v>2264</v>
      </c>
      <c r="H7" s="798"/>
      <c r="I7" s="798"/>
      <c r="J7" s="798"/>
      <c r="K7" s="798"/>
      <c r="L7" s="798"/>
      <c r="M7" s="798"/>
      <c r="N7" s="798"/>
      <c r="O7" s="798"/>
      <c r="P7" s="798"/>
      <c r="Q7" s="798"/>
      <c r="R7" s="798"/>
    </row>
    <row r="8" spans="1:29">
      <c r="A8" s="2439"/>
      <c r="B8" s="323" t="s">
        <v>2261</v>
      </c>
      <c r="C8" s="2467" t="s">
        <v>2262</v>
      </c>
      <c r="D8" s="2468"/>
      <c r="E8" s="2468"/>
      <c r="F8" s="2472"/>
      <c r="G8" s="2472"/>
      <c r="H8" s="798"/>
      <c r="I8" s="798"/>
      <c r="J8" s="798"/>
      <c r="K8" s="798"/>
      <c r="L8" s="798"/>
      <c r="M8" s="798"/>
      <c r="N8" s="798"/>
      <c r="O8" s="798"/>
      <c r="P8" s="798"/>
      <c r="Q8" s="798"/>
      <c r="R8" s="798"/>
    </row>
    <row r="9" spans="1:29" ht="24">
      <c r="A9" s="2439"/>
      <c r="B9" s="323" t="s">
        <v>2265</v>
      </c>
      <c r="C9" s="2465" t="s">
        <v>2266</v>
      </c>
      <c r="D9" s="2462"/>
      <c r="E9" s="2468"/>
      <c r="F9" s="2472"/>
      <c r="G9" s="2472"/>
      <c r="H9" s="798"/>
      <c r="I9" s="798"/>
      <c r="J9" s="798"/>
      <c r="K9" s="798"/>
      <c r="L9" s="798"/>
      <c r="M9" s="798"/>
      <c r="N9" s="798"/>
      <c r="O9" s="798"/>
      <c r="P9" s="798"/>
      <c r="Q9" s="798"/>
      <c r="R9" s="798"/>
    </row>
    <row r="10" spans="1:29" s="2478" customFormat="1" ht="15" thickBot="1">
      <c r="A10" s="2440"/>
      <c r="B10" s="2473" t="s">
        <v>2267</v>
      </c>
      <c r="C10" s="2474"/>
      <c r="D10" s="2462"/>
      <c r="E10" s="2462"/>
      <c r="F10" s="2472"/>
      <c r="G10" s="2472"/>
      <c r="H10" s="2475"/>
      <c r="I10" s="2476"/>
      <c r="J10" s="2477"/>
      <c r="K10" s="2475"/>
      <c r="L10" s="2476"/>
      <c r="M10" s="2477"/>
      <c r="N10" s="2475"/>
      <c r="O10" s="2476"/>
      <c r="P10" s="2477"/>
      <c r="Q10" s="2475"/>
      <c r="R10" s="2476"/>
      <c r="S10" s="798"/>
      <c r="T10" s="798"/>
      <c r="U10" s="798"/>
      <c r="V10" s="798"/>
      <c r="W10" s="798"/>
      <c r="X10" s="798"/>
      <c r="Y10" s="798"/>
      <c r="Z10" s="798"/>
      <c r="AA10" s="798"/>
      <c r="AB10" s="798"/>
      <c r="AC10" s="798"/>
    </row>
    <row r="11" spans="1:29" s="2478" customFormat="1">
      <c r="A11" s="2479"/>
      <c r="B11" s="2468"/>
      <c r="C11" s="2462"/>
      <c r="D11" s="2462"/>
      <c r="E11" s="2462"/>
      <c r="F11" s="2468"/>
      <c r="G11" s="2480"/>
      <c r="H11" s="2475"/>
      <c r="I11" s="2476"/>
      <c r="J11" s="2477"/>
      <c r="K11" s="2475"/>
      <c r="L11" s="2476"/>
      <c r="M11" s="2477"/>
      <c r="N11" s="2475"/>
      <c r="O11" s="2476"/>
      <c r="P11" s="2477"/>
      <c r="Q11" s="2475"/>
      <c r="R11" s="2476"/>
      <c r="S11" s="798"/>
      <c r="T11" s="798"/>
      <c r="U11" s="798"/>
      <c r="V11" s="798"/>
      <c r="W11" s="798"/>
      <c r="X11" s="798"/>
      <c r="Y11" s="798"/>
      <c r="Z11" s="798"/>
      <c r="AA11" s="798"/>
      <c r="AB11" s="798"/>
      <c r="AC11" s="798"/>
    </row>
    <row r="12" spans="1:29" s="2454" customFormat="1" ht="18">
      <c r="A12" s="2479"/>
      <c r="B12" s="2468"/>
      <c r="C12" s="2462"/>
      <c r="D12" s="2481"/>
      <c r="E12" s="2462"/>
      <c r="F12" s="2468"/>
      <c r="G12" s="2480"/>
      <c r="H12" s="2482"/>
      <c r="I12" s="2483"/>
      <c r="J12" s="2482"/>
      <c r="K12" s="2482"/>
      <c r="L12" s="2484"/>
      <c r="M12" s="2482"/>
      <c r="N12" s="2485"/>
      <c r="O12" s="2486"/>
      <c r="P12" s="2485"/>
      <c r="Q12" s="2485"/>
      <c r="R12" s="2452"/>
      <c r="S12" s="2453"/>
      <c r="T12" s="2453"/>
      <c r="U12" s="2453"/>
      <c r="V12" s="2453"/>
      <c r="W12" s="2453"/>
      <c r="X12" s="2453"/>
      <c r="Y12" s="2453"/>
      <c r="Z12" s="2453"/>
      <c r="AA12" s="2453"/>
      <c r="AB12" s="2453"/>
      <c r="AC12" s="2453"/>
    </row>
    <row r="13" spans="1:29" ht="15.75" thickBot="1">
      <c r="A13" s="2487" t="s">
        <v>2285</v>
      </c>
      <c r="B13" s="2481"/>
      <c r="C13" s="2481"/>
      <c r="D13" s="2479"/>
      <c r="E13" s="2481"/>
      <c r="F13" s="2481"/>
      <c r="G13" s="2481"/>
    </row>
    <row r="14" spans="1:29" ht="15" thickBot="1">
      <c r="A14" s="2491"/>
      <c r="B14" s="2491"/>
      <c r="C14" s="2492" t="s">
        <v>2268</v>
      </c>
      <c r="D14" s="2462"/>
      <c r="E14" s="2493"/>
      <c r="F14" s="2493"/>
      <c r="G14" s="2457" t="s">
        <v>2269</v>
      </c>
    </row>
    <row r="15" spans="1:29" ht="51">
      <c r="A15" s="2441" t="s">
        <v>2270</v>
      </c>
      <c r="B15" s="2494" t="s">
        <v>2250</v>
      </c>
      <c r="C15" s="2495" t="str">
        <f>C3</f>
        <v>估价对象周边居住用地比例、居住小区规模和社区发展完善程度，综合评价居住社区成熟度一般</v>
      </c>
      <c r="D15" s="2462"/>
      <c r="E15" s="2442" t="s">
        <v>2271</v>
      </c>
      <c r="F15" s="2494" t="s">
        <v>2272</v>
      </c>
      <c r="G15" s="2496" t="str">
        <f>G3</f>
        <v>估价对象位于XX开发区，园区建设成熟度XX，产业集聚程度XX</v>
      </c>
    </row>
    <row r="16" spans="1:29" ht="38.25">
      <c r="A16" s="2443"/>
      <c r="B16" s="2497" t="s">
        <v>2252</v>
      </c>
      <c r="C16" s="2498" t="str">
        <f>C4</f>
        <v>估价对象位于XX商圈，周边商业氛围成熟，人流量大，商业繁华度好</v>
      </c>
      <c r="D16" s="2462"/>
      <c r="E16" s="2444"/>
      <c r="F16" s="2499" t="s">
        <v>2254</v>
      </c>
      <c r="G16" s="2500" t="str">
        <f>G4</f>
        <v>估价对象周边道路状况、公共交通通达情况、停车便捷程度，综合评价交通便捷度较好</v>
      </c>
    </row>
    <row r="17" spans="1:18" ht="38.25">
      <c r="A17" s="2443"/>
      <c r="B17" s="2497" t="s">
        <v>2256</v>
      </c>
      <c r="C17" s="2498" t="str">
        <f>C5</f>
        <v>估价对象位于XX商圈，周边办公楼项目较多，入驻率高，办公集聚程度较好</v>
      </c>
      <c r="D17" s="2468"/>
      <c r="E17" s="2444"/>
      <c r="F17" s="2499" t="s">
        <v>2273</v>
      </c>
      <c r="G17" s="2501"/>
    </row>
    <row r="18" spans="1:18" ht="38.25">
      <c r="A18" s="2443"/>
      <c r="B18" s="2499" t="s">
        <v>2260</v>
      </c>
      <c r="C18" s="2500" t="str">
        <f>C6</f>
        <v>估价对象周边道路状况、公共交通通达情况、停车便捷程度，综合评价交通便捷度较好</v>
      </c>
      <c r="D18" s="2468"/>
      <c r="E18" s="2444"/>
      <c r="F18" s="2499" t="s">
        <v>2263</v>
      </c>
      <c r="G18" s="2500" t="str">
        <f>G7</f>
        <v>该园区内是否有污染型企业，绿化情况，卫生条件，整体环境状况判断</v>
      </c>
    </row>
    <row r="19" spans="1:18" ht="25.5">
      <c r="A19" s="2443"/>
      <c r="B19" s="2499" t="s">
        <v>2274</v>
      </c>
      <c r="C19" s="2501"/>
      <c r="D19" s="2462"/>
      <c r="E19" s="2444"/>
      <c r="F19" s="323" t="s">
        <v>2258</v>
      </c>
      <c r="G19" s="2500" t="str">
        <f>G5</f>
        <v>估价对象所在区域公共配套设施齐备情况</v>
      </c>
    </row>
    <row r="20" spans="1:18" ht="25.5">
      <c r="A20" s="2443"/>
      <c r="B20" s="2499" t="s">
        <v>2275</v>
      </c>
      <c r="C20" s="2498" t="str">
        <f>C9</f>
        <v>区域自然环境：；人文环境；综合评价环境状况一般</v>
      </c>
      <c r="D20" s="2468"/>
      <c r="E20" s="2444"/>
      <c r="F20" s="323" t="s">
        <v>2261</v>
      </c>
      <c r="G20" s="2500" t="str">
        <f>G6</f>
        <v>估价对象所在区域基础设施水平</v>
      </c>
    </row>
    <row r="21" spans="1:18" ht="25.5">
      <c r="A21" s="2443"/>
      <c r="B21" s="323" t="s">
        <v>2258</v>
      </c>
      <c r="C21" s="2500" t="str">
        <f>C7</f>
        <v>估价对象所在区域公共配套设施齐备情况</v>
      </c>
      <c r="D21" s="2462"/>
      <c r="E21" s="2444"/>
      <c r="F21" s="2499" t="s">
        <v>2276</v>
      </c>
      <c r="G21" s="2502"/>
    </row>
    <row r="22" spans="1:18" ht="13.5" customHeight="1">
      <c r="A22" s="2443"/>
      <c r="B22" s="323" t="s">
        <v>2261</v>
      </c>
      <c r="C22" s="2500" t="str">
        <f>C8</f>
        <v>估价对象所在区域基础设施水平</v>
      </c>
      <c r="D22" s="2462"/>
      <c r="E22" s="2444"/>
      <c r="F22" s="2499" t="s">
        <v>2267</v>
      </c>
      <c r="G22" s="2501"/>
    </row>
    <row r="23" spans="1:18" s="798" customFormat="1" ht="15" thickBot="1">
      <c r="A23" s="2443"/>
      <c r="B23" s="2499" t="s">
        <v>2276</v>
      </c>
      <c r="C23" s="2502"/>
      <c r="D23" s="1739"/>
      <c r="E23" s="2445"/>
      <c r="F23" s="2503" t="s">
        <v>2277</v>
      </c>
      <c r="G23" s="2504"/>
      <c r="H23" s="2488"/>
      <c r="I23" s="2489"/>
      <c r="J23" s="2488"/>
      <c r="K23" s="2488"/>
      <c r="L23" s="2489"/>
      <c r="M23" s="2488"/>
      <c r="N23" s="2488"/>
      <c r="O23" s="2489"/>
      <c r="P23" s="2488"/>
      <c r="Q23" s="2488"/>
      <c r="R23" s="2490"/>
    </row>
    <row r="24" spans="1:18" s="798" customFormat="1" ht="15" thickBot="1">
      <c r="A24" s="2446"/>
      <c r="B24" s="2503" t="s">
        <v>2278</v>
      </c>
      <c r="C24" s="2505">
        <f>C10</f>
        <v>0</v>
      </c>
      <c r="D24" s="1739"/>
      <c r="E24" s="2436"/>
      <c r="F24" s="2436"/>
      <c r="G24" s="2506"/>
      <c r="H24" s="2488"/>
      <c r="I24" s="2489"/>
      <c r="J24" s="2488"/>
      <c r="K24" s="2488"/>
      <c r="L24" s="2489"/>
      <c r="M24" s="2488"/>
      <c r="N24" s="2488"/>
      <c r="O24" s="2489"/>
      <c r="P24" s="2488"/>
      <c r="Q24" s="2488"/>
      <c r="R24" s="2490"/>
    </row>
    <row r="25" spans="1:18" s="798" customFormat="1">
      <c r="B25" s="2488"/>
      <c r="C25" s="2488"/>
      <c r="D25" s="2488"/>
      <c r="H25" s="2488"/>
      <c r="I25" s="2489"/>
      <c r="J25" s="2488"/>
      <c r="K25" s="2488"/>
      <c r="L25" s="2489"/>
      <c r="M25" s="2488"/>
      <c r="N25" s="2488"/>
      <c r="O25" s="2489"/>
      <c r="P25" s="2488"/>
      <c r="Q25" s="2488"/>
      <c r="R25" s="2490"/>
    </row>
    <row r="26" spans="1:18" s="798" customFormat="1">
      <c r="B26" s="2488"/>
      <c r="C26" s="2488"/>
      <c r="D26" s="2488"/>
      <c r="H26" s="2488"/>
      <c r="I26" s="2489"/>
      <c r="J26" s="2488"/>
      <c r="K26" s="2488"/>
      <c r="L26" s="2489"/>
      <c r="M26" s="2488"/>
      <c r="N26" s="2488"/>
      <c r="O26" s="2489"/>
      <c r="P26" s="2488"/>
      <c r="Q26" s="2488"/>
      <c r="R26" s="2490"/>
    </row>
    <row r="27" spans="1:18" s="798" customFormat="1">
      <c r="B27" s="2488"/>
      <c r="C27" s="2488"/>
      <c r="D27" s="2488"/>
      <c r="H27" s="2488"/>
      <c r="I27" s="2489"/>
      <c r="J27" s="2488"/>
      <c r="K27" s="2488"/>
      <c r="L27" s="2489"/>
      <c r="M27" s="2488"/>
      <c r="N27" s="2488"/>
      <c r="O27" s="2489"/>
      <c r="P27" s="2488"/>
      <c r="Q27" s="2488"/>
      <c r="R27" s="2490"/>
    </row>
    <row r="28" spans="1:18" s="798" customFormat="1">
      <c r="B28" s="2488"/>
      <c r="C28" s="2488"/>
      <c r="D28" s="2488"/>
      <c r="H28" s="2488"/>
      <c r="I28" s="2489"/>
      <c r="J28" s="2488"/>
      <c r="K28" s="2488"/>
      <c r="L28" s="2489"/>
      <c r="M28" s="2488"/>
      <c r="N28" s="2488"/>
      <c r="O28" s="2489"/>
      <c r="P28" s="2488"/>
      <c r="Q28" s="2488"/>
      <c r="R28" s="2490"/>
    </row>
    <row r="29" spans="1:18" s="798" customFormat="1">
      <c r="B29" s="2488"/>
      <c r="C29" s="2488"/>
      <c r="D29" s="2488"/>
      <c r="H29" s="2488"/>
      <c r="I29" s="2489"/>
      <c r="J29" s="2488"/>
      <c r="K29" s="2488"/>
      <c r="L29" s="2489"/>
      <c r="M29" s="2488"/>
      <c r="N29" s="2488"/>
      <c r="O29" s="2489"/>
      <c r="P29" s="2488"/>
      <c r="Q29" s="2488"/>
      <c r="R29" s="2490"/>
    </row>
    <row r="30" spans="1:18" s="798" customFormat="1">
      <c r="B30" s="2488"/>
      <c r="C30" s="2488"/>
      <c r="D30" s="2488"/>
      <c r="H30" s="2488"/>
      <c r="I30" s="2489"/>
      <c r="J30" s="2488"/>
      <c r="K30" s="2488"/>
      <c r="L30" s="2489"/>
      <c r="M30" s="2488"/>
      <c r="N30" s="2488"/>
      <c r="O30" s="2489"/>
      <c r="P30" s="2488"/>
      <c r="Q30" s="2488"/>
      <c r="R30" s="2490"/>
    </row>
    <row r="31" spans="1:18" s="798" customFormat="1">
      <c r="B31" s="2488"/>
      <c r="C31" s="2488"/>
      <c r="D31" s="2488"/>
      <c r="H31" s="2488"/>
      <c r="I31" s="2489"/>
      <c r="J31" s="2488"/>
      <c r="K31" s="2488"/>
      <c r="L31" s="2489"/>
      <c r="M31" s="2488"/>
      <c r="N31" s="2488"/>
      <c r="O31" s="2489"/>
      <c r="P31" s="2488"/>
      <c r="Q31" s="2488"/>
      <c r="R31" s="2490"/>
    </row>
    <row r="32" spans="1:18" s="798" customFormat="1">
      <c r="B32" s="2488"/>
      <c r="C32" s="2488"/>
      <c r="D32" s="2488"/>
      <c r="H32" s="2488"/>
      <c r="I32" s="2489"/>
      <c r="J32" s="2488"/>
      <c r="K32" s="2488"/>
      <c r="L32" s="2489"/>
      <c r="M32" s="2488"/>
      <c r="N32" s="2488"/>
      <c r="O32" s="2489"/>
      <c r="P32" s="2488"/>
      <c r="Q32" s="2488"/>
      <c r="R32" s="2490"/>
    </row>
    <row r="33" spans="2:18" s="798" customFormat="1">
      <c r="B33" s="2488"/>
      <c r="C33" s="2488"/>
      <c r="D33" s="2488"/>
      <c r="H33" s="2488"/>
      <c r="I33" s="2489"/>
      <c r="J33" s="2488"/>
      <c r="K33" s="2488"/>
      <c r="L33" s="2489"/>
      <c r="M33" s="2488"/>
      <c r="N33" s="2488"/>
      <c r="O33" s="2489"/>
      <c r="P33" s="2488"/>
      <c r="Q33" s="2488"/>
      <c r="R33" s="2490"/>
    </row>
    <row r="34" spans="2:18" s="798" customFormat="1">
      <c r="B34" s="2488"/>
      <c r="C34" s="2488"/>
      <c r="D34" s="2488"/>
      <c r="H34" s="2488"/>
      <c r="I34" s="2489"/>
      <c r="J34" s="2488"/>
      <c r="K34" s="2488"/>
      <c r="L34" s="2489"/>
      <c r="M34" s="2488"/>
      <c r="N34" s="2488"/>
      <c r="O34" s="2489"/>
      <c r="P34" s="2488"/>
      <c r="Q34" s="2488"/>
      <c r="R34" s="2490"/>
    </row>
    <row r="35" spans="2:18" s="798" customFormat="1">
      <c r="B35" s="2488"/>
      <c r="C35" s="2488"/>
      <c r="D35" s="2488"/>
      <c r="H35" s="2488"/>
      <c r="I35" s="2489"/>
      <c r="J35" s="2488"/>
      <c r="K35" s="2488"/>
      <c r="L35" s="2489"/>
      <c r="M35" s="2488"/>
      <c r="N35" s="2488"/>
      <c r="O35" s="2489"/>
      <c r="P35" s="2488"/>
      <c r="Q35" s="2488"/>
      <c r="R35" s="2490"/>
    </row>
    <row r="36" spans="2:18" s="798" customFormat="1">
      <c r="B36" s="2488"/>
      <c r="C36" s="2488"/>
      <c r="D36" s="2488"/>
      <c r="H36" s="2488"/>
      <c r="I36" s="2489"/>
      <c r="J36" s="2488"/>
      <c r="K36" s="2488"/>
      <c r="L36" s="2489"/>
      <c r="M36" s="2488"/>
      <c r="N36" s="2488"/>
      <c r="O36" s="2489"/>
      <c r="P36" s="2488"/>
      <c r="Q36" s="2488"/>
      <c r="R36" s="2490"/>
    </row>
    <row r="37" spans="2:18" s="798" customFormat="1">
      <c r="B37" s="2488"/>
      <c r="C37" s="2488"/>
      <c r="D37" s="2488"/>
      <c r="H37" s="2488"/>
      <c r="I37" s="2489"/>
      <c r="J37" s="2488"/>
      <c r="K37" s="2488"/>
      <c r="L37" s="2489"/>
      <c r="M37" s="2488"/>
      <c r="N37" s="2488"/>
      <c r="O37" s="2489"/>
      <c r="P37" s="2488"/>
      <c r="Q37" s="2488"/>
      <c r="R37" s="2490"/>
    </row>
    <row r="38" spans="2:18" s="798" customFormat="1">
      <c r="B38" s="2488"/>
      <c r="C38" s="2488"/>
      <c r="D38" s="2488"/>
      <c r="E38" s="2488"/>
      <c r="F38" s="2488"/>
      <c r="G38" s="2489"/>
      <c r="H38" s="2488"/>
      <c r="I38" s="2489"/>
      <c r="J38" s="2488"/>
      <c r="K38" s="2488"/>
      <c r="L38" s="2489"/>
      <c r="M38" s="2488"/>
      <c r="N38" s="2488"/>
      <c r="O38" s="2489"/>
      <c r="P38" s="2488"/>
      <c r="Q38" s="2488"/>
      <c r="R38" s="2490"/>
    </row>
    <row r="39" spans="2:18" s="798" customFormat="1">
      <c r="B39" s="2488"/>
      <c r="C39" s="2488"/>
      <c r="D39" s="2488"/>
      <c r="E39" s="2488"/>
      <c r="F39" s="2488"/>
      <c r="G39" s="2489"/>
      <c r="H39" s="2488"/>
      <c r="I39" s="2489"/>
      <c r="J39" s="2488"/>
      <c r="K39" s="2488"/>
      <c r="L39" s="2489"/>
      <c r="M39" s="2488"/>
      <c r="N39" s="2488"/>
      <c r="O39" s="2489"/>
      <c r="P39" s="2488"/>
      <c r="Q39" s="2488"/>
      <c r="R39" s="2490"/>
    </row>
    <row r="40" spans="2:18" s="798" customFormat="1">
      <c r="B40" s="2488"/>
      <c r="C40" s="2488"/>
      <c r="D40" s="2488"/>
      <c r="E40" s="2488"/>
      <c r="F40" s="2488"/>
      <c r="G40" s="2489"/>
      <c r="H40" s="2488"/>
      <c r="I40" s="2489"/>
      <c r="J40" s="2488"/>
      <c r="K40" s="2488"/>
      <c r="L40" s="2489"/>
      <c r="M40" s="2488"/>
      <c r="N40" s="2488"/>
      <c r="O40" s="2489"/>
      <c r="P40" s="2488"/>
      <c r="Q40" s="2488"/>
      <c r="R40" s="2490"/>
    </row>
    <row r="41" spans="2:18" s="798" customFormat="1">
      <c r="B41" s="2488"/>
      <c r="C41" s="2488"/>
      <c r="D41" s="2488"/>
      <c r="E41" s="2488"/>
      <c r="F41" s="2488"/>
      <c r="G41" s="2489"/>
      <c r="H41" s="2488"/>
      <c r="I41" s="2489"/>
      <c r="J41" s="2488"/>
      <c r="K41" s="2488"/>
      <c r="L41" s="2489"/>
      <c r="M41" s="2488"/>
      <c r="N41" s="2488"/>
      <c r="O41" s="2489"/>
      <c r="P41" s="2488"/>
      <c r="Q41" s="2488"/>
      <c r="R41" s="2490"/>
    </row>
    <row r="42" spans="2:18" s="798" customFormat="1">
      <c r="B42" s="2488"/>
      <c r="C42" s="2488"/>
      <c r="D42" s="2488"/>
      <c r="E42" s="2488"/>
      <c r="F42" s="2488"/>
      <c r="G42" s="2489"/>
      <c r="H42" s="2488"/>
      <c r="I42" s="2489"/>
      <c r="J42" s="2488"/>
      <c r="K42" s="2488"/>
      <c r="L42" s="2489"/>
      <c r="M42" s="2488"/>
      <c r="N42" s="2488"/>
      <c r="O42" s="2489"/>
      <c r="P42" s="2488"/>
      <c r="Q42" s="2488"/>
      <c r="R42" s="2490"/>
    </row>
    <row r="43" spans="2:18" s="798" customFormat="1">
      <c r="B43" s="2488"/>
      <c r="C43" s="2488"/>
      <c r="D43" s="2488"/>
      <c r="E43" s="2488"/>
      <c r="F43" s="2488"/>
      <c r="G43" s="2489"/>
      <c r="H43" s="2488"/>
      <c r="I43" s="2489"/>
      <c r="J43" s="2488"/>
      <c r="K43" s="2488"/>
      <c r="L43" s="2489"/>
      <c r="M43" s="2488"/>
      <c r="N43" s="2488"/>
      <c r="O43" s="2489"/>
      <c r="P43" s="2488"/>
      <c r="Q43" s="2488"/>
      <c r="R43" s="2490"/>
    </row>
    <row r="44" spans="2:18" s="798" customFormat="1">
      <c r="B44" s="2488"/>
      <c r="C44" s="2488"/>
      <c r="D44" s="2488"/>
      <c r="E44" s="2488"/>
      <c r="F44" s="2488"/>
      <c r="G44" s="2489"/>
      <c r="H44" s="2488"/>
      <c r="I44" s="2489"/>
      <c r="J44" s="2488"/>
      <c r="K44" s="2488"/>
      <c r="L44" s="2489"/>
      <c r="M44" s="2488"/>
      <c r="N44" s="2488"/>
      <c r="O44" s="2489"/>
      <c r="P44" s="2488"/>
      <c r="Q44" s="2488"/>
      <c r="R44" s="2490"/>
    </row>
    <row r="45" spans="2:18" s="798" customFormat="1">
      <c r="B45" s="2488"/>
      <c r="C45" s="2488"/>
      <c r="D45" s="2488"/>
      <c r="E45" s="2488"/>
      <c r="F45" s="2488"/>
      <c r="G45" s="2489"/>
      <c r="H45" s="2488"/>
      <c r="I45" s="2489"/>
      <c r="J45" s="2488"/>
      <c r="K45" s="2488"/>
      <c r="L45" s="2489"/>
      <c r="M45" s="2488"/>
      <c r="N45" s="2488"/>
      <c r="O45" s="2489"/>
      <c r="P45" s="2488"/>
      <c r="Q45" s="2488"/>
      <c r="R45" s="2490"/>
    </row>
    <row r="46" spans="2:18" s="798" customFormat="1">
      <c r="B46" s="2488"/>
      <c r="C46" s="2488"/>
      <c r="D46" s="2488"/>
      <c r="E46" s="2488"/>
      <c r="F46" s="2488"/>
      <c r="G46" s="2489"/>
      <c r="H46" s="2488"/>
      <c r="I46" s="2489"/>
      <c r="J46" s="2488"/>
      <c r="K46" s="2488"/>
      <c r="L46" s="2489"/>
      <c r="M46" s="2488"/>
      <c r="N46" s="2488"/>
      <c r="O46" s="2489"/>
      <c r="P46" s="2488"/>
      <c r="Q46" s="2488"/>
      <c r="R46" s="2490"/>
    </row>
    <row r="47" spans="2:18" s="798" customFormat="1">
      <c r="B47" s="2488"/>
      <c r="C47" s="2488"/>
      <c r="D47" s="2488"/>
      <c r="E47" s="2488"/>
      <c r="F47" s="2488"/>
      <c r="G47" s="2489"/>
      <c r="H47" s="2488"/>
      <c r="I47" s="2489"/>
      <c r="J47" s="2488"/>
      <c r="K47" s="2488"/>
      <c r="L47" s="2489"/>
      <c r="M47" s="2488"/>
      <c r="N47" s="2488"/>
      <c r="O47" s="2489"/>
      <c r="P47" s="2488"/>
      <c r="Q47" s="2488"/>
      <c r="R47" s="2490"/>
    </row>
    <row r="48" spans="2:18" s="798" customFormat="1">
      <c r="B48" s="2488"/>
      <c r="C48" s="2488"/>
      <c r="D48" s="2488"/>
      <c r="E48" s="2488"/>
      <c r="F48" s="2488"/>
      <c r="G48" s="2489"/>
      <c r="H48" s="2488"/>
      <c r="I48" s="2489"/>
      <c r="J48" s="2488"/>
      <c r="K48" s="2488"/>
      <c r="L48" s="2489"/>
      <c r="M48" s="2488"/>
      <c r="N48" s="2488"/>
      <c r="O48" s="2489"/>
      <c r="P48" s="2488"/>
      <c r="Q48" s="2488"/>
      <c r="R48" s="2490"/>
    </row>
    <row r="49" spans="2:18" s="798" customFormat="1">
      <c r="B49" s="2488"/>
      <c r="C49" s="2488"/>
      <c r="D49" s="2488"/>
      <c r="E49" s="2488"/>
      <c r="F49" s="2488"/>
      <c r="G49" s="2489"/>
      <c r="H49" s="2488"/>
      <c r="I49" s="2489"/>
      <c r="J49" s="2488"/>
      <c r="K49" s="2488"/>
      <c r="L49" s="2489"/>
      <c r="M49" s="2488"/>
      <c r="N49" s="2488"/>
      <c r="O49" s="2489"/>
      <c r="P49" s="2488"/>
      <c r="Q49" s="2488"/>
      <c r="R49" s="2490"/>
    </row>
    <row r="50" spans="2:18" s="798" customFormat="1">
      <c r="B50" s="2488"/>
      <c r="C50" s="2488"/>
      <c r="D50" s="2488"/>
      <c r="E50" s="2488"/>
      <c r="F50" s="2488"/>
      <c r="G50" s="2489"/>
      <c r="H50" s="2488"/>
      <c r="I50" s="2489"/>
      <c r="J50" s="2488"/>
      <c r="K50" s="2488"/>
      <c r="L50" s="2489"/>
      <c r="M50" s="2488"/>
      <c r="N50" s="2488"/>
      <c r="O50" s="2489"/>
      <c r="P50" s="2488"/>
      <c r="Q50" s="2488"/>
      <c r="R50" s="2490"/>
    </row>
    <row r="51" spans="2:18" s="798" customFormat="1">
      <c r="B51" s="2488"/>
      <c r="C51" s="2488"/>
      <c r="D51" s="2488"/>
      <c r="E51" s="2488"/>
      <c r="F51" s="2488"/>
      <c r="G51" s="2489"/>
      <c r="H51" s="2488"/>
      <c r="I51" s="2489"/>
      <c r="J51" s="2488"/>
      <c r="K51" s="2488"/>
      <c r="L51" s="2489"/>
      <c r="M51" s="2488"/>
      <c r="N51" s="2488"/>
      <c r="O51" s="2489"/>
      <c r="P51" s="2488"/>
      <c r="Q51" s="2488"/>
      <c r="R51" s="2490"/>
    </row>
    <row r="52" spans="2:18" s="798" customFormat="1">
      <c r="B52" s="2488"/>
      <c r="C52" s="2488"/>
      <c r="D52" s="2488"/>
      <c r="E52" s="2488"/>
      <c r="F52" s="2488"/>
      <c r="G52" s="2489"/>
      <c r="H52" s="2488"/>
      <c r="I52" s="2489"/>
      <c r="J52" s="2488"/>
      <c r="K52" s="2488"/>
      <c r="L52" s="2489"/>
      <c r="M52" s="2488"/>
      <c r="N52" s="2488"/>
      <c r="O52" s="2489"/>
      <c r="P52" s="2488"/>
      <c r="Q52" s="2488"/>
      <c r="R52" s="2490"/>
    </row>
    <row r="53" spans="2:18" s="798" customFormat="1">
      <c r="B53" s="2488"/>
      <c r="C53" s="2488"/>
      <c r="D53" s="2488"/>
      <c r="E53" s="2488"/>
      <c r="F53" s="2488"/>
      <c r="G53" s="2489"/>
      <c r="H53" s="2488"/>
      <c r="I53" s="2489"/>
      <c r="J53" s="2488"/>
      <c r="K53" s="2488"/>
      <c r="L53" s="2489"/>
      <c r="M53" s="2488"/>
      <c r="N53" s="2488"/>
      <c r="O53" s="2489"/>
      <c r="P53" s="2488"/>
      <c r="Q53" s="2488"/>
      <c r="R53" s="2490"/>
    </row>
    <row r="54" spans="2:18" s="798" customFormat="1">
      <c r="B54" s="2488"/>
      <c r="C54" s="2488"/>
      <c r="D54" s="2488"/>
      <c r="E54" s="2488"/>
      <c r="F54" s="2488"/>
      <c r="G54" s="2489"/>
      <c r="H54" s="2488"/>
      <c r="I54" s="2489"/>
      <c r="J54" s="2488"/>
      <c r="K54" s="2488"/>
      <c r="L54" s="2489"/>
      <c r="M54" s="2488"/>
      <c r="N54" s="2488"/>
      <c r="O54" s="2489"/>
      <c r="P54" s="2488"/>
      <c r="Q54" s="2488"/>
      <c r="R54" s="2490"/>
    </row>
    <row r="55" spans="2:18" s="798" customFormat="1">
      <c r="B55" s="2488"/>
      <c r="C55" s="2488"/>
      <c r="D55" s="2488"/>
      <c r="E55" s="2488"/>
      <c r="F55" s="2488"/>
      <c r="G55" s="2489"/>
      <c r="H55" s="2488"/>
      <c r="I55" s="2489"/>
      <c r="J55" s="2488"/>
      <c r="K55" s="2488"/>
      <c r="L55" s="2489"/>
      <c r="M55" s="2488"/>
      <c r="N55" s="2488"/>
      <c r="O55" s="2489"/>
      <c r="P55" s="2488"/>
      <c r="Q55" s="2488"/>
      <c r="R55" s="2490"/>
    </row>
    <row r="56" spans="2:18" s="798" customFormat="1">
      <c r="B56" s="2488"/>
      <c r="C56" s="2488"/>
      <c r="D56" s="2488"/>
      <c r="E56" s="2488"/>
      <c r="F56" s="2488"/>
      <c r="G56" s="2489"/>
      <c r="H56" s="2488"/>
      <c r="I56" s="2489"/>
      <c r="J56" s="2488"/>
      <c r="K56" s="2488"/>
      <c r="L56" s="2489"/>
      <c r="M56" s="2488"/>
      <c r="N56" s="2488"/>
      <c r="O56" s="2489"/>
      <c r="P56" s="2488"/>
      <c r="Q56" s="2488"/>
      <c r="R56" s="2490"/>
    </row>
    <row r="57" spans="2:18" s="798" customFormat="1">
      <c r="B57" s="2488"/>
      <c r="C57" s="2488"/>
      <c r="D57" s="2488"/>
      <c r="E57" s="2488"/>
      <c r="F57" s="2488"/>
      <c r="G57" s="2489"/>
      <c r="H57" s="2488"/>
      <c r="I57" s="2489"/>
      <c r="J57" s="2488"/>
      <c r="K57" s="2488"/>
      <c r="L57" s="2489"/>
      <c r="M57" s="2488"/>
      <c r="N57" s="2488"/>
      <c r="O57" s="2489"/>
      <c r="P57" s="2488"/>
      <c r="Q57" s="2488"/>
      <c r="R57" s="2490"/>
    </row>
    <row r="58" spans="2:18" s="798" customFormat="1">
      <c r="B58" s="2488"/>
      <c r="C58" s="2488"/>
      <c r="D58" s="2488"/>
      <c r="E58" s="2488"/>
      <c r="F58" s="2488"/>
      <c r="G58" s="2489"/>
      <c r="H58" s="2488"/>
      <c r="I58" s="2489"/>
      <c r="J58" s="2488"/>
      <c r="K58" s="2488"/>
      <c r="L58" s="2489"/>
      <c r="M58" s="2488"/>
      <c r="N58" s="2488"/>
      <c r="O58" s="2489"/>
      <c r="P58" s="2488"/>
      <c r="Q58" s="2488"/>
      <c r="R58" s="2490"/>
    </row>
    <row r="59" spans="2:18" s="798" customFormat="1">
      <c r="B59" s="2488"/>
      <c r="C59" s="2488"/>
      <c r="D59" s="2488"/>
      <c r="E59" s="2488"/>
      <c r="F59" s="2488"/>
      <c r="G59" s="2489"/>
      <c r="H59" s="2488"/>
      <c r="I59" s="2489"/>
      <c r="J59" s="2488"/>
      <c r="K59" s="2488"/>
      <c r="L59" s="2489"/>
      <c r="M59" s="2488"/>
      <c r="N59" s="2488"/>
      <c r="O59" s="2489"/>
      <c r="P59" s="2488"/>
      <c r="Q59" s="2488"/>
      <c r="R59" s="2490"/>
    </row>
    <row r="60" spans="2:18" s="798" customFormat="1">
      <c r="B60" s="2488"/>
      <c r="C60" s="2488"/>
      <c r="D60" s="2488"/>
      <c r="E60" s="2488"/>
      <c r="F60" s="2488"/>
      <c r="G60" s="2489"/>
      <c r="H60" s="2488"/>
      <c r="I60" s="2489"/>
      <c r="J60" s="2488"/>
      <c r="K60" s="2488"/>
      <c r="L60" s="2489"/>
      <c r="M60" s="2488"/>
      <c r="N60" s="2488"/>
      <c r="O60" s="2489"/>
      <c r="P60" s="2488"/>
      <c r="Q60" s="2488"/>
      <c r="R60" s="2490"/>
    </row>
    <row r="61" spans="2:18" s="798" customFormat="1">
      <c r="B61" s="2488"/>
      <c r="C61" s="2488"/>
      <c r="D61" s="2488"/>
      <c r="E61" s="2488"/>
      <c r="F61" s="2488"/>
      <c r="G61" s="2489"/>
      <c r="H61" s="2488"/>
      <c r="I61" s="2489"/>
      <c r="J61" s="2488"/>
      <c r="K61" s="2488"/>
      <c r="L61" s="2489"/>
      <c r="M61" s="2488"/>
      <c r="N61" s="2488"/>
      <c r="O61" s="2489"/>
      <c r="P61" s="2488"/>
      <c r="Q61" s="2488"/>
      <c r="R61" s="2490"/>
    </row>
    <row r="62" spans="2:18" s="798" customFormat="1">
      <c r="B62" s="2488"/>
      <c r="C62" s="2488"/>
      <c r="D62" s="2488"/>
      <c r="E62" s="2488"/>
      <c r="F62" s="2488"/>
      <c r="G62" s="2489"/>
      <c r="H62" s="2488"/>
      <c r="I62" s="2489"/>
      <c r="J62" s="2488"/>
      <c r="K62" s="2488"/>
      <c r="L62" s="2489"/>
      <c r="M62" s="2488"/>
      <c r="N62" s="2488"/>
      <c r="O62" s="2489"/>
      <c r="P62" s="2488"/>
      <c r="Q62" s="2488"/>
      <c r="R62" s="2490"/>
    </row>
    <row r="63" spans="2:18" s="798" customFormat="1">
      <c r="B63" s="2488"/>
      <c r="C63" s="2488"/>
      <c r="D63" s="2488"/>
      <c r="E63" s="2488"/>
      <c r="F63" s="2488"/>
      <c r="G63" s="2489"/>
      <c r="H63" s="2488"/>
      <c r="I63" s="2489"/>
      <c r="J63" s="2488"/>
      <c r="K63" s="2488"/>
      <c r="L63" s="2489"/>
      <c r="M63" s="2488"/>
      <c r="N63" s="2488"/>
      <c r="O63" s="2489"/>
      <c r="P63" s="2488"/>
      <c r="Q63" s="2488"/>
      <c r="R63" s="2490"/>
    </row>
    <row r="64" spans="2:18" s="798" customFormat="1">
      <c r="B64" s="2488"/>
      <c r="C64" s="2488"/>
      <c r="D64" s="2488"/>
      <c r="E64" s="2488"/>
      <c r="F64" s="2488"/>
      <c r="G64" s="2489"/>
      <c r="H64" s="2488"/>
      <c r="I64" s="2489"/>
      <c r="J64" s="2488"/>
      <c r="K64" s="2488"/>
      <c r="L64" s="2489"/>
      <c r="M64" s="2488"/>
      <c r="N64" s="2488"/>
      <c r="O64" s="2489"/>
      <c r="P64" s="2488"/>
      <c r="Q64" s="2488"/>
      <c r="R64" s="2490"/>
    </row>
    <row r="65" spans="2:18" s="798" customFormat="1">
      <c r="B65" s="2488"/>
      <c r="C65" s="2488"/>
      <c r="D65" s="2488"/>
      <c r="E65" s="2488"/>
      <c r="F65" s="2488"/>
      <c r="G65" s="2489"/>
      <c r="H65" s="2488"/>
      <c r="I65" s="2489"/>
      <c r="J65" s="2488"/>
      <c r="K65" s="2488"/>
      <c r="L65" s="2489"/>
      <c r="M65" s="2488"/>
      <c r="N65" s="2488"/>
      <c r="O65" s="2489"/>
      <c r="P65" s="2488"/>
      <c r="Q65" s="2488"/>
      <c r="R65" s="2490"/>
    </row>
    <row r="66" spans="2:18" s="798" customFormat="1">
      <c r="B66" s="2488"/>
      <c r="C66" s="2488"/>
      <c r="D66" s="2488"/>
      <c r="E66" s="2488"/>
      <c r="F66" s="2488"/>
      <c r="G66" s="2489"/>
      <c r="H66" s="2488"/>
      <c r="I66" s="2489"/>
      <c r="J66" s="2488"/>
      <c r="K66" s="2488"/>
      <c r="L66" s="2489"/>
      <c r="M66" s="2488"/>
      <c r="N66" s="2488"/>
      <c r="O66" s="2489"/>
      <c r="P66" s="2488"/>
      <c r="Q66" s="2488"/>
      <c r="R66" s="2490"/>
    </row>
    <row r="67" spans="2:18" s="798" customFormat="1">
      <c r="B67" s="2488"/>
      <c r="C67" s="2488"/>
      <c r="D67" s="2488"/>
      <c r="E67" s="2488"/>
      <c r="F67" s="2488"/>
      <c r="G67" s="2489"/>
      <c r="H67" s="2488"/>
      <c r="I67" s="2489"/>
      <c r="J67" s="2488"/>
      <c r="K67" s="2488"/>
      <c r="L67" s="2489"/>
      <c r="M67" s="2488"/>
      <c r="N67" s="2488"/>
      <c r="O67" s="2489"/>
      <c r="P67" s="2488"/>
      <c r="Q67" s="2488"/>
      <c r="R67" s="2490"/>
    </row>
    <row r="68" spans="2:18" s="798" customFormat="1">
      <c r="B68" s="2488"/>
      <c r="C68" s="2488"/>
      <c r="D68" s="2488"/>
      <c r="E68" s="2488"/>
      <c r="F68" s="2488"/>
      <c r="G68" s="2489"/>
      <c r="H68" s="2488"/>
      <c r="I68" s="2489"/>
      <c r="J68" s="2488"/>
      <c r="K68" s="2488"/>
      <c r="L68" s="2489"/>
      <c r="M68" s="2488"/>
      <c r="N68" s="2488"/>
      <c r="O68" s="2489"/>
      <c r="P68" s="2488"/>
      <c r="Q68" s="2488"/>
      <c r="R68" s="2490"/>
    </row>
    <row r="69" spans="2:18" s="798" customFormat="1">
      <c r="B69" s="2488"/>
      <c r="C69" s="2488"/>
      <c r="D69" s="2488"/>
      <c r="E69" s="2488"/>
      <c r="F69" s="2488"/>
      <c r="G69" s="2489"/>
      <c r="H69" s="2488"/>
      <c r="I69" s="2489"/>
      <c r="J69" s="2488"/>
      <c r="K69" s="2488"/>
      <c r="L69" s="2489"/>
      <c r="M69" s="2488"/>
      <c r="N69" s="2488"/>
      <c r="O69" s="2489"/>
      <c r="P69" s="2488"/>
      <c r="Q69" s="2488"/>
      <c r="R69" s="2490"/>
    </row>
    <row r="70" spans="2:18" s="798" customFormat="1">
      <c r="B70" s="2488"/>
      <c r="C70" s="2488"/>
      <c r="D70" s="2488"/>
      <c r="E70" s="2488"/>
      <c r="F70" s="2488"/>
      <c r="G70" s="2489"/>
      <c r="H70" s="2488"/>
      <c r="I70" s="2489"/>
      <c r="J70" s="2488"/>
      <c r="K70" s="2488"/>
      <c r="L70" s="2489"/>
      <c r="M70" s="2488"/>
      <c r="N70" s="2488"/>
      <c r="O70" s="2489"/>
      <c r="P70" s="2488"/>
      <c r="Q70" s="2488"/>
      <c r="R70" s="2490"/>
    </row>
    <row r="71" spans="2:18" s="798" customFormat="1">
      <c r="B71" s="2488"/>
      <c r="C71" s="2488"/>
      <c r="D71" s="2488"/>
      <c r="E71" s="2488"/>
      <c r="F71" s="2488"/>
      <c r="G71" s="2489"/>
      <c r="H71" s="2488"/>
      <c r="I71" s="2489"/>
      <c r="J71" s="2488"/>
      <c r="K71" s="2488"/>
      <c r="L71" s="2489"/>
      <c r="M71" s="2488"/>
      <c r="N71" s="2488"/>
      <c r="O71" s="2489"/>
      <c r="P71" s="2488"/>
      <c r="Q71" s="2488"/>
      <c r="R71" s="2490"/>
    </row>
    <row r="72" spans="2:18" s="798" customFormat="1">
      <c r="B72" s="2488"/>
      <c r="C72" s="2488"/>
      <c r="D72" s="2488"/>
      <c r="E72" s="2488"/>
      <c r="F72" s="2488"/>
      <c r="G72" s="2489"/>
      <c r="H72" s="2488"/>
      <c r="I72" s="2489"/>
      <c r="J72" s="2488"/>
      <c r="K72" s="2488"/>
      <c r="L72" s="2489"/>
      <c r="M72" s="2488"/>
      <c r="N72" s="2488"/>
      <c r="O72" s="2489"/>
      <c r="P72" s="2488"/>
      <c r="Q72" s="2488"/>
      <c r="R72" s="2490"/>
    </row>
    <row r="73" spans="2:18" s="798" customFormat="1">
      <c r="B73" s="2488"/>
      <c r="C73" s="2488"/>
      <c r="D73" s="2488"/>
      <c r="E73" s="2488"/>
      <c r="F73" s="2488"/>
      <c r="G73" s="2489"/>
      <c r="H73" s="2488"/>
      <c r="I73" s="2489"/>
      <c r="J73" s="2488"/>
      <c r="K73" s="2488"/>
      <c r="L73" s="2489"/>
      <c r="M73" s="2488"/>
      <c r="N73" s="2488"/>
      <c r="O73" s="2489"/>
      <c r="P73" s="2488"/>
      <c r="Q73" s="2488"/>
      <c r="R73" s="2490"/>
    </row>
    <row r="74" spans="2:18" s="798" customFormat="1">
      <c r="B74" s="2488"/>
      <c r="C74" s="2488"/>
      <c r="D74" s="2488"/>
      <c r="E74" s="2488"/>
      <c r="F74" s="2488"/>
      <c r="G74" s="2489"/>
      <c r="H74" s="2488"/>
      <c r="I74" s="2489"/>
      <c r="J74" s="2488"/>
      <c r="K74" s="2488"/>
      <c r="L74" s="2489"/>
      <c r="M74" s="2488"/>
      <c r="N74" s="2488"/>
      <c r="O74" s="2489"/>
      <c r="P74" s="2488"/>
      <c r="Q74" s="2488"/>
      <c r="R74" s="2490"/>
    </row>
    <row r="75" spans="2:18" s="798" customFormat="1">
      <c r="B75" s="2488"/>
      <c r="C75" s="2488"/>
      <c r="D75" s="2488"/>
      <c r="E75" s="2488"/>
      <c r="F75" s="2488"/>
      <c r="G75" s="2489"/>
      <c r="H75" s="2488"/>
      <c r="I75" s="2489"/>
      <c r="J75" s="2488"/>
      <c r="K75" s="2488"/>
      <c r="L75" s="2489"/>
      <c r="M75" s="2488"/>
      <c r="N75" s="2488"/>
      <c r="O75" s="2489"/>
      <c r="P75" s="2488"/>
      <c r="Q75" s="2488"/>
      <c r="R75" s="2490"/>
    </row>
    <row r="76" spans="2:18" s="798" customFormat="1">
      <c r="B76" s="2488"/>
      <c r="C76" s="2488"/>
      <c r="D76" s="2488"/>
      <c r="E76" s="2488"/>
      <c r="F76" s="2488"/>
      <c r="G76" s="2489"/>
      <c r="H76" s="2488"/>
      <c r="I76" s="2489"/>
      <c r="J76" s="2488"/>
      <c r="K76" s="2488"/>
      <c r="L76" s="2489"/>
      <c r="M76" s="2488"/>
      <c r="N76" s="2488"/>
      <c r="O76" s="2489"/>
      <c r="P76" s="2488"/>
      <c r="Q76" s="2488"/>
      <c r="R76" s="2490"/>
    </row>
    <row r="77" spans="2:18" s="798" customFormat="1">
      <c r="B77" s="2488"/>
      <c r="C77" s="2488"/>
      <c r="D77" s="2488"/>
      <c r="E77" s="2488"/>
      <c r="F77" s="2488"/>
      <c r="G77" s="2489"/>
      <c r="H77" s="2488"/>
      <c r="I77" s="2489"/>
      <c r="J77" s="2488"/>
      <c r="K77" s="2488"/>
      <c r="L77" s="2489"/>
      <c r="M77" s="2488"/>
      <c r="N77" s="2488"/>
      <c r="O77" s="2489"/>
      <c r="P77" s="2488"/>
      <c r="Q77" s="2488"/>
      <c r="R77" s="2490"/>
    </row>
    <row r="78" spans="2:18" s="798" customFormat="1">
      <c r="B78" s="2488"/>
      <c r="C78" s="2488"/>
      <c r="D78" s="2488"/>
      <c r="E78" s="2488"/>
      <c r="F78" s="2488"/>
      <c r="G78" s="2489"/>
      <c r="H78" s="2488"/>
      <c r="I78" s="2489"/>
      <c r="J78" s="2488"/>
      <c r="K78" s="2488"/>
      <c r="L78" s="2489"/>
      <c r="M78" s="2488"/>
      <c r="N78" s="2488"/>
      <c r="O78" s="2489"/>
      <c r="P78" s="2488"/>
      <c r="Q78" s="2488"/>
      <c r="R78" s="2490"/>
    </row>
    <row r="79" spans="2:18" s="798" customFormat="1">
      <c r="B79" s="2488"/>
      <c r="C79" s="2488"/>
      <c r="D79" s="2488"/>
      <c r="E79" s="2488"/>
      <c r="F79" s="2488"/>
      <c r="G79" s="2489"/>
      <c r="H79" s="2488"/>
      <c r="I79" s="2489"/>
      <c r="J79" s="2488"/>
      <c r="K79" s="2488"/>
      <c r="L79" s="2489"/>
      <c r="M79" s="2488"/>
      <c r="N79" s="2488"/>
      <c r="O79" s="2489"/>
      <c r="P79" s="2488"/>
      <c r="Q79" s="2488"/>
      <c r="R79" s="2490"/>
    </row>
    <row r="80" spans="2:18" s="798" customFormat="1">
      <c r="B80" s="2488"/>
      <c r="C80" s="2488"/>
      <c r="D80" s="2488"/>
      <c r="E80" s="2488"/>
      <c r="F80" s="2488"/>
      <c r="G80" s="2489"/>
      <c r="H80" s="2488"/>
      <c r="I80" s="2489"/>
      <c r="J80" s="2488"/>
      <c r="K80" s="2488"/>
      <c r="L80" s="2489"/>
      <c r="M80" s="2488"/>
      <c r="N80" s="2488"/>
      <c r="O80" s="2489"/>
      <c r="P80" s="2488"/>
      <c r="Q80" s="2488"/>
      <c r="R80" s="2490"/>
    </row>
    <row r="81" spans="2:18" s="798" customFormat="1">
      <c r="B81" s="2488"/>
      <c r="C81" s="2488"/>
      <c r="D81" s="2488"/>
      <c r="E81" s="2488"/>
      <c r="F81" s="2488"/>
      <c r="G81" s="2489"/>
      <c r="H81" s="2488"/>
      <c r="I81" s="2489"/>
      <c r="J81" s="2488"/>
      <c r="K81" s="2488"/>
      <c r="L81" s="2489"/>
      <c r="M81" s="2488"/>
      <c r="N81" s="2488"/>
      <c r="O81" s="2489"/>
      <c r="P81" s="2488"/>
      <c r="Q81" s="2488"/>
      <c r="R81" s="2490"/>
    </row>
    <row r="82" spans="2:18" s="798" customFormat="1">
      <c r="B82" s="2488"/>
      <c r="C82" s="2488"/>
      <c r="D82" s="2488"/>
      <c r="E82" s="2488"/>
      <c r="F82" s="2488"/>
      <c r="G82" s="2489"/>
      <c r="H82" s="2488"/>
      <c r="I82" s="2489"/>
      <c r="J82" s="2488"/>
      <c r="K82" s="2488"/>
      <c r="L82" s="2489"/>
      <c r="M82" s="2488"/>
      <c r="N82" s="2488"/>
      <c r="O82" s="2489"/>
      <c r="P82" s="2488"/>
      <c r="Q82" s="2488"/>
      <c r="R82" s="2490"/>
    </row>
    <row r="83" spans="2:18" s="798" customFormat="1">
      <c r="B83" s="2488"/>
      <c r="C83" s="2488"/>
      <c r="D83" s="2488"/>
      <c r="E83" s="2488"/>
      <c r="F83" s="2488"/>
      <c r="G83" s="2489"/>
      <c r="H83" s="2488"/>
      <c r="I83" s="2489"/>
      <c r="J83" s="2488"/>
      <c r="K83" s="2488"/>
      <c r="L83" s="2489"/>
      <c r="M83" s="2488"/>
      <c r="N83" s="2488"/>
      <c r="O83" s="2489"/>
      <c r="P83" s="2488"/>
      <c r="Q83" s="2488"/>
      <c r="R83" s="2490"/>
    </row>
    <row r="84" spans="2:18" s="798" customFormat="1">
      <c r="B84" s="2488"/>
      <c r="C84" s="2488"/>
      <c r="D84" s="2488"/>
      <c r="E84" s="2488"/>
      <c r="F84" s="2488"/>
      <c r="G84" s="2489"/>
      <c r="H84" s="2488"/>
      <c r="I84" s="2489"/>
      <c r="J84" s="2488"/>
      <c r="K84" s="2488"/>
      <c r="L84" s="2489"/>
      <c r="M84" s="2488"/>
      <c r="N84" s="2488"/>
      <c r="O84" s="2489"/>
      <c r="P84" s="2488"/>
      <c r="Q84" s="2488"/>
      <c r="R84" s="2490"/>
    </row>
    <row r="85" spans="2:18" s="798" customFormat="1">
      <c r="B85" s="2488"/>
      <c r="C85" s="2488"/>
      <c r="D85" s="2488"/>
      <c r="E85" s="2488"/>
      <c r="F85" s="2488"/>
      <c r="G85" s="2489"/>
      <c r="H85" s="2488"/>
      <c r="I85" s="2489"/>
      <c r="J85" s="2488"/>
      <c r="K85" s="2488"/>
      <c r="L85" s="2489"/>
      <c r="M85" s="2488"/>
      <c r="N85" s="2488"/>
      <c r="O85" s="2489"/>
      <c r="P85" s="2488"/>
      <c r="Q85" s="2488"/>
      <c r="R85" s="2490"/>
    </row>
    <row r="86" spans="2:18" s="798" customFormat="1">
      <c r="B86" s="2488"/>
      <c r="C86" s="2488"/>
      <c r="D86" s="2488"/>
      <c r="E86" s="2488"/>
      <c r="F86" s="2488"/>
      <c r="G86" s="2489"/>
      <c r="H86" s="2488"/>
      <c r="I86" s="2489"/>
      <c r="J86" s="2488"/>
      <c r="K86" s="2488"/>
      <c r="L86" s="2489"/>
      <c r="M86" s="2488"/>
      <c r="N86" s="2488"/>
      <c r="O86" s="2489"/>
      <c r="P86" s="2488"/>
      <c r="Q86" s="2488"/>
      <c r="R86" s="2490"/>
    </row>
    <row r="87" spans="2:18" s="798" customFormat="1">
      <c r="B87" s="2488"/>
      <c r="C87" s="2488"/>
      <c r="D87" s="2488"/>
      <c r="E87" s="2488"/>
      <c r="F87" s="2488"/>
      <c r="G87" s="2489"/>
      <c r="H87" s="2488"/>
      <c r="I87" s="2489"/>
      <c r="J87" s="2488"/>
      <c r="K87" s="2488"/>
      <c r="L87" s="2489"/>
      <c r="M87" s="2488"/>
      <c r="N87" s="2488"/>
      <c r="O87" s="2489"/>
      <c r="P87" s="2488"/>
      <c r="Q87" s="2488"/>
      <c r="R87" s="2490"/>
    </row>
    <row r="88" spans="2:18" s="798" customFormat="1">
      <c r="B88" s="2488"/>
      <c r="C88" s="2488"/>
      <c r="D88" s="2488"/>
      <c r="E88" s="2488"/>
      <c r="F88" s="2488"/>
      <c r="G88" s="2489"/>
      <c r="H88" s="2488"/>
      <c r="I88" s="2489"/>
      <c r="J88" s="2488"/>
      <c r="K88" s="2488"/>
      <c r="L88" s="2489"/>
      <c r="M88" s="2488"/>
      <c r="N88" s="2488"/>
      <c r="O88" s="2489"/>
      <c r="P88" s="2488"/>
      <c r="Q88" s="2488"/>
      <c r="R88" s="2490"/>
    </row>
    <row r="89" spans="2:18" s="798" customFormat="1">
      <c r="B89" s="2488"/>
      <c r="C89" s="2488"/>
      <c r="D89" s="2488"/>
      <c r="E89" s="2488"/>
      <c r="F89" s="2488"/>
      <c r="G89" s="2489"/>
      <c r="H89" s="2488"/>
      <c r="I89" s="2489"/>
      <c r="J89" s="2488"/>
      <c r="K89" s="2488"/>
      <c r="L89" s="2489"/>
      <c r="M89" s="2488"/>
      <c r="N89" s="2488"/>
      <c r="O89" s="2489"/>
      <c r="P89" s="2488"/>
      <c r="Q89" s="2488"/>
      <c r="R89" s="2490"/>
    </row>
    <row r="90" spans="2:18" s="798" customFormat="1">
      <c r="B90" s="2488"/>
      <c r="C90" s="2488"/>
      <c r="D90" s="2488"/>
      <c r="E90" s="2488"/>
      <c r="F90" s="2488"/>
      <c r="G90" s="2489"/>
      <c r="H90" s="2488"/>
      <c r="I90" s="2489"/>
      <c r="J90" s="2488"/>
      <c r="K90" s="2488"/>
      <c r="L90" s="2489"/>
      <c r="M90" s="2488"/>
      <c r="N90" s="2488"/>
      <c r="O90" s="2489"/>
      <c r="P90" s="2488"/>
      <c r="Q90" s="2488"/>
      <c r="R90" s="2490"/>
    </row>
    <row r="91" spans="2:18" s="798" customFormat="1">
      <c r="B91" s="2488"/>
      <c r="C91" s="2488"/>
      <c r="D91" s="2488"/>
      <c r="E91" s="2488"/>
      <c r="F91" s="2488"/>
      <c r="G91" s="2489"/>
      <c r="H91" s="2488"/>
      <c r="I91" s="2489"/>
      <c r="J91" s="2488"/>
      <c r="K91" s="2488"/>
      <c r="L91" s="2489"/>
      <c r="M91" s="2488"/>
      <c r="N91" s="2488"/>
      <c r="O91" s="2489"/>
      <c r="P91" s="2488"/>
      <c r="Q91" s="2488"/>
      <c r="R91" s="2490"/>
    </row>
    <row r="92" spans="2:18" s="798" customFormat="1">
      <c r="B92" s="2488"/>
      <c r="C92" s="2488"/>
      <c r="D92" s="2488"/>
      <c r="E92" s="2488"/>
      <c r="F92" s="2488"/>
      <c r="G92" s="2489"/>
      <c r="H92" s="2488"/>
      <c r="I92" s="2489"/>
      <c r="J92" s="2488"/>
      <c r="K92" s="2488"/>
      <c r="L92" s="2489"/>
      <c r="M92" s="2488"/>
      <c r="N92" s="2488"/>
      <c r="O92" s="2489"/>
      <c r="P92" s="2488"/>
      <c r="Q92" s="2488"/>
      <c r="R92" s="2490"/>
    </row>
    <row r="93" spans="2:18" s="798" customFormat="1">
      <c r="B93" s="2488"/>
      <c r="C93" s="2488"/>
      <c r="D93" s="2488"/>
      <c r="E93" s="2488"/>
      <c r="F93" s="2488"/>
      <c r="G93" s="2489"/>
      <c r="H93" s="2488"/>
      <c r="I93" s="2489"/>
      <c r="J93" s="2488"/>
      <c r="K93" s="2488"/>
      <c r="L93" s="2489"/>
      <c r="M93" s="2488"/>
      <c r="N93" s="2488"/>
      <c r="O93" s="2489"/>
      <c r="P93" s="2488"/>
      <c r="Q93" s="2488"/>
      <c r="R93" s="2490"/>
    </row>
    <row r="94" spans="2:18" s="798" customFormat="1">
      <c r="B94" s="2488"/>
      <c r="C94" s="2488"/>
      <c r="D94" s="2488"/>
      <c r="E94" s="2488"/>
      <c r="F94" s="2488"/>
      <c r="G94" s="2489"/>
      <c r="H94" s="2488"/>
      <c r="I94" s="2489"/>
      <c r="J94" s="2488"/>
      <c r="K94" s="2488"/>
      <c r="L94" s="2489"/>
      <c r="M94" s="2488"/>
      <c r="N94" s="2488"/>
      <c r="O94" s="2489"/>
      <c r="P94" s="2488"/>
      <c r="Q94" s="2488"/>
      <c r="R94" s="2490"/>
    </row>
    <row r="95" spans="2:18" s="798" customFormat="1">
      <c r="B95" s="2488"/>
      <c r="C95" s="2488"/>
      <c r="D95" s="2488"/>
      <c r="E95" s="2488"/>
      <c r="F95" s="2488"/>
      <c r="G95" s="2489"/>
      <c r="H95" s="2488"/>
      <c r="I95" s="2489"/>
      <c r="J95" s="2488"/>
      <c r="K95" s="2488"/>
      <c r="L95" s="2489"/>
      <c r="M95" s="2488"/>
      <c r="N95" s="2488"/>
      <c r="O95" s="2489"/>
      <c r="P95" s="2488"/>
      <c r="Q95" s="2488"/>
      <c r="R95" s="2490"/>
    </row>
    <row r="96" spans="2:18" s="798" customFormat="1">
      <c r="B96" s="2488"/>
      <c r="C96" s="2488"/>
      <c r="D96" s="2488"/>
      <c r="E96" s="2488"/>
      <c r="F96" s="2488"/>
      <c r="G96" s="2489"/>
      <c r="H96" s="2488"/>
      <c r="I96" s="2489"/>
      <c r="J96" s="2488"/>
      <c r="K96" s="2488"/>
      <c r="L96" s="2489"/>
      <c r="M96" s="2488"/>
      <c r="N96" s="2488"/>
      <c r="O96" s="2489"/>
      <c r="P96" s="2488"/>
      <c r="Q96" s="2488"/>
      <c r="R96" s="2490"/>
    </row>
    <row r="97" spans="2:18" s="798" customFormat="1">
      <c r="B97" s="2488"/>
      <c r="C97" s="2488"/>
      <c r="D97" s="2488"/>
      <c r="E97" s="2488"/>
      <c r="F97" s="2488"/>
      <c r="G97" s="2489"/>
      <c r="H97" s="2488"/>
      <c r="I97" s="2489"/>
      <c r="J97" s="2488"/>
      <c r="K97" s="2488"/>
      <c r="L97" s="2489"/>
      <c r="M97" s="2488"/>
      <c r="N97" s="2488"/>
      <c r="O97" s="2489"/>
      <c r="P97" s="2488"/>
      <c r="Q97" s="2488"/>
      <c r="R97" s="2490"/>
    </row>
    <row r="98" spans="2:18" s="798" customFormat="1">
      <c r="B98" s="2488"/>
      <c r="C98" s="2488"/>
      <c r="D98" s="2488"/>
      <c r="E98" s="2488"/>
      <c r="F98" s="2488"/>
      <c r="G98" s="2489"/>
      <c r="H98" s="2488"/>
      <c r="I98" s="2489"/>
      <c r="J98" s="2488"/>
      <c r="K98" s="2488"/>
      <c r="L98" s="2489"/>
      <c r="M98" s="2488"/>
      <c r="N98" s="2488"/>
      <c r="O98" s="2489"/>
      <c r="P98" s="2488"/>
      <c r="Q98" s="2488"/>
      <c r="R98" s="2490"/>
    </row>
    <row r="99" spans="2:18" s="798" customFormat="1">
      <c r="B99" s="2488"/>
      <c r="C99" s="2488"/>
      <c r="D99" s="2488"/>
      <c r="E99" s="2488"/>
      <c r="F99" s="2488"/>
      <c r="G99" s="2489"/>
      <c r="H99" s="2488"/>
      <c r="I99" s="2489"/>
      <c r="J99" s="2488"/>
      <c r="K99" s="2488"/>
      <c r="L99" s="2489"/>
      <c r="M99" s="2488"/>
      <c r="N99" s="2488"/>
      <c r="O99" s="2489"/>
      <c r="P99" s="2488"/>
      <c r="Q99" s="2488"/>
      <c r="R99" s="2490"/>
    </row>
    <row r="100" spans="2:18" s="798" customFormat="1">
      <c r="B100" s="2488"/>
      <c r="C100" s="2488"/>
      <c r="D100" s="2488"/>
      <c r="E100" s="2488"/>
      <c r="F100" s="2488"/>
      <c r="G100" s="2489"/>
      <c r="H100" s="2488"/>
      <c r="I100" s="2489"/>
      <c r="J100" s="2488"/>
      <c r="K100" s="2488"/>
      <c r="L100" s="2489"/>
      <c r="M100" s="2488"/>
      <c r="N100" s="2488"/>
      <c r="O100" s="2489"/>
      <c r="P100" s="2488"/>
      <c r="Q100" s="2488"/>
      <c r="R100" s="2490"/>
    </row>
    <row r="101" spans="2:18" s="798" customFormat="1">
      <c r="B101" s="2488"/>
      <c r="C101" s="2488"/>
      <c r="D101" s="2488"/>
      <c r="E101" s="2488"/>
      <c r="F101" s="2488"/>
      <c r="G101" s="2489"/>
      <c r="H101" s="2488"/>
      <c r="I101" s="2489"/>
      <c r="J101" s="2488"/>
      <c r="K101" s="2488"/>
      <c r="L101" s="2489"/>
      <c r="M101" s="2488"/>
      <c r="N101" s="2488"/>
      <c r="O101" s="2489"/>
      <c r="P101" s="2488"/>
      <c r="Q101" s="2488"/>
      <c r="R101" s="2490"/>
    </row>
    <row r="102" spans="2:18" s="798" customFormat="1">
      <c r="B102" s="2488"/>
      <c r="C102" s="2488"/>
      <c r="D102" s="2488"/>
      <c r="E102" s="2488"/>
      <c r="F102" s="2488"/>
      <c r="G102" s="2489"/>
      <c r="H102" s="2488"/>
      <c r="I102" s="2489"/>
      <c r="J102" s="2488"/>
      <c r="K102" s="2488"/>
      <c r="L102" s="2489"/>
      <c r="M102" s="2488"/>
      <c r="N102" s="2488"/>
      <c r="O102" s="2489"/>
      <c r="P102" s="2488"/>
      <c r="Q102" s="2488"/>
      <c r="R102" s="2490"/>
    </row>
    <row r="103" spans="2:18" s="798" customFormat="1">
      <c r="B103" s="2488"/>
      <c r="C103" s="2488"/>
      <c r="D103" s="2488"/>
      <c r="E103" s="2488"/>
      <c r="F103" s="2488"/>
      <c r="G103" s="2489"/>
      <c r="H103" s="2488"/>
      <c r="I103" s="2489"/>
      <c r="J103" s="2488"/>
      <c r="K103" s="2488"/>
      <c r="L103" s="2489"/>
      <c r="M103" s="2488"/>
      <c r="N103" s="2488"/>
      <c r="O103" s="2489"/>
      <c r="P103" s="2488"/>
      <c r="Q103" s="2488"/>
      <c r="R103" s="2490"/>
    </row>
    <row r="104" spans="2:18" s="798" customFormat="1">
      <c r="B104" s="2488"/>
      <c r="C104" s="2488"/>
      <c r="D104" s="2488"/>
      <c r="E104" s="2488"/>
      <c r="F104" s="2488"/>
      <c r="G104" s="2489"/>
      <c r="H104" s="2488"/>
      <c r="I104" s="2489"/>
      <c r="J104" s="2488"/>
      <c r="K104" s="2488"/>
      <c r="L104" s="2489"/>
      <c r="M104" s="2488"/>
      <c r="N104" s="2488"/>
      <c r="O104" s="2489"/>
      <c r="P104" s="2488"/>
      <c r="Q104" s="2488"/>
      <c r="R104" s="2490"/>
    </row>
    <row r="105" spans="2:18" s="798" customFormat="1">
      <c r="B105" s="2488"/>
      <c r="C105" s="2488"/>
      <c r="D105" s="2488"/>
      <c r="E105" s="2488"/>
      <c r="F105" s="2488"/>
      <c r="G105" s="2489"/>
      <c r="H105" s="2488"/>
      <c r="I105" s="2489"/>
      <c r="J105" s="2488"/>
      <c r="K105" s="2488"/>
      <c r="L105" s="2489"/>
      <c r="M105" s="2488"/>
      <c r="N105" s="2488"/>
      <c r="O105" s="2489"/>
      <c r="P105" s="2488"/>
      <c r="Q105" s="2488"/>
      <c r="R105" s="2490"/>
    </row>
    <row r="106" spans="2:18" s="798" customFormat="1">
      <c r="B106" s="2488"/>
      <c r="C106" s="2488"/>
      <c r="D106" s="2488"/>
      <c r="E106" s="2488"/>
      <c r="F106" s="2488"/>
      <c r="G106" s="2489"/>
      <c r="H106" s="2488"/>
      <c r="I106" s="2489"/>
      <c r="J106" s="2488"/>
      <c r="K106" s="2488"/>
      <c r="L106" s="2489"/>
      <c r="M106" s="2488"/>
      <c r="N106" s="2488"/>
      <c r="O106" s="2489"/>
      <c r="P106" s="2488"/>
      <c r="Q106" s="2488"/>
      <c r="R106" s="2490"/>
    </row>
    <row r="107" spans="2:18" s="798" customFormat="1">
      <c r="B107" s="2488"/>
      <c r="C107" s="2488"/>
      <c r="D107" s="2488"/>
      <c r="E107" s="2488"/>
      <c r="F107" s="2488"/>
      <c r="G107" s="2489"/>
      <c r="H107" s="2488"/>
      <c r="I107" s="2489"/>
      <c r="J107" s="2488"/>
      <c r="K107" s="2488"/>
      <c r="L107" s="2489"/>
      <c r="M107" s="2488"/>
      <c r="N107" s="2488"/>
      <c r="O107" s="2489"/>
      <c r="P107" s="2488"/>
      <c r="Q107" s="2488"/>
      <c r="R107" s="2490"/>
    </row>
    <row r="108" spans="2:18" s="798" customFormat="1">
      <c r="B108" s="2488"/>
      <c r="C108" s="2488"/>
      <c r="D108" s="2488"/>
      <c r="E108" s="2488"/>
      <c r="F108" s="2488"/>
      <c r="G108" s="2489"/>
      <c r="H108" s="2488"/>
      <c r="I108" s="2489"/>
      <c r="J108" s="2488"/>
      <c r="K108" s="2488"/>
      <c r="L108" s="2489"/>
      <c r="M108" s="2488"/>
      <c r="N108" s="2488"/>
      <c r="O108" s="2489"/>
      <c r="P108" s="2488"/>
      <c r="Q108" s="2488"/>
      <c r="R108" s="2490"/>
    </row>
    <row r="109" spans="2:18" s="798" customFormat="1">
      <c r="B109" s="2488"/>
      <c r="C109" s="2488"/>
      <c r="D109" s="2488"/>
      <c r="E109" s="2488"/>
      <c r="F109" s="2488"/>
      <c r="G109" s="2489"/>
      <c r="H109" s="2488"/>
      <c r="I109" s="2489"/>
      <c r="J109" s="2488"/>
      <c r="K109" s="2488"/>
      <c r="L109" s="2489"/>
      <c r="M109" s="2488"/>
      <c r="N109" s="2488"/>
      <c r="O109" s="2489"/>
      <c r="P109" s="2488"/>
      <c r="Q109" s="2488"/>
      <c r="R109" s="2490"/>
    </row>
    <row r="110" spans="2:18" s="798" customFormat="1">
      <c r="B110" s="2488"/>
      <c r="C110" s="2488"/>
      <c r="D110" s="2488"/>
      <c r="E110" s="2488"/>
      <c r="F110" s="2488"/>
      <c r="G110" s="2489"/>
      <c r="H110" s="2488"/>
      <c r="I110" s="2489"/>
      <c r="J110" s="2488"/>
      <c r="K110" s="2488"/>
      <c r="L110" s="2489"/>
      <c r="M110" s="2488"/>
      <c r="N110" s="2488"/>
      <c r="O110" s="2489"/>
      <c r="P110" s="2488"/>
      <c r="Q110" s="2488"/>
      <c r="R110" s="2490"/>
    </row>
    <row r="111" spans="2:18" s="798" customFormat="1">
      <c r="B111" s="2488"/>
      <c r="C111" s="2488"/>
      <c r="D111" s="2488"/>
      <c r="E111" s="2488"/>
      <c r="F111" s="2488"/>
      <c r="G111" s="2489"/>
      <c r="H111" s="2488"/>
      <c r="I111" s="2489"/>
      <c r="J111" s="2488"/>
      <c r="K111" s="2488"/>
      <c r="L111" s="2489"/>
      <c r="M111" s="2488"/>
      <c r="N111" s="2488"/>
      <c r="O111" s="2489"/>
      <c r="P111" s="2488"/>
      <c r="Q111" s="2488"/>
      <c r="R111" s="2490"/>
    </row>
    <row r="112" spans="2:18" s="798" customFormat="1">
      <c r="B112" s="2488"/>
      <c r="C112" s="2488"/>
      <c r="D112" s="2488"/>
      <c r="E112" s="2488"/>
      <c r="F112" s="2488"/>
      <c r="G112" s="2489"/>
      <c r="H112" s="2488"/>
      <c r="I112" s="2489"/>
      <c r="J112" s="2488"/>
      <c r="K112" s="2488"/>
      <c r="L112" s="2489"/>
      <c r="M112" s="2488"/>
      <c r="N112" s="2488"/>
      <c r="O112" s="2489"/>
      <c r="P112" s="2488"/>
      <c r="Q112" s="2488"/>
      <c r="R112" s="2490"/>
    </row>
    <row r="113" spans="2:18" s="798" customFormat="1">
      <c r="B113" s="2488"/>
      <c r="C113" s="2488"/>
      <c r="D113" s="2488"/>
      <c r="E113" s="2488"/>
      <c r="F113" s="2488"/>
      <c r="G113" s="2489"/>
      <c r="H113" s="2488"/>
      <c r="I113" s="2489"/>
      <c r="J113" s="2488"/>
      <c r="K113" s="2488"/>
      <c r="L113" s="2489"/>
      <c r="M113" s="2488"/>
      <c r="N113" s="2488"/>
      <c r="O113" s="2489"/>
      <c r="P113" s="2488"/>
      <c r="Q113" s="2488"/>
      <c r="R113" s="2490"/>
    </row>
    <row r="114" spans="2:18" s="798" customFormat="1">
      <c r="B114" s="2488"/>
      <c r="C114" s="2488"/>
      <c r="D114" s="2488"/>
      <c r="E114" s="2488"/>
      <c r="F114" s="2488"/>
      <c r="G114" s="2489"/>
      <c r="H114" s="2488"/>
      <c r="I114" s="2489"/>
      <c r="J114" s="2488"/>
      <c r="K114" s="2488"/>
      <c r="L114" s="2489"/>
      <c r="M114" s="2488"/>
      <c r="N114" s="2488"/>
      <c r="O114" s="2489"/>
      <c r="P114" s="2488"/>
      <c r="Q114" s="2488"/>
      <c r="R114" s="2490"/>
    </row>
    <row r="115" spans="2:18" s="798" customFormat="1">
      <c r="B115" s="2488"/>
      <c r="C115" s="2488"/>
      <c r="D115" s="2488"/>
      <c r="E115" s="2488"/>
      <c r="F115" s="2488"/>
      <c r="G115" s="2489"/>
      <c r="H115" s="2488"/>
      <c r="I115" s="2489"/>
      <c r="J115" s="2488"/>
      <c r="K115" s="2488"/>
      <c r="L115" s="2489"/>
      <c r="M115" s="2488"/>
      <c r="N115" s="2488"/>
      <c r="O115" s="2489"/>
      <c r="P115" s="2488"/>
      <c r="Q115" s="2488"/>
      <c r="R115" s="2490"/>
    </row>
    <row r="116" spans="2:18" s="798" customFormat="1">
      <c r="B116" s="2488"/>
      <c r="C116" s="2488"/>
      <c r="D116" s="2488"/>
      <c r="E116" s="2488"/>
      <c r="F116" s="2488"/>
      <c r="G116" s="2489"/>
      <c r="H116" s="2488"/>
      <c r="I116" s="2489"/>
      <c r="J116" s="2488"/>
      <c r="K116" s="2488"/>
      <c r="L116" s="2489"/>
      <c r="M116" s="2488"/>
      <c r="N116" s="2488"/>
      <c r="O116" s="2489"/>
      <c r="P116" s="2488"/>
      <c r="Q116" s="2488"/>
      <c r="R116" s="2490"/>
    </row>
    <row r="117" spans="2:18" s="798" customFormat="1">
      <c r="B117" s="2488"/>
      <c r="C117" s="2488"/>
      <c r="D117" s="2488"/>
      <c r="E117" s="2488"/>
      <c r="F117" s="2488"/>
      <c r="G117" s="2489"/>
      <c r="H117" s="2488"/>
      <c r="I117" s="2489"/>
      <c r="J117" s="2488"/>
      <c r="K117" s="2488"/>
      <c r="L117" s="2489"/>
      <c r="M117" s="2488"/>
      <c r="N117" s="2488"/>
      <c r="O117" s="2489"/>
      <c r="P117" s="2488"/>
      <c r="Q117" s="2488"/>
      <c r="R117" s="2490"/>
    </row>
    <row r="118" spans="2:18" s="798" customFormat="1">
      <c r="B118" s="2488"/>
      <c r="C118" s="2488"/>
      <c r="D118" s="2488"/>
      <c r="E118" s="2488"/>
      <c r="F118" s="2488"/>
      <c r="G118" s="2489"/>
      <c r="H118" s="2488"/>
      <c r="I118" s="2489"/>
      <c r="J118" s="2488"/>
      <c r="K118" s="2488"/>
      <c r="L118" s="2489"/>
      <c r="M118" s="2488"/>
      <c r="N118" s="2488"/>
      <c r="O118" s="2489"/>
      <c r="P118" s="2488"/>
      <c r="Q118" s="2488"/>
      <c r="R118" s="2490"/>
    </row>
    <row r="119" spans="2:18" s="798" customFormat="1">
      <c r="B119" s="2488"/>
      <c r="C119" s="2488"/>
      <c r="D119" s="2488"/>
      <c r="E119" s="2488"/>
      <c r="F119" s="2488"/>
      <c r="G119" s="2489"/>
      <c r="H119" s="2488"/>
      <c r="I119" s="2489"/>
      <c r="J119" s="2488"/>
      <c r="K119" s="2488"/>
      <c r="L119" s="2489"/>
      <c r="M119" s="2488"/>
      <c r="N119" s="2488"/>
      <c r="O119" s="2489"/>
      <c r="P119" s="2488"/>
      <c r="Q119" s="2488"/>
      <c r="R119" s="2490"/>
    </row>
    <row r="120" spans="2:18" s="798" customFormat="1">
      <c r="B120" s="2488"/>
      <c r="C120" s="2488"/>
      <c r="D120" s="2488"/>
      <c r="E120" s="2488"/>
      <c r="F120" s="2488"/>
      <c r="G120" s="2489"/>
      <c r="H120" s="2488"/>
      <c r="I120" s="2489"/>
      <c r="J120" s="2488"/>
      <c r="K120" s="2488"/>
      <c r="L120" s="2489"/>
      <c r="M120" s="2488"/>
      <c r="N120" s="2488"/>
      <c r="O120" s="2489"/>
      <c r="P120" s="2488"/>
      <c r="Q120" s="2488"/>
      <c r="R120" s="2490"/>
    </row>
    <row r="121" spans="2:18" s="798" customFormat="1">
      <c r="B121" s="2488"/>
      <c r="C121" s="2488"/>
      <c r="D121" s="2488"/>
      <c r="E121" s="2488"/>
      <c r="F121" s="2488"/>
      <c r="G121" s="2489"/>
      <c r="H121" s="2488"/>
      <c r="I121" s="2489"/>
      <c r="J121" s="2488"/>
      <c r="K121" s="2488"/>
      <c r="L121" s="2489"/>
      <c r="M121" s="2488"/>
      <c r="N121" s="2488"/>
      <c r="O121" s="2489"/>
      <c r="P121" s="2488"/>
      <c r="Q121" s="2488"/>
      <c r="R121" s="2490"/>
    </row>
    <row r="122" spans="2:18" s="798" customFormat="1">
      <c r="B122" s="2488"/>
      <c r="C122" s="2488"/>
      <c r="D122" s="2488"/>
      <c r="E122" s="2488"/>
      <c r="F122" s="2488"/>
      <c r="G122" s="2489"/>
      <c r="H122" s="2488"/>
      <c r="I122" s="2489"/>
      <c r="J122" s="2488"/>
      <c r="K122" s="2488"/>
      <c r="L122" s="2489"/>
      <c r="M122" s="2488"/>
      <c r="N122" s="2488"/>
      <c r="O122" s="2489"/>
      <c r="P122" s="2488"/>
      <c r="Q122" s="2488"/>
      <c r="R122" s="2490"/>
    </row>
    <row r="123" spans="2:18" s="798" customFormat="1">
      <c r="B123" s="2488"/>
      <c r="C123" s="2488"/>
      <c r="D123" s="2488"/>
      <c r="E123" s="2488"/>
      <c r="F123" s="2488"/>
      <c r="G123" s="2489"/>
      <c r="H123" s="2488"/>
      <c r="I123" s="2489"/>
      <c r="J123" s="2488"/>
      <c r="K123" s="2488"/>
      <c r="L123" s="2489"/>
      <c r="M123" s="2488"/>
      <c r="N123" s="2488"/>
      <c r="O123" s="2489"/>
      <c r="P123" s="2488"/>
      <c r="Q123" s="2488"/>
      <c r="R123" s="2490"/>
    </row>
    <row r="124" spans="2:18" s="798" customFormat="1">
      <c r="B124" s="2488"/>
      <c r="C124" s="2488"/>
      <c r="D124" s="2488"/>
      <c r="E124" s="2488"/>
      <c r="F124" s="2488"/>
      <c r="G124" s="2489"/>
      <c r="H124" s="2488"/>
      <c r="I124" s="2489"/>
      <c r="J124" s="2488"/>
      <c r="K124" s="2488"/>
      <c r="L124" s="2489"/>
      <c r="M124" s="2488"/>
      <c r="N124" s="2488"/>
      <c r="O124" s="2489"/>
      <c r="P124" s="2488"/>
      <c r="Q124" s="2488"/>
      <c r="R124" s="2490"/>
    </row>
    <row r="125" spans="2:18" s="798" customFormat="1">
      <c r="B125" s="2488"/>
      <c r="C125" s="2488"/>
      <c r="D125" s="2488"/>
      <c r="E125" s="2488"/>
      <c r="F125" s="2488"/>
      <c r="G125" s="2489"/>
      <c r="H125" s="2488"/>
      <c r="I125" s="2489"/>
      <c r="J125" s="2488"/>
      <c r="K125" s="2488"/>
      <c r="L125" s="2489"/>
      <c r="M125" s="2488"/>
      <c r="N125" s="2488"/>
      <c r="O125" s="2489"/>
      <c r="P125" s="2488"/>
      <c r="Q125" s="2488"/>
      <c r="R125" s="2490"/>
    </row>
    <row r="126" spans="2:18" s="798" customFormat="1">
      <c r="B126" s="2488"/>
      <c r="C126" s="2488"/>
      <c r="D126" s="2488"/>
      <c r="E126" s="2488"/>
      <c r="F126" s="2488"/>
      <c r="G126" s="2489"/>
      <c r="H126" s="2488"/>
      <c r="I126" s="2489"/>
      <c r="J126" s="2488"/>
      <c r="K126" s="2488"/>
      <c r="L126" s="2489"/>
      <c r="M126" s="2488"/>
      <c r="N126" s="2488"/>
      <c r="O126" s="2489"/>
      <c r="P126" s="2488"/>
      <c r="Q126" s="2488"/>
      <c r="R126" s="2490"/>
    </row>
    <row r="127" spans="2:18" s="798" customFormat="1">
      <c r="B127" s="2488"/>
      <c r="C127" s="2488"/>
      <c r="D127" s="2488"/>
      <c r="E127" s="2488"/>
      <c r="F127" s="2488"/>
      <c r="G127" s="2489"/>
      <c r="H127" s="2488"/>
      <c r="I127" s="2489"/>
      <c r="J127" s="2488"/>
      <c r="K127" s="2488"/>
      <c r="L127" s="2489"/>
      <c r="M127" s="2488"/>
      <c r="N127" s="2488"/>
      <c r="O127" s="2489"/>
      <c r="P127" s="2488"/>
      <c r="Q127" s="2488"/>
      <c r="R127" s="2490"/>
    </row>
    <row r="128" spans="2:18" s="798" customFormat="1">
      <c r="B128" s="2488"/>
      <c r="C128" s="2488"/>
      <c r="D128" s="2488"/>
      <c r="E128" s="2488"/>
      <c r="F128" s="2488"/>
      <c r="G128" s="2489"/>
      <c r="H128" s="2488"/>
      <c r="I128" s="2489"/>
      <c r="J128" s="2488"/>
      <c r="K128" s="2488"/>
      <c r="L128" s="2489"/>
      <c r="M128" s="2488"/>
      <c r="N128" s="2488"/>
      <c r="O128" s="2489"/>
      <c r="P128" s="2488"/>
      <c r="Q128" s="2488"/>
      <c r="R128" s="2490"/>
    </row>
    <row r="129" spans="2:18" s="798" customFormat="1">
      <c r="B129" s="2488"/>
      <c r="C129" s="2488"/>
      <c r="D129" s="2488"/>
      <c r="E129" s="2488"/>
      <c r="F129" s="2488"/>
      <c r="G129" s="2489"/>
      <c r="H129" s="2488"/>
      <c r="I129" s="2489"/>
      <c r="J129" s="2488"/>
      <c r="K129" s="2488"/>
      <c r="L129" s="2489"/>
      <c r="M129" s="2488"/>
      <c r="N129" s="2488"/>
      <c r="O129" s="2489"/>
      <c r="P129" s="2488"/>
      <c r="Q129" s="2488"/>
      <c r="R129" s="2490"/>
    </row>
    <row r="130" spans="2:18" s="798" customFormat="1">
      <c r="B130" s="2488"/>
      <c r="C130" s="2488"/>
      <c r="D130" s="2488"/>
      <c r="E130" s="2488"/>
      <c r="F130" s="2488"/>
      <c r="G130" s="2489"/>
      <c r="H130" s="2488"/>
      <c r="I130" s="2489"/>
      <c r="J130" s="2488"/>
      <c r="K130" s="2488"/>
      <c r="L130" s="2489"/>
      <c r="M130" s="2488"/>
      <c r="N130" s="2488"/>
      <c r="O130" s="2489"/>
      <c r="P130" s="2488"/>
      <c r="Q130" s="2488"/>
      <c r="R130" s="2490"/>
    </row>
    <row r="131" spans="2:18" s="798" customFormat="1">
      <c r="B131" s="2488"/>
      <c r="C131" s="2488"/>
      <c r="D131" s="2488"/>
      <c r="E131" s="2488"/>
      <c r="F131" s="2488"/>
      <c r="G131" s="2489"/>
      <c r="H131" s="2488"/>
      <c r="I131" s="2489"/>
      <c r="J131" s="2488"/>
      <c r="K131" s="2488"/>
      <c r="L131" s="2489"/>
      <c r="M131" s="2488"/>
      <c r="N131" s="2488"/>
      <c r="O131" s="2489"/>
      <c r="P131" s="2488"/>
      <c r="Q131" s="2488"/>
      <c r="R131" s="2490"/>
    </row>
    <row r="132" spans="2:18" s="798" customFormat="1">
      <c r="B132" s="2488"/>
      <c r="C132" s="2488"/>
      <c r="D132" s="2488"/>
      <c r="E132" s="2488"/>
      <c r="F132" s="2488"/>
      <c r="G132" s="2489"/>
      <c r="H132" s="2488"/>
      <c r="I132" s="2489"/>
      <c r="J132" s="2488"/>
      <c r="K132" s="2488"/>
      <c r="L132" s="2489"/>
      <c r="M132" s="2488"/>
      <c r="N132" s="2488"/>
      <c r="O132" s="2489"/>
      <c r="P132" s="2488"/>
      <c r="Q132" s="2488"/>
      <c r="R132" s="2490"/>
    </row>
    <row r="133" spans="2:18" s="798" customFormat="1">
      <c r="B133" s="2488"/>
      <c r="C133" s="2488"/>
      <c r="D133" s="2488"/>
      <c r="E133" s="2488"/>
      <c r="F133" s="2488"/>
      <c r="G133" s="2489"/>
      <c r="H133" s="2488"/>
      <c r="I133" s="2489"/>
      <c r="J133" s="2488"/>
      <c r="K133" s="2488"/>
      <c r="L133" s="2489"/>
      <c r="M133" s="2488"/>
      <c r="N133" s="2488"/>
      <c r="O133" s="2489"/>
      <c r="P133" s="2488"/>
      <c r="Q133" s="2488"/>
      <c r="R133" s="2490"/>
    </row>
    <row r="134" spans="2:18" s="798" customFormat="1">
      <c r="B134" s="2488"/>
      <c r="C134" s="2488"/>
      <c r="D134" s="2488"/>
      <c r="E134" s="2488"/>
      <c r="F134" s="2488"/>
      <c r="G134" s="2489"/>
      <c r="H134" s="2488"/>
      <c r="I134" s="2489"/>
      <c r="J134" s="2488"/>
      <c r="K134" s="2488"/>
      <c r="L134" s="2489"/>
      <c r="M134" s="2488"/>
      <c r="N134" s="2488"/>
      <c r="O134" s="2489"/>
      <c r="P134" s="2488"/>
      <c r="Q134" s="2488"/>
      <c r="R134" s="2490"/>
    </row>
    <row r="135" spans="2:18" s="798" customFormat="1">
      <c r="B135" s="2488"/>
      <c r="C135" s="2488"/>
      <c r="D135" s="2488"/>
      <c r="E135" s="2488"/>
      <c r="F135" s="2488"/>
      <c r="G135" s="2489"/>
      <c r="H135" s="2488"/>
      <c r="I135" s="2489"/>
      <c r="J135" s="2488"/>
      <c r="K135" s="2488"/>
      <c r="L135" s="2489"/>
      <c r="M135" s="2488"/>
      <c r="N135" s="2488"/>
      <c r="O135" s="2489"/>
      <c r="P135" s="2488"/>
      <c r="Q135" s="2488"/>
      <c r="R135" s="2490"/>
    </row>
    <row r="136" spans="2:18" s="798" customFormat="1">
      <c r="B136" s="2488"/>
      <c r="C136" s="2488"/>
      <c r="D136" s="2488"/>
      <c r="E136" s="2488"/>
      <c r="F136" s="2488"/>
      <c r="G136" s="2489"/>
      <c r="H136" s="2488"/>
      <c r="I136" s="2489"/>
      <c r="J136" s="2488"/>
      <c r="K136" s="2488"/>
      <c r="L136" s="2489"/>
      <c r="M136" s="2488"/>
      <c r="N136" s="2488"/>
      <c r="O136" s="2489"/>
      <c r="P136" s="2488"/>
      <c r="Q136" s="2488"/>
      <c r="R136" s="2490"/>
    </row>
    <row r="137" spans="2:18" s="798" customFormat="1">
      <c r="B137" s="2488"/>
      <c r="C137" s="2488"/>
      <c r="D137" s="2488"/>
      <c r="E137" s="2488"/>
      <c r="F137" s="2488"/>
      <c r="G137" s="2489"/>
      <c r="H137" s="2488"/>
      <c r="I137" s="2489"/>
      <c r="J137" s="2488"/>
      <c r="K137" s="2488"/>
      <c r="L137" s="2489"/>
      <c r="M137" s="2488"/>
      <c r="N137" s="2488"/>
      <c r="O137" s="2489"/>
      <c r="P137" s="2488"/>
      <c r="Q137" s="2488"/>
      <c r="R137" s="2490"/>
    </row>
    <row r="138" spans="2:18" s="798" customFormat="1">
      <c r="B138" s="2488"/>
      <c r="C138" s="2488"/>
      <c r="D138" s="2488"/>
      <c r="E138" s="2488"/>
      <c r="F138" s="2488"/>
      <c r="G138" s="2489"/>
      <c r="H138" s="2488"/>
      <c r="I138" s="2489"/>
      <c r="J138" s="2488"/>
      <c r="K138" s="2488"/>
      <c r="L138" s="2489"/>
      <c r="M138" s="2488"/>
      <c r="N138" s="2488"/>
      <c r="O138" s="2489"/>
      <c r="P138" s="2488"/>
      <c r="Q138" s="2488"/>
      <c r="R138" s="2490"/>
    </row>
    <row r="139" spans="2:18" s="798" customFormat="1">
      <c r="B139" s="2488"/>
      <c r="C139" s="2488"/>
      <c r="D139" s="2488"/>
      <c r="E139" s="2488"/>
      <c r="F139" s="2488"/>
      <c r="G139" s="2489"/>
      <c r="H139" s="2488"/>
      <c r="I139" s="2489"/>
      <c r="J139" s="2488"/>
      <c r="K139" s="2488"/>
      <c r="L139" s="2489"/>
      <c r="M139" s="2488"/>
      <c r="N139" s="2488"/>
      <c r="O139" s="2489"/>
      <c r="P139" s="2488"/>
      <c r="Q139" s="2488"/>
      <c r="R139" s="2490"/>
    </row>
    <row r="140" spans="2:18" s="798" customFormat="1">
      <c r="B140" s="2488"/>
      <c r="C140" s="2488"/>
      <c r="D140" s="2488"/>
      <c r="E140" s="2488"/>
      <c r="F140" s="2488"/>
      <c r="G140" s="2489"/>
      <c r="H140" s="2488"/>
      <c r="I140" s="2489"/>
      <c r="J140" s="2488"/>
      <c r="K140" s="2488"/>
      <c r="L140" s="2489"/>
      <c r="M140" s="2488"/>
      <c r="N140" s="2488"/>
      <c r="O140" s="2489"/>
      <c r="P140" s="2488"/>
      <c r="Q140" s="2488"/>
      <c r="R140" s="2490"/>
    </row>
    <row r="141" spans="2:18" s="798" customFormat="1">
      <c r="B141" s="2488"/>
      <c r="C141" s="2488"/>
      <c r="D141" s="2488"/>
      <c r="E141" s="2488"/>
      <c r="F141" s="2488"/>
      <c r="G141" s="2489"/>
      <c r="H141" s="2488"/>
      <c r="I141" s="2489"/>
      <c r="J141" s="2488"/>
      <c r="K141" s="2488"/>
      <c r="L141" s="2489"/>
      <c r="M141" s="2488"/>
      <c r="N141" s="2488"/>
      <c r="O141" s="2489"/>
      <c r="P141" s="2488"/>
      <c r="Q141" s="2488"/>
      <c r="R141" s="2490"/>
    </row>
    <row r="142" spans="2:18" s="798" customFormat="1">
      <c r="B142" s="2488"/>
      <c r="C142" s="2488"/>
      <c r="D142" s="2488"/>
      <c r="E142" s="2488"/>
      <c r="F142" s="2488"/>
      <c r="G142" s="2489"/>
      <c r="H142" s="2488"/>
      <c r="I142" s="2489"/>
      <c r="J142" s="2488"/>
      <c r="K142" s="2488"/>
      <c r="L142" s="2489"/>
      <c r="M142" s="2488"/>
      <c r="N142" s="2488"/>
      <c r="O142" s="2489"/>
      <c r="P142" s="2488"/>
      <c r="Q142" s="2488"/>
      <c r="R142" s="2490"/>
    </row>
    <row r="143" spans="2:18" s="798" customFormat="1">
      <c r="B143" s="2488"/>
      <c r="C143" s="2488"/>
      <c r="D143" s="2488"/>
      <c r="E143" s="2488"/>
      <c r="F143" s="2488"/>
      <c r="G143" s="2489"/>
      <c r="H143" s="2488"/>
      <c r="I143" s="2489"/>
      <c r="J143" s="2488"/>
      <c r="K143" s="2488"/>
      <c r="L143" s="2489"/>
      <c r="M143" s="2488"/>
      <c r="N143" s="2488"/>
      <c r="O143" s="2489"/>
      <c r="P143" s="2488"/>
      <c r="Q143" s="2488"/>
      <c r="R143" s="2490"/>
    </row>
    <row r="144" spans="2:18" s="798" customFormat="1">
      <c r="B144" s="2488"/>
      <c r="C144" s="2488"/>
      <c r="D144" s="2488"/>
      <c r="E144" s="2488"/>
      <c r="F144" s="2488"/>
      <c r="G144" s="2489"/>
      <c r="H144" s="2488"/>
      <c r="I144" s="2489"/>
      <c r="J144" s="2488"/>
      <c r="K144" s="2488"/>
      <c r="L144" s="2489"/>
      <c r="M144" s="2488"/>
      <c r="N144" s="2488"/>
      <c r="O144" s="2489"/>
      <c r="P144" s="2488"/>
      <c r="Q144" s="2488"/>
      <c r="R144" s="2490"/>
    </row>
    <row r="145" spans="2:18" s="798" customFormat="1">
      <c r="B145" s="2488"/>
      <c r="C145" s="2488"/>
      <c r="D145" s="2488"/>
      <c r="E145" s="2488"/>
      <c r="F145" s="2488"/>
      <c r="G145" s="2489"/>
      <c r="H145" s="2488"/>
      <c r="I145" s="2489"/>
      <c r="J145" s="2488"/>
      <c r="K145" s="2488"/>
      <c r="L145" s="2489"/>
      <c r="M145" s="2488"/>
      <c r="N145" s="2488"/>
      <c r="O145" s="2489"/>
      <c r="P145" s="2488"/>
      <c r="Q145" s="2488"/>
      <c r="R145" s="2490"/>
    </row>
    <row r="146" spans="2:18" s="798" customFormat="1">
      <c r="B146" s="2488"/>
      <c r="C146" s="2488"/>
      <c r="D146" s="2488"/>
      <c r="E146" s="2488"/>
      <c r="F146" s="2488"/>
      <c r="G146" s="2489"/>
      <c r="H146" s="2488"/>
      <c r="I146" s="2489"/>
      <c r="J146" s="2488"/>
      <c r="K146" s="2488"/>
      <c r="L146" s="2489"/>
      <c r="M146" s="2488"/>
      <c r="N146" s="2488"/>
      <c r="O146" s="2489"/>
      <c r="P146" s="2488"/>
      <c r="Q146" s="2488"/>
      <c r="R146" s="2490"/>
    </row>
    <row r="147" spans="2:18" s="798" customFormat="1">
      <c r="B147" s="2488"/>
      <c r="C147" s="2488"/>
      <c r="D147" s="2488"/>
      <c r="E147" s="2488"/>
      <c r="F147" s="2488"/>
      <c r="G147" s="2489"/>
      <c r="H147" s="2488"/>
      <c r="I147" s="2489"/>
      <c r="J147" s="2488"/>
      <c r="K147" s="2488"/>
      <c r="L147" s="2489"/>
      <c r="M147" s="2488"/>
      <c r="N147" s="2488"/>
      <c r="O147" s="2489"/>
      <c r="P147" s="2488"/>
      <c r="Q147" s="2488"/>
      <c r="R147" s="2490"/>
    </row>
    <row r="148" spans="2:18" s="798" customFormat="1">
      <c r="B148" s="2488"/>
      <c r="C148" s="2488"/>
      <c r="D148" s="2488"/>
      <c r="E148" s="2488"/>
      <c r="F148" s="2488"/>
      <c r="G148" s="2489"/>
      <c r="H148" s="2488"/>
      <c r="I148" s="2489"/>
      <c r="J148" s="2488"/>
      <c r="K148" s="2488"/>
      <c r="L148" s="2489"/>
      <c r="M148" s="2488"/>
      <c r="N148" s="2488"/>
      <c r="O148" s="2489"/>
      <c r="P148" s="2488"/>
      <c r="Q148" s="2488"/>
      <c r="R148" s="2490"/>
    </row>
    <row r="149" spans="2:18" s="798" customFormat="1">
      <c r="B149" s="2488"/>
      <c r="C149" s="2488"/>
      <c r="D149" s="2488"/>
      <c r="E149" s="2488"/>
      <c r="F149" s="2488"/>
      <c r="G149" s="2489"/>
      <c r="H149" s="2488"/>
      <c r="I149" s="2489"/>
      <c r="J149" s="2488"/>
      <c r="K149" s="2488"/>
      <c r="L149" s="2489"/>
      <c r="M149" s="2488"/>
      <c r="N149" s="2488"/>
      <c r="O149" s="2489"/>
      <c r="P149" s="2488"/>
      <c r="Q149" s="2488"/>
      <c r="R149" s="2490"/>
    </row>
    <row r="150" spans="2:18" s="798" customFormat="1">
      <c r="B150" s="2488"/>
      <c r="C150" s="2488"/>
      <c r="D150" s="2488"/>
      <c r="E150" s="2488"/>
      <c r="F150" s="2488"/>
      <c r="G150" s="2489"/>
      <c r="H150" s="2488"/>
      <c r="I150" s="2489"/>
      <c r="J150" s="2488"/>
      <c r="K150" s="2488"/>
      <c r="L150" s="2489"/>
      <c r="M150" s="2488"/>
      <c r="N150" s="2488"/>
      <c r="O150" s="2489"/>
      <c r="P150" s="2488"/>
      <c r="Q150" s="2488"/>
      <c r="R150" s="2490"/>
    </row>
    <row r="151" spans="2:18" s="798" customFormat="1">
      <c r="B151" s="2488"/>
      <c r="C151" s="2488"/>
      <c r="D151" s="2488"/>
      <c r="E151" s="2488"/>
      <c r="F151" s="2488"/>
      <c r="G151" s="2489"/>
      <c r="H151" s="2488"/>
      <c r="I151" s="2489"/>
      <c r="J151" s="2488"/>
      <c r="K151" s="2488"/>
      <c r="L151" s="2489"/>
      <c r="M151" s="2488"/>
      <c r="N151" s="2488"/>
      <c r="O151" s="2489"/>
      <c r="P151" s="2488"/>
      <c r="Q151" s="2488"/>
      <c r="R151" s="2490"/>
    </row>
    <row r="152" spans="2:18" s="798" customFormat="1">
      <c r="B152" s="2488"/>
      <c r="C152" s="2488"/>
      <c r="D152" s="2488"/>
      <c r="E152" s="2488"/>
      <c r="F152" s="2488"/>
      <c r="G152" s="2489"/>
      <c r="H152" s="2488"/>
      <c r="I152" s="2489"/>
      <c r="J152" s="2488"/>
      <c r="K152" s="2488"/>
      <c r="L152" s="2489"/>
      <c r="M152" s="2488"/>
      <c r="N152" s="2488"/>
      <c r="O152" s="2489"/>
      <c r="P152" s="2488"/>
      <c r="Q152" s="2488"/>
      <c r="R152" s="2490"/>
    </row>
    <row r="153" spans="2:18" s="798" customFormat="1">
      <c r="B153" s="2488"/>
      <c r="C153" s="2488"/>
      <c r="D153" s="2488"/>
      <c r="E153" s="2488"/>
      <c r="F153" s="2488"/>
      <c r="G153" s="2489"/>
      <c r="H153" s="2488"/>
      <c r="I153" s="2489"/>
      <c r="J153" s="2488"/>
      <c r="K153" s="2488"/>
      <c r="L153" s="2489"/>
      <c r="M153" s="2488"/>
      <c r="N153" s="2488"/>
      <c r="O153" s="2489"/>
      <c r="P153" s="2488"/>
      <c r="Q153" s="2488"/>
      <c r="R153" s="2490"/>
    </row>
    <row r="154" spans="2:18" s="798" customFormat="1">
      <c r="B154" s="2488"/>
      <c r="C154" s="2488"/>
      <c r="D154" s="2488"/>
      <c r="E154" s="2488"/>
      <c r="F154" s="2488"/>
      <c r="G154" s="2489"/>
      <c r="H154" s="2488"/>
      <c r="I154" s="2489"/>
      <c r="J154" s="2488"/>
      <c r="K154" s="2488"/>
      <c r="L154" s="2489"/>
      <c r="M154" s="2488"/>
      <c r="N154" s="2488"/>
      <c r="O154" s="2489"/>
      <c r="P154" s="2488"/>
      <c r="Q154" s="2488"/>
      <c r="R154" s="2490"/>
    </row>
    <row r="155" spans="2:18" s="798" customFormat="1">
      <c r="B155" s="2488"/>
      <c r="C155" s="2488"/>
      <c r="D155" s="2488"/>
      <c r="E155" s="2488"/>
      <c r="F155" s="2488"/>
      <c r="G155" s="2489"/>
      <c r="H155" s="2488"/>
      <c r="I155" s="2489"/>
      <c r="J155" s="2488"/>
      <c r="K155" s="2488"/>
      <c r="L155" s="2489"/>
      <c r="M155" s="2488"/>
      <c r="N155" s="2488"/>
      <c r="O155" s="2489"/>
      <c r="P155" s="2488"/>
      <c r="Q155" s="2488"/>
      <c r="R155" s="2490"/>
    </row>
    <row r="156" spans="2:18" s="798" customFormat="1">
      <c r="B156" s="2488"/>
      <c r="C156" s="2488"/>
      <c r="D156" s="2488"/>
      <c r="E156" s="2488"/>
      <c r="F156" s="2488"/>
      <c r="G156" s="2489"/>
      <c r="H156" s="2488"/>
      <c r="I156" s="2489"/>
      <c r="J156" s="2488"/>
      <c r="K156" s="2488"/>
      <c r="L156" s="2489"/>
      <c r="M156" s="2488"/>
      <c r="N156" s="2488"/>
      <c r="O156" s="2489"/>
      <c r="P156" s="2488"/>
      <c r="Q156" s="2488"/>
      <c r="R156" s="2490"/>
    </row>
    <row r="157" spans="2:18" s="798" customFormat="1">
      <c r="B157" s="2488"/>
      <c r="C157" s="2488"/>
      <c r="D157" s="2488"/>
      <c r="E157" s="2488"/>
      <c r="F157" s="2488"/>
      <c r="G157" s="2489"/>
      <c r="H157" s="2488"/>
      <c r="I157" s="2489"/>
      <c r="J157" s="2488"/>
      <c r="K157" s="2488"/>
      <c r="L157" s="2489"/>
      <c r="M157" s="2488"/>
      <c r="N157" s="2488"/>
      <c r="O157" s="2489"/>
      <c r="P157" s="2488"/>
      <c r="Q157" s="2488"/>
      <c r="R157" s="2490"/>
    </row>
    <row r="158" spans="2:18" s="798" customFormat="1">
      <c r="B158" s="2488"/>
      <c r="C158" s="2488"/>
      <c r="D158" s="2488"/>
      <c r="E158" s="2488"/>
      <c r="F158" s="2488"/>
      <c r="G158" s="2489"/>
      <c r="H158" s="2488"/>
      <c r="I158" s="2489"/>
      <c r="J158" s="2488"/>
      <c r="K158" s="2488"/>
      <c r="L158" s="2489"/>
      <c r="M158" s="2488"/>
      <c r="N158" s="2488"/>
      <c r="O158" s="2489"/>
      <c r="P158" s="2488"/>
      <c r="Q158" s="2488"/>
      <c r="R158" s="2490"/>
    </row>
    <row r="159" spans="2:18" s="798" customFormat="1">
      <c r="B159" s="2488"/>
      <c r="C159" s="2488"/>
      <c r="D159" s="2488"/>
      <c r="E159" s="2488"/>
      <c r="F159" s="2488"/>
      <c r="G159" s="2489"/>
      <c r="H159" s="2488"/>
      <c r="I159" s="2489"/>
      <c r="J159" s="2488"/>
      <c r="K159" s="2488"/>
      <c r="L159" s="2489"/>
      <c r="M159" s="2488"/>
      <c r="N159" s="2488"/>
      <c r="O159" s="2489"/>
      <c r="P159" s="2488"/>
      <c r="Q159" s="2488"/>
      <c r="R159" s="2490"/>
    </row>
    <row r="160" spans="2:18" s="798" customFormat="1">
      <c r="B160" s="2488"/>
      <c r="C160" s="2488"/>
      <c r="D160" s="2488"/>
      <c r="E160" s="2488"/>
      <c r="F160" s="2488"/>
      <c r="G160" s="2489"/>
      <c r="H160" s="2488"/>
      <c r="I160" s="2489"/>
      <c r="J160" s="2488"/>
      <c r="K160" s="2488"/>
      <c r="L160" s="2489"/>
      <c r="M160" s="2488"/>
      <c r="N160" s="2488"/>
      <c r="O160" s="2489"/>
      <c r="P160" s="2488"/>
      <c r="Q160" s="2488"/>
      <c r="R160" s="2490"/>
    </row>
    <row r="161" spans="2:18" s="798" customFormat="1">
      <c r="B161" s="2488"/>
      <c r="C161" s="2488"/>
      <c r="D161" s="2488"/>
      <c r="E161" s="2488"/>
      <c r="F161" s="2488"/>
      <c r="G161" s="2489"/>
      <c r="H161" s="2488"/>
      <c r="I161" s="2489"/>
      <c r="J161" s="2488"/>
      <c r="K161" s="2488"/>
      <c r="L161" s="2489"/>
      <c r="M161" s="2488"/>
      <c r="N161" s="2488"/>
      <c r="O161" s="2489"/>
      <c r="P161" s="2488"/>
      <c r="Q161" s="2488"/>
      <c r="R161" s="2490"/>
    </row>
    <row r="162" spans="2:18" s="798" customFormat="1">
      <c r="B162" s="2488"/>
      <c r="C162" s="2488"/>
      <c r="D162" s="2488"/>
      <c r="E162" s="2488"/>
      <c r="F162" s="2488"/>
      <c r="G162" s="2489"/>
      <c r="H162" s="2488"/>
      <c r="I162" s="2489"/>
      <c r="J162" s="2488"/>
      <c r="K162" s="2488"/>
      <c r="L162" s="2489"/>
      <c r="M162" s="2488"/>
      <c r="N162" s="2488"/>
      <c r="O162" s="2489"/>
      <c r="P162" s="2488"/>
      <c r="Q162" s="2488"/>
      <c r="R162" s="2490"/>
    </row>
    <row r="163" spans="2:18" s="798" customFormat="1">
      <c r="B163" s="2488"/>
      <c r="C163" s="2488"/>
      <c r="D163" s="2488"/>
      <c r="E163" s="2488"/>
      <c r="F163" s="2488"/>
      <c r="G163" s="2489"/>
      <c r="H163" s="2488"/>
      <c r="I163" s="2489"/>
      <c r="J163" s="2488"/>
      <c r="K163" s="2488"/>
      <c r="L163" s="2489"/>
      <c r="M163" s="2488"/>
      <c r="N163" s="2488"/>
      <c r="O163" s="2489"/>
      <c r="P163" s="2488"/>
      <c r="Q163" s="2488"/>
      <c r="R163" s="2490"/>
    </row>
    <row r="164" spans="2:18" s="798" customFormat="1">
      <c r="B164" s="2488"/>
      <c r="C164" s="2488"/>
      <c r="D164" s="2488"/>
      <c r="E164" s="2488"/>
      <c r="F164" s="2488"/>
      <c r="G164" s="2489"/>
      <c r="H164" s="2488"/>
      <c r="I164" s="2489"/>
      <c r="J164" s="2488"/>
      <c r="K164" s="2488"/>
      <c r="L164" s="2489"/>
      <c r="M164" s="2488"/>
      <c r="N164" s="2488"/>
      <c r="O164" s="2489"/>
      <c r="P164" s="2488"/>
      <c r="Q164" s="2488"/>
      <c r="R164" s="2490"/>
    </row>
    <row r="165" spans="2:18" s="798" customFormat="1">
      <c r="B165" s="2488"/>
      <c r="C165" s="2488"/>
      <c r="D165" s="2488"/>
      <c r="E165" s="2488"/>
      <c r="F165" s="2488"/>
      <c r="G165" s="2489"/>
      <c r="H165" s="2488"/>
      <c r="I165" s="2489"/>
      <c r="J165" s="2488"/>
      <c r="K165" s="2488"/>
      <c r="L165" s="2489"/>
      <c r="M165" s="2488"/>
      <c r="N165" s="2488"/>
      <c r="O165" s="2489"/>
      <c r="P165" s="2488"/>
      <c r="Q165" s="2488"/>
      <c r="R165" s="2490"/>
    </row>
    <row r="166" spans="2:18" s="798" customFormat="1">
      <c r="B166" s="2488"/>
      <c r="C166" s="2488"/>
      <c r="D166" s="2488"/>
      <c r="E166" s="2488"/>
      <c r="F166" s="2488"/>
      <c r="G166" s="2489"/>
      <c r="H166" s="2488"/>
      <c r="I166" s="2489"/>
      <c r="J166" s="2488"/>
      <c r="K166" s="2488"/>
      <c r="L166" s="2489"/>
      <c r="M166" s="2488"/>
      <c r="N166" s="2488"/>
      <c r="O166" s="2489"/>
      <c r="P166" s="2488"/>
      <c r="Q166" s="2488"/>
      <c r="R166" s="2490"/>
    </row>
    <row r="167" spans="2:18" s="798" customFormat="1">
      <c r="B167" s="2488"/>
      <c r="C167" s="2488"/>
      <c r="D167" s="2488"/>
      <c r="E167" s="2488"/>
      <c r="F167" s="2488"/>
      <c r="G167" s="2489"/>
      <c r="H167" s="2488"/>
      <c r="I167" s="2489"/>
      <c r="J167" s="2488"/>
      <c r="K167" s="2488"/>
      <c r="L167" s="2489"/>
      <c r="M167" s="2488"/>
      <c r="N167" s="2488"/>
      <c r="O167" s="2489"/>
      <c r="P167" s="2488"/>
      <c r="Q167" s="2488"/>
      <c r="R167" s="2490"/>
    </row>
    <row r="168" spans="2:18" s="798" customFormat="1">
      <c r="B168" s="2488"/>
      <c r="C168" s="2488"/>
      <c r="D168" s="2488"/>
      <c r="E168" s="2488"/>
      <c r="F168" s="2488"/>
      <c r="G168" s="2489"/>
      <c r="H168" s="2488"/>
      <c r="I168" s="2489"/>
      <c r="J168" s="2488"/>
      <c r="K168" s="2488"/>
      <c r="L168" s="2489"/>
      <c r="M168" s="2488"/>
      <c r="N168" s="2488"/>
      <c r="O168" s="2489"/>
      <c r="P168" s="2488"/>
      <c r="Q168" s="2488"/>
      <c r="R168" s="2490"/>
    </row>
    <row r="169" spans="2:18" s="798" customFormat="1">
      <c r="B169" s="2488"/>
      <c r="C169" s="2488"/>
      <c r="D169" s="2488"/>
      <c r="E169" s="2488"/>
      <c r="F169" s="2488"/>
      <c r="G169" s="2489"/>
      <c r="H169" s="2488"/>
      <c r="I169" s="2489"/>
      <c r="J169" s="2488"/>
      <c r="K169" s="2488"/>
      <c r="L169" s="2489"/>
      <c r="M169" s="2488"/>
      <c r="N169" s="2488"/>
      <c r="O169" s="2489"/>
      <c r="P169" s="2488"/>
      <c r="Q169" s="2488"/>
      <c r="R169" s="2490"/>
    </row>
    <row r="170" spans="2:18" s="798" customFormat="1">
      <c r="B170" s="2488"/>
      <c r="C170" s="2488"/>
      <c r="D170" s="2488"/>
      <c r="E170" s="2488"/>
      <c r="F170" s="2488"/>
      <c r="G170" s="2489"/>
      <c r="H170" s="2488"/>
      <c r="I170" s="2489"/>
      <c r="J170" s="2488"/>
      <c r="K170" s="2488"/>
      <c r="L170" s="2489"/>
      <c r="M170" s="2488"/>
      <c r="N170" s="2488"/>
      <c r="O170" s="2489"/>
      <c r="P170" s="2488"/>
      <c r="Q170" s="2488"/>
      <c r="R170" s="2490"/>
    </row>
    <row r="171" spans="2:18" s="798" customFormat="1">
      <c r="B171" s="2488"/>
      <c r="C171" s="2488"/>
      <c r="D171" s="2488"/>
      <c r="E171" s="2488"/>
      <c r="F171" s="2488"/>
      <c r="G171" s="2489"/>
      <c r="H171" s="2488"/>
      <c r="I171" s="2489"/>
      <c r="J171" s="2488"/>
      <c r="K171" s="2488"/>
      <c r="L171" s="2489"/>
      <c r="M171" s="2488"/>
      <c r="N171" s="2488"/>
      <c r="O171" s="2489"/>
      <c r="P171" s="2488"/>
      <c r="Q171" s="2488"/>
      <c r="R171" s="2490"/>
    </row>
    <row r="172" spans="2:18" s="798" customFormat="1">
      <c r="B172" s="2488"/>
      <c r="C172" s="2488"/>
      <c r="D172" s="2488"/>
      <c r="E172" s="2488"/>
      <c r="F172" s="2488"/>
      <c r="G172" s="2489"/>
      <c r="H172" s="2488"/>
      <c r="I172" s="2489"/>
      <c r="J172" s="2488"/>
      <c r="K172" s="2488"/>
      <c r="L172" s="2489"/>
      <c r="M172" s="2488"/>
      <c r="N172" s="2488"/>
      <c r="O172" s="2489"/>
      <c r="P172" s="2488"/>
      <c r="Q172" s="2488"/>
      <c r="R172" s="2490"/>
    </row>
    <row r="173" spans="2:18" s="798" customFormat="1">
      <c r="B173" s="2488"/>
      <c r="C173" s="2488"/>
      <c r="D173" s="2488"/>
      <c r="E173" s="2488"/>
      <c r="F173" s="2488"/>
      <c r="G173" s="2489"/>
      <c r="H173" s="2488"/>
      <c r="I173" s="2489"/>
      <c r="J173" s="2488"/>
      <c r="K173" s="2488"/>
      <c r="L173" s="2489"/>
      <c r="M173" s="2488"/>
      <c r="N173" s="2488"/>
      <c r="O173" s="2489"/>
      <c r="P173" s="2488"/>
      <c r="Q173" s="2488"/>
      <c r="R173" s="2490"/>
    </row>
    <row r="174" spans="2:18" s="798" customFormat="1">
      <c r="B174" s="2488"/>
      <c r="C174" s="2488"/>
      <c r="D174" s="2488"/>
      <c r="E174" s="2488"/>
      <c r="F174" s="2488"/>
      <c r="G174" s="2489"/>
      <c r="H174" s="2488"/>
      <c r="I174" s="2489"/>
      <c r="J174" s="2488"/>
      <c r="K174" s="2488"/>
      <c r="L174" s="2489"/>
      <c r="M174" s="2488"/>
      <c r="N174" s="2488"/>
      <c r="O174" s="2489"/>
      <c r="P174" s="2488"/>
      <c r="Q174" s="2488"/>
      <c r="R174" s="2490"/>
    </row>
    <row r="175" spans="2:18" s="798" customFormat="1">
      <c r="B175" s="2488"/>
      <c r="C175" s="2488"/>
      <c r="D175" s="2488"/>
      <c r="E175" s="2488"/>
      <c r="F175" s="2488"/>
      <c r="G175" s="2489"/>
      <c r="H175" s="2488"/>
      <c r="I175" s="2489"/>
      <c r="J175" s="2488"/>
      <c r="K175" s="2488"/>
      <c r="L175" s="2489"/>
      <c r="M175" s="2488"/>
      <c r="N175" s="2488"/>
      <c r="O175" s="2489"/>
      <c r="P175" s="2488"/>
      <c r="Q175" s="2488"/>
      <c r="R175" s="2490"/>
    </row>
    <row r="176" spans="2:18" s="798" customFormat="1">
      <c r="B176" s="2488"/>
      <c r="C176" s="2488"/>
      <c r="D176" s="2488"/>
      <c r="E176" s="2488"/>
      <c r="F176" s="2488"/>
      <c r="G176" s="2489"/>
      <c r="H176" s="2488"/>
      <c r="I176" s="2489"/>
      <c r="J176" s="2488"/>
      <c r="K176" s="2488"/>
      <c r="L176" s="2489"/>
      <c r="M176" s="2488"/>
      <c r="N176" s="2488"/>
      <c r="O176" s="2489"/>
      <c r="P176" s="2488"/>
      <c r="Q176" s="2488"/>
      <c r="R176" s="2490"/>
    </row>
    <row r="177" spans="1:18" s="798" customFormat="1">
      <c r="B177" s="2488"/>
      <c r="C177" s="2488"/>
      <c r="D177" s="2488"/>
      <c r="E177" s="2488"/>
      <c r="F177" s="2488"/>
      <c r="G177" s="2489"/>
      <c r="H177" s="2488"/>
      <c r="I177" s="2489"/>
      <c r="J177" s="2488"/>
      <c r="K177" s="2488"/>
      <c r="L177" s="2489"/>
      <c r="M177" s="2488"/>
      <c r="N177" s="2488"/>
      <c r="O177" s="2489"/>
      <c r="P177" s="2488"/>
      <c r="Q177" s="2488"/>
      <c r="R177" s="2490"/>
    </row>
    <row r="178" spans="1:18" s="798" customFormat="1">
      <c r="B178" s="2488"/>
      <c r="C178" s="2488"/>
      <c r="D178" s="2488"/>
      <c r="E178" s="2488"/>
      <c r="F178" s="2488"/>
      <c r="G178" s="2489"/>
      <c r="H178" s="2488"/>
      <c r="I178" s="2489"/>
      <c r="J178" s="2488"/>
      <c r="K178" s="2488"/>
      <c r="L178" s="2489"/>
      <c r="M178" s="2488"/>
      <c r="N178" s="2488"/>
      <c r="O178" s="2489"/>
      <c r="P178" s="2488"/>
      <c r="Q178" s="2488"/>
      <c r="R178" s="2490"/>
    </row>
    <row r="179" spans="1:18" s="798" customFormat="1">
      <c r="B179" s="2488"/>
      <c r="C179" s="2488"/>
      <c r="D179" s="2488"/>
      <c r="E179" s="2488"/>
      <c r="F179" s="2488"/>
      <c r="G179" s="2489"/>
      <c r="H179" s="2488"/>
      <c r="I179" s="2489"/>
      <c r="J179" s="2488"/>
      <c r="K179" s="2488"/>
      <c r="L179" s="2489"/>
      <c r="M179" s="2488"/>
      <c r="N179" s="2488"/>
      <c r="O179" s="2489"/>
      <c r="P179" s="2488"/>
      <c r="Q179" s="2488"/>
      <c r="R179" s="2490"/>
    </row>
    <row r="180" spans="1:18" s="798" customFormat="1">
      <c r="B180" s="2488"/>
      <c r="C180" s="2488"/>
      <c r="D180" s="2488"/>
      <c r="E180" s="2488"/>
      <c r="F180" s="2488"/>
      <c r="G180" s="2489"/>
      <c r="H180" s="2488"/>
      <c r="I180" s="2489"/>
      <c r="J180" s="2488"/>
      <c r="K180" s="2488"/>
      <c r="L180" s="2489"/>
      <c r="M180" s="2488"/>
      <c r="N180" s="2488"/>
      <c r="O180" s="2489"/>
      <c r="P180" s="2488"/>
      <c r="Q180" s="2488"/>
      <c r="R180" s="2490"/>
    </row>
    <row r="181" spans="1:18" s="798" customFormat="1">
      <c r="B181" s="2488"/>
      <c r="C181" s="2488"/>
      <c r="D181" s="2488"/>
      <c r="E181" s="2488"/>
      <c r="F181" s="2488"/>
      <c r="G181" s="2489"/>
      <c r="H181" s="2488"/>
      <c r="I181" s="2489"/>
      <c r="J181" s="2488"/>
      <c r="K181" s="2488"/>
      <c r="L181" s="2489"/>
      <c r="M181" s="2488"/>
      <c r="N181" s="2488"/>
      <c r="O181" s="2489"/>
      <c r="P181" s="2488"/>
      <c r="Q181" s="2488"/>
      <c r="R181" s="2490"/>
    </row>
    <row r="182" spans="1:18" s="798" customFormat="1">
      <c r="B182" s="2488"/>
      <c r="C182" s="2488"/>
      <c r="D182" s="2488"/>
      <c r="E182" s="2488"/>
      <c r="F182" s="2488"/>
      <c r="G182" s="2489"/>
      <c r="H182" s="2488"/>
      <c r="I182" s="2489"/>
      <c r="J182" s="2488"/>
      <c r="K182" s="2488"/>
      <c r="L182" s="2489"/>
      <c r="M182" s="2488"/>
      <c r="N182" s="2488"/>
      <c r="O182" s="2489"/>
      <c r="P182" s="2488"/>
      <c r="Q182" s="2488"/>
      <c r="R182" s="2490"/>
    </row>
    <row r="183" spans="1:18" s="798" customFormat="1">
      <c r="B183" s="2488"/>
      <c r="C183" s="2488"/>
      <c r="D183" s="2488"/>
      <c r="E183" s="2488"/>
      <c r="F183" s="2488"/>
      <c r="G183" s="2489"/>
      <c r="H183" s="2488"/>
      <c r="I183" s="2489"/>
      <c r="J183" s="2488"/>
      <c r="K183" s="2488"/>
      <c r="L183" s="2489"/>
      <c r="M183" s="2488"/>
      <c r="N183" s="2488"/>
      <c r="O183" s="2489"/>
      <c r="P183" s="2488"/>
      <c r="Q183" s="2488"/>
      <c r="R183" s="2490"/>
    </row>
    <row r="184" spans="1:18" s="798" customFormat="1">
      <c r="B184" s="2488"/>
      <c r="C184" s="2488"/>
      <c r="D184" s="2488"/>
      <c r="E184" s="2488"/>
      <c r="F184" s="2488"/>
      <c r="G184" s="2489"/>
      <c r="H184" s="2488"/>
      <c r="I184" s="2489"/>
      <c r="J184" s="2488"/>
      <c r="K184" s="2488"/>
      <c r="L184" s="2489"/>
      <c r="M184" s="2488"/>
      <c r="N184" s="2488"/>
      <c r="O184" s="2489"/>
      <c r="P184" s="2488"/>
      <c r="Q184" s="2488"/>
      <c r="R184" s="2490"/>
    </row>
    <row r="185" spans="1:18" s="798" customFormat="1">
      <c r="B185" s="2488"/>
      <c r="C185" s="2488"/>
      <c r="D185" s="2488"/>
      <c r="E185" s="2488"/>
      <c r="F185" s="2488"/>
      <c r="G185" s="2489"/>
      <c r="H185" s="2488"/>
      <c r="I185" s="2489"/>
      <c r="J185" s="2488"/>
      <c r="K185" s="2488"/>
      <c r="L185" s="2489"/>
      <c r="M185" s="2488"/>
      <c r="N185" s="2488"/>
      <c r="O185" s="2489"/>
      <c r="P185" s="2488"/>
      <c r="Q185" s="2488"/>
      <c r="R185" s="2490"/>
    </row>
    <row r="186" spans="1:18">
      <c r="A186" s="798"/>
      <c r="B186" s="2488"/>
      <c r="C186" s="2488"/>
      <c r="E186" s="2488"/>
      <c r="F186" s="2488"/>
      <c r="G186" s="2489"/>
    </row>
    <row r="187" spans="1:18">
      <c r="A187" s="798"/>
      <c r="B187" s="2488"/>
      <c r="C187" s="2488"/>
      <c r="E187" s="2488"/>
      <c r="F187" s="2488"/>
      <c r="G187" s="2489"/>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G32" sqref="G32"/>
    </sheetView>
  </sheetViews>
  <sheetFormatPr defaultColWidth="9" defaultRowHeight="13.5"/>
  <cols>
    <col min="1" max="1" width="25" style="2510" customWidth="1"/>
    <col min="2" max="9" width="15.75" style="2510" customWidth="1"/>
    <col min="10" max="16384" width="9" style="2510"/>
  </cols>
  <sheetData>
    <row r="1" spans="1:11" ht="16.5">
      <c r="A1" s="2509" t="s">
        <v>665</v>
      </c>
      <c r="B1" s="2509">
        <f>SUM(B14:B23)</f>
        <v>20062.899999999998</v>
      </c>
      <c r="C1" s="2683"/>
      <c r="D1" s="2683"/>
      <c r="E1" s="2683"/>
      <c r="F1" s="2683"/>
      <c r="G1" s="2684"/>
      <c r="H1" s="2685"/>
      <c r="I1" s="2685"/>
      <c r="J1" s="2685"/>
      <c r="K1" s="2685"/>
    </row>
    <row r="2" spans="1:11" ht="16.5">
      <c r="A2" s="2509" t="s">
        <v>653</v>
      </c>
      <c r="B2" s="2509">
        <f>SUM(C14:C23)</f>
        <v>10405.33</v>
      </c>
      <c r="C2" s="2683"/>
      <c r="D2" s="2683"/>
      <c r="E2" s="2683"/>
      <c r="F2" s="2683"/>
      <c r="G2" s="2684"/>
      <c r="H2" s="2685"/>
      <c r="I2" s="2685"/>
      <c r="J2" s="2685"/>
      <c r="K2" s="2685"/>
    </row>
    <row r="3" spans="1:11" ht="16.5">
      <c r="A3" s="2509" t="s">
        <v>662</v>
      </c>
      <c r="B3" s="2511">
        <f>项目基本情况!D3</f>
        <v>45068</v>
      </c>
      <c r="C3" s="2683"/>
      <c r="D3" s="2683"/>
      <c r="E3" s="2683"/>
      <c r="F3" s="2683"/>
      <c r="G3" s="2684"/>
      <c r="H3" s="2685"/>
      <c r="I3" s="2685"/>
      <c r="J3" s="2685"/>
      <c r="K3" s="2685"/>
    </row>
    <row r="4" spans="1:11" ht="33">
      <c r="A4" s="2509" t="s">
        <v>661</v>
      </c>
      <c r="B4" s="2509" t="s">
        <v>660</v>
      </c>
      <c r="C4" s="2509" t="s">
        <v>659</v>
      </c>
      <c r="D4" s="2509" t="s">
        <v>658</v>
      </c>
      <c r="E4" s="2683"/>
      <c r="F4" s="2684"/>
      <c r="G4" s="2684"/>
      <c r="H4" s="2685"/>
      <c r="I4" s="2685"/>
      <c r="J4" s="2685"/>
      <c r="K4" s="2685"/>
    </row>
    <row r="5" spans="1:11" ht="16.5">
      <c r="A5" s="2509" t="s">
        <v>657</v>
      </c>
      <c r="B5" s="2509">
        <f ca="1">SUM(D14:D23)</f>
        <v>24240</v>
      </c>
      <c r="C5" s="2509">
        <f ca="1">IF(B5=D14,结果表!H102,ROUND(B5*10000/$B$1,0))</f>
        <v>12082</v>
      </c>
      <c r="D5" s="2509">
        <f ca="1">ROUND(B5*10000/$B$2,0)</f>
        <v>23296</v>
      </c>
      <c r="E5" s="2683"/>
      <c r="F5" s="2684"/>
      <c r="G5" s="2684"/>
      <c r="H5" s="2685"/>
      <c r="I5" s="2685"/>
      <c r="J5" s="2685"/>
      <c r="K5" s="2685"/>
    </row>
    <row r="6" spans="1:11" ht="16.5">
      <c r="A6" s="2509" t="s">
        <v>656</v>
      </c>
      <c r="B6" s="2509">
        <f ca="1">SUM(G14:G23)</f>
        <v>24240</v>
      </c>
      <c r="C6" s="2509">
        <f ca="1">IF(B6=G14,结果表!H108,ROUND(B6*10000/$B$1,0))</f>
        <v>12082</v>
      </c>
      <c r="D6" s="2509">
        <f ca="1">ROUND(B6*10000/$B$2,0)</f>
        <v>23296</v>
      </c>
      <c r="E6" s="2683"/>
      <c r="F6" s="2684"/>
      <c r="G6" s="2684"/>
      <c r="H6" s="2685"/>
      <c r="I6" s="2685"/>
      <c r="J6" s="2685"/>
      <c r="K6" s="2685"/>
    </row>
    <row r="7" spans="1:11" ht="16.5">
      <c r="A7" s="2509" t="s">
        <v>664</v>
      </c>
      <c r="B7" s="2509">
        <f>SUM(H14:H23)</f>
        <v>0</v>
      </c>
      <c r="C7" s="2509" t="str">
        <f>IF(B7=H14,结果表!H110,ROUND(B7*10000/$B$1,0))</f>
        <v>——</v>
      </c>
      <c r="D7" s="2509">
        <f>ROUND(B7*10000/$B$2,0)</f>
        <v>0</v>
      </c>
      <c r="E7" s="2683"/>
      <c r="F7" s="2684"/>
      <c r="G7" s="2684"/>
      <c r="H7" s="2685"/>
      <c r="I7" s="2685"/>
      <c r="J7" s="2685"/>
      <c r="K7" s="2685"/>
    </row>
    <row r="8" spans="1:11" ht="16.5">
      <c r="A8" s="2509" t="s">
        <v>587</v>
      </c>
      <c r="B8" s="2509">
        <f>SUM(I14:I23)</f>
        <v>0</v>
      </c>
      <c r="C8" s="2509" t="str">
        <f>IF(B8=I14,结果表!H112,ROUND(B8*10000/$B$1,0))</f>
        <v>——</v>
      </c>
      <c r="D8" s="2509">
        <f>ROUND(B8*10000/$B$2,0)</f>
        <v>0</v>
      </c>
      <c r="E8" s="2683"/>
      <c r="F8" s="2684"/>
      <c r="G8" s="2684"/>
      <c r="H8" s="2685"/>
      <c r="I8" s="2685"/>
      <c r="J8" s="2685"/>
      <c r="K8" s="2685"/>
    </row>
    <row r="9" spans="1:11" ht="16.5">
      <c r="A9" s="2509" t="s">
        <v>655</v>
      </c>
      <c r="B9" s="2517"/>
      <c r="C9" s="2683"/>
      <c r="D9" s="2683"/>
      <c r="E9" s="2683"/>
      <c r="F9" s="2684"/>
      <c r="G9" s="2684"/>
      <c r="H9" s="2685"/>
      <c r="I9" s="2685"/>
      <c r="J9" s="2685"/>
      <c r="K9" s="2685"/>
    </row>
    <row r="10" spans="1:11" ht="16.5">
      <c r="A10" s="2509" t="s">
        <v>654</v>
      </c>
      <c r="B10" s="2509">
        <f>IF(E10="",0,ROUND(B1*(E10*365/G10)/10000,0))</f>
        <v>0</v>
      </c>
      <c r="C10" s="2509" t="s">
        <v>3357</v>
      </c>
      <c r="D10" s="2509" t="s">
        <v>3358</v>
      </c>
      <c r="E10" s="3437"/>
      <c r="F10" s="3441" t="s">
        <v>3359</v>
      </c>
      <c r="G10" s="3438"/>
      <c r="H10" s="2685"/>
      <c r="I10" s="2685"/>
      <c r="J10" s="2685"/>
      <c r="K10" s="2685"/>
    </row>
    <row r="11" spans="1:11" ht="16.5">
      <c r="A11" s="2509" t="s">
        <v>670</v>
      </c>
      <c r="B11" s="2517"/>
      <c r="C11" s="2683"/>
      <c r="D11" s="2683"/>
      <c r="E11" s="2683"/>
      <c r="F11" s="2684"/>
      <c r="G11" s="2684"/>
      <c r="H11" s="2685"/>
      <c r="I11" s="2685"/>
      <c r="J11" s="2685"/>
      <c r="K11" s="2685"/>
    </row>
    <row r="12" spans="1:11" ht="16.5">
      <c r="A12" s="2683"/>
      <c r="B12" s="2683"/>
      <c r="C12" s="2683"/>
      <c r="D12" s="2683"/>
      <c r="E12" s="2683"/>
      <c r="F12" s="2684"/>
      <c r="G12" s="2684"/>
      <c r="H12" s="2685"/>
      <c r="I12" s="2685"/>
      <c r="J12" s="2685"/>
      <c r="K12" s="2685"/>
    </row>
    <row r="13" spans="1:11" ht="33">
      <c r="A13" s="2512" t="s">
        <v>669</v>
      </c>
      <c r="B13" s="2513" t="s">
        <v>666</v>
      </c>
      <c r="C13" s="2513" t="s">
        <v>668</v>
      </c>
      <c r="D13" s="2513" t="s">
        <v>667</v>
      </c>
      <c r="E13" s="2509" t="s">
        <v>659</v>
      </c>
      <c r="F13" s="2509" t="s">
        <v>658</v>
      </c>
      <c r="G13" s="2513" t="s">
        <v>652</v>
      </c>
      <c r="H13" s="2513" t="s">
        <v>663</v>
      </c>
      <c r="I13" s="2513" t="s">
        <v>651</v>
      </c>
      <c r="J13" s="2684"/>
      <c r="K13" s="2685"/>
    </row>
    <row r="14" spans="1:11" ht="16.5">
      <c r="A14" s="2514" t="s">
        <v>650</v>
      </c>
      <c r="B14" s="2515">
        <f>结果表!B118</f>
        <v>20062.899999999998</v>
      </c>
      <c r="C14" s="2515">
        <f>结果表!C118</f>
        <v>10405.33</v>
      </c>
      <c r="D14" s="2515">
        <f ca="1">结果表!H118</f>
        <v>24240</v>
      </c>
      <c r="E14" s="2515">
        <f ca="1">ROUND(D14*10000/B14,0)</f>
        <v>12082</v>
      </c>
      <c r="F14" s="2515">
        <f ca="1">ROUND(D14*10000/C14,0)</f>
        <v>23296</v>
      </c>
      <c r="G14" s="2515">
        <f ca="1">D14</f>
        <v>24240</v>
      </c>
      <c r="H14" s="2515"/>
      <c r="I14" s="2515"/>
      <c r="J14" s="2684"/>
      <c r="K14" s="2685"/>
    </row>
    <row r="15" spans="1:11" ht="16.5">
      <c r="A15" s="2514" t="s">
        <v>649</v>
      </c>
      <c r="B15" s="2516"/>
      <c r="C15" s="2516"/>
      <c r="D15" s="2516"/>
      <c r="E15" s="2515" t="e">
        <f t="shared" ref="E15:E23" si="0">ROUND(D15*10000/B15,0)</f>
        <v>#DIV/0!</v>
      </c>
      <c r="F15" s="2515" t="e">
        <f t="shared" ref="F15:F23" si="1">ROUND(D15*10000/C15,0)</f>
        <v>#DIV/0!</v>
      </c>
      <c r="G15" s="1329"/>
      <c r="H15" s="1329"/>
      <c r="I15" s="2516"/>
      <c r="J15" s="2684"/>
      <c r="K15" s="2685"/>
    </row>
    <row r="16" spans="1:11" ht="16.5">
      <c r="A16" s="2514" t="s">
        <v>648</v>
      </c>
      <c r="B16" s="2516"/>
      <c r="C16" s="2516"/>
      <c r="D16" s="2516"/>
      <c r="E16" s="2515" t="e">
        <f t="shared" si="0"/>
        <v>#DIV/0!</v>
      </c>
      <c r="F16" s="2515" t="e">
        <f t="shared" si="1"/>
        <v>#DIV/0!</v>
      </c>
      <c r="G16" s="1329"/>
      <c r="H16" s="1329"/>
      <c r="I16" s="2516"/>
      <c r="J16" s="2685"/>
      <c r="K16" s="2685"/>
    </row>
    <row r="17" spans="1:11" ht="16.5">
      <c r="A17" s="2514" t="s">
        <v>647</v>
      </c>
      <c r="B17" s="2516"/>
      <c r="C17" s="2516"/>
      <c r="D17" s="2516"/>
      <c r="E17" s="2515" t="e">
        <f t="shared" si="0"/>
        <v>#DIV/0!</v>
      </c>
      <c r="F17" s="2515" t="e">
        <f t="shared" si="1"/>
        <v>#DIV/0!</v>
      </c>
      <c r="G17" s="1329"/>
      <c r="H17" s="1329"/>
      <c r="I17" s="2516"/>
      <c r="J17" s="2685"/>
      <c r="K17" s="2685"/>
    </row>
    <row r="18" spans="1:11" ht="16.5">
      <c r="A18" s="2514" t="s">
        <v>646</v>
      </c>
      <c r="B18" s="2516"/>
      <c r="C18" s="2516"/>
      <c r="D18" s="2516"/>
      <c r="E18" s="2515" t="e">
        <f t="shared" si="0"/>
        <v>#DIV/0!</v>
      </c>
      <c r="F18" s="2515" t="e">
        <f t="shared" si="1"/>
        <v>#DIV/0!</v>
      </c>
      <c r="G18" s="2516"/>
      <c r="H18" s="2516"/>
      <c r="I18" s="2516"/>
      <c r="J18" s="2685"/>
      <c r="K18" s="2685"/>
    </row>
    <row r="19" spans="1:11" ht="16.5">
      <c r="A19" s="2514" t="s">
        <v>645</v>
      </c>
      <c r="B19" s="2516"/>
      <c r="C19" s="2516"/>
      <c r="D19" s="2516"/>
      <c r="E19" s="2515" t="e">
        <f t="shared" si="0"/>
        <v>#DIV/0!</v>
      </c>
      <c r="F19" s="2515" t="e">
        <f t="shared" si="1"/>
        <v>#DIV/0!</v>
      </c>
      <c r="G19" s="2516"/>
      <c r="H19" s="2516"/>
      <c r="I19" s="2516"/>
      <c r="J19" s="2685"/>
      <c r="K19" s="2685"/>
    </row>
    <row r="20" spans="1:11" ht="16.5">
      <c r="A20" s="2514" t="s">
        <v>644</v>
      </c>
      <c r="B20" s="2516"/>
      <c r="C20" s="2516"/>
      <c r="D20" s="2516"/>
      <c r="E20" s="2515" t="e">
        <f t="shared" si="0"/>
        <v>#DIV/0!</v>
      </c>
      <c r="F20" s="2515" t="e">
        <f t="shared" si="1"/>
        <v>#DIV/0!</v>
      </c>
      <c r="G20" s="2516"/>
      <c r="H20" s="2516"/>
      <c r="I20" s="2516"/>
      <c r="J20" s="2685"/>
      <c r="K20" s="2685"/>
    </row>
    <row r="21" spans="1:11" ht="16.5">
      <c r="A21" s="2514" t="s">
        <v>643</v>
      </c>
      <c r="B21" s="2516"/>
      <c r="C21" s="2516"/>
      <c r="D21" s="2516"/>
      <c r="E21" s="2515" t="e">
        <f t="shared" si="0"/>
        <v>#DIV/0!</v>
      </c>
      <c r="F21" s="2515" t="e">
        <f t="shared" si="1"/>
        <v>#DIV/0!</v>
      </c>
      <c r="G21" s="2516"/>
      <c r="H21" s="2516"/>
      <c r="I21" s="2516"/>
      <c r="J21" s="2685"/>
      <c r="K21" s="2685"/>
    </row>
    <row r="22" spans="1:11" ht="16.5">
      <c r="A22" s="2514" t="s">
        <v>642</v>
      </c>
      <c r="B22" s="2516"/>
      <c r="C22" s="2516"/>
      <c r="D22" s="2516"/>
      <c r="E22" s="2515" t="e">
        <f t="shared" si="0"/>
        <v>#DIV/0!</v>
      </c>
      <c r="F22" s="2515" t="e">
        <f t="shared" si="1"/>
        <v>#DIV/0!</v>
      </c>
      <c r="G22" s="2516"/>
      <c r="H22" s="2516"/>
      <c r="I22" s="2516"/>
      <c r="J22" s="2685"/>
      <c r="K22" s="2685"/>
    </row>
    <row r="23" spans="1:11" ht="16.5">
      <c r="A23" s="2514" t="s">
        <v>641</v>
      </c>
      <c r="B23" s="2516"/>
      <c r="C23" s="2516"/>
      <c r="D23" s="2516"/>
      <c r="E23" s="2517" t="e">
        <f t="shared" si="0"/>
        <v>#DIV/0!</v>
      </c>
      <c r="F23" s="2517" t="e">
        <f t="shared" si="1"/>
        <v>#DIV/0!</v>
      </c>
      <c r="G23" s="2516"/>
      <c r="H23" s="2516"/>
      <c r="I23" s="2516"/>
      <c r="J23" s="2685"/>
      <c r="K23" s="2685"/>
    </row>
    <row r="24" spans="1:11">
      <c r="A24" s="2685"/>
      <c r="B24" s="2685"/>
      <c r="C24" s="2685"/>
      <c r="D24" s="2685"/>
      <c r="E24" s="2685"/>
      <c r="F24" s="2685"/>
      <c r="G24" s="2685"/>
      <c r="H24" s="2685"/>
      <c r="I24" s="2685"/>
      <c r="J24" s="2685"/>
      <c r="K24" s="2685"/>
    </row>
    <row r="25" spans="1:11">
      <c r="A25" s="2685"/>
      <c r="B25" s="2685"/>
      <c r="C25" s="2685"/>
      <c r="D25" s="2685"/>
      <c r="E25" s="2685"/>
      <c r="F25" s="2685"/>
      <c r="G25" s="2685"/>
      <c r="H25" s="2685"/>
      <c r="I25" s="2685"/>
      <c r="J25" s="2685"/>
      <c r="K25" s="2685"/>
    </row>
    <row r="26" spans="1:11">
      <c r="A26" s="2685"/>
      <c r="B26" s="2685"/>
      <c r="C26" s="2685"/>
      <c r="D26" s="2685"/>
      <c r="E26" s="2685"/>
      <c r="F26" s="2685"/>
      <c r="G26" s="2685"/>
      <c r="H26" s="2685"/>
      <c r="I26" s="2685"/>
      <c r="J26" s="2685"/>
      <c r="K26" s="2685"/>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L35" sqref="L35"/>
    </sheetView>
  </sheetViews>
  <sheetFormatPr defaultColWidth="12.625" defaultRowHeight="21.75" customHeight="1"/>
  <cols>
    <col min="1" max="2" width="12.625" style="1751"/>
    <col min="3" max="4" width="12.625" style="1751" customWidth="1"/>
    <col min="5" max="9" width="12.625" style="1751"/>
    <col min="10" max="11" width="12.625" style="724" customWidth="1"/>
    <col min="12" max="12" width="12.625" style="724"/>
    <col min="13" max="13" width="14.125" style="724" bestFit="1" customWidth="1"/>
    <col min="14" max="26" width="12.625" style="724"/>
    <col min="27" max="35" width="12.625" style="1750"/>
    <col min="36" max="16384" width="12.625" style="1751"/>
  </cols>
  <sheetData>
    <row r="1" spans="1:12" ht="21.75" customHeight="1" thickBot="1">
      <c r="A1" s="1635" t="s">
        <v>1262</v>
      </c>
      <c r="B1" s="1745"/>
      <c r="C1" s="1746"/>
      <c r="D1" s="1745"/>
      <c r="E1" s="1745"/>
      <c r="F1" s="1747" t="s">
        <v>1263</v>
      </c>
      <c r="G1" s="1559"/>
      <c r="H1" s="1748" t="str">
        <f>IF(G1="现房","——","估价对象范围")</f>
        <v>估价对象范围</v>
      </c>
      <c r="I1" s="1749"/>
    </row>
    <row r="2" spans="1:12" ht="21.75" customHeight="1" thickBot="1">
      <c r="A2" s="3683" t="str">
        <f>项目基本情况!S2</f>
        <v>北京市房地产</v>
      </c>
      <c r="B2" s="3684"/>
      <c r="C2" s="3684"/>
      <c r="D2" s="3684"/>
      <c r="E2" s="3684"/>
      <c r="F2" s="3684"/>
      <c r="G2" s="3684"/>
      <c r="H2" s="3684"/>
      <c r="I2" s="3685"/>
    </row>
    <row r="3" spans="1:12" ht="12.75">
      <c r="A3" s="3687" t="s">
        <v>1264</v>
      </c>
      <c r="B3" s="3688"/>
      <c r="C3" s="3688"/>
      <c r="D3" s="3688"/>
      <c r="E3" s="3688"/>
      <c r="F3" s="3688"/>
      <c r="G3" s="3688"/>
      <c r="H3" s="3688"/>
      <c r="I3" s="3688"/>
    </row>
    <row r="4" spans="1:12" ht="14.25">
      <c r="A4" s="1752" t="s">
        <v>1265</v>
      </c>
      <c r="B4" s="1753" t="s">
        <v>1266</v>
      </c>
      <c r="C4" s="1754" t="s">
        <v>3568</v>
      </c>
      <c r="D4" s="1754" t="s">
        <v>3402</v>
      </c>
      <c r="E4" s="3692" t="s">
        <v>1267</v>
      </c>
      <c r="F4" s="3693"/>
      <c r="G4" s="3693"/>
      <c r="H4" s="3693"/>
      <c r="I4" s="3694"/>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631" t="s">
        <v>1268</v>
      </c>
      <c r="B5" s="3686">
        <v>25</v>
      </c>
      <c r="C5" s="3689"/>
      <c r="D5" s="3677"/>
      <c r="E5" s="131" t="s">
        <v>1269</v>
      </c>
      <c r="F5" s="1755"/>
      <c r="G5" s="1755"/>
      <c r="H5" s="1755"/>
      <c r="I5" s="1371"/>
    </row>
    <row r="6" spans="1:12" ht="12.75">
      <c r="A6" s="3631"/>
      <c r="B6" s="3686"/>
      <c r="C6" s="3691"/>
      <c r="D6" s="3677"/>
      <c r="E6" s="131" t="s">
        <v>1270</v>
      </c>
      <c r="F6" s="1755"/>
      <c r="G6" s="1755"/>
      <c r="H6" s="1755"/>
      <c r="I6" s="1371"/>
    </row>
    <row r="7" spans="1:12" ht="12.75">
      <c r="A7" s="3631"/>
      <c r="B7" s="3686"/>
      <c r="C7" s="3690"/>
      <c r="D7" s="3677"/>
      <c r="E7" s="131" t="s">
        <v>1271</v>
      </c>
      <c r="F7" s="1755"/>
      <c r="G7" s="1755"/>
      <c r="H7" s="1755"/>
      <c r="I7" s="1371"/>
    </row>
    <row r="8" spans="1:12" ht="12.75">
      <c r="A8" s="3631" t="s">
        <v>1272</v>
      </c>
      <c r="B8" s="3686">
        <v>15</v>
      </c>
      <c r="C8" s="3689"/>
      <c r="D8" s="3677"/>
      <c r="E8" s="131" t="s">
        <v>1273</v>
      </c>
      <c r="F8" s="1755"/>
      <c r="G8" s="1755"/>
      <c r="H8" s="1755"/>
      <c r="I8" s="1371"/>
    </row>
    <row r="9" spans="1:12" ht="12.75">
      <c r="A9" s="3631"/>
      <c r="B9" s="3686"/>
      <c r="C9" s="3690"/>
      <c r="D9" s="3677"/>
      <c r="E9" s="131" t="s">
        <v>1274</v>
      </c>
      <c r="F9" s="1755"/>
      <c r="G9" s="1755"/>
      <c r="H9" s="1755"/>
      <c r="I9" s="1371"/>
    </row>
    <row r="10" spans="1:12" ht="12.75">
      <c r="A10" s="3631" t="s">
        <v>1275</v>
      </c>
      <c r="B10" s="3686">
        <v>15</v>
      </c>
      <c r="C10" s="3689"/>
      <c r="D10" s="3677"/>
      <c r="E10" s="131" t="s">
        <v>1276</v>
      </c>
      <c r="F10" s="1755"/>
      <c r="G10" s="1755"/>
      <c r="H10" s="1755"/>
      <c r="I10" s="1371"/>
    </row>
    <row r="11" spans="1:12" ht="12.75">
      <c r="A11" s="3631"/>
      <c r="B11" s="3686"/>
      <c r="C11" s="3690"/>
      <c r="D11" s="3677"/>
      <c r="E11" s="131" t="s">
        <v>1277</v>
      </c>
      <c r="F11" s="1755"/>
      <c r="G11" s="1755"/>
      <c r="H11" s="1755"/>
      <c r="I11" s="1371"/>
    </row>
    <row r="12" spans="1:12" ht="12.75">
      <c r="A12" s="3631" t="s">
        <v>1278</v>
      </c>
      <c r="B12" s="3686">
        <v>15</v>
      </c>
      <c r="C12" s="3689"/>
      <c r="D12" s="3677"/>
      <c r="E12" s="131" t="s">
        <v>1279</v>
      </c>
      <c r="F12" s="1755"/>
      <c r="G12" s="1755"/>
      <c r="H12" s="1755"/>
      <c r="I12" s="1371"/>
    </row>
    <row r="13" spans="1:12" ht="12.75">
      <c r="A13" s="3631"/>
      <c r="B13" s="3686"/>
      <c r="C13" s="3690"/>
      <c r="D13" s="3677"/>
      <c r="E13" s="131" t="s">
        <v>1280</v>
      </c>
      <c r="F13" s="1755"/>
      <c r="G13" s="1755"/>
      <c r="H13" s="1755"/>
      <c r="I13" s="1371"/>
    </row>
    <row r="14" spans="1:12" ht="12.75">
      <c r="A14" s="3631" t="s">
        <v>1281</v>
      </c>
      <c r="B14" s="3686">
        <v>30</v>
      </c>
      <c r="C14" s="3689">
        <v>7</v>
      </c>
      <c r="D14" s="3677">
        <v>3</v>
      </c>
      <c r="E14" s="131" t="s">
        <v>1282</v>
      </c>
      <c r="F14" s="1755"/>
      <c r="G14" s="1755"/>
      <c r="H14" s="1755"/>
      <c r="I14" s="1371"/>
    </row>
    <row r="15" spans="1:12" ht="12.75">
      <c r="A15" s="3631"/>
      <c r="B15" s="3686"/>
      <c r="C15" s="3691"/>
      <c r="D15" s="3677"/>
      <c r="E15" s="131" t="s">
        <v>1283</v>
      </c>
      <c r="F15" s="1755"/>
      <c r="G15" s="1755"/>
      <c r="H15" s="1755"/>
      <c r="I15" s="1371"/>
    </row>
    <row r="16" spans="1:12" ht="12.75">
      <c r="A16" s="3631"/>
      <c r="B16" s="3686"/>
      <c r="C16" s="3690"/>
      <c r="D16" s="3677"/>
      <c r="E16" s="131" t="s">
        <v>1284</v>
      </c>
      <c r="F16" s="1755"/>
      <c r="G16" s="1755"/>
      <c r="H16" s="1755"/>
      <c r="I16" s="1371"/>
    </row>
    <row r="17" spans="1:36" ht="15">
      <c r="A17" s="1756" t="s">
        <v>1285</v>
      </c>
      <c r="B17" s="56"/>
      <c r="C17" s="132">
        <f>SUM(C5:C16)</f>
        <v>7</v>
      </c>
      <c r="D17" s="132">
        <f>SUM(D5:D16)</f>
        <v>3</v>
      </c>
      <c r="E17" s="129"/>
      <c r="F17" s="129"/>
      <c r="G17" s="129"/>
      <c r="H17" s="129"/>
      <c r="I17" s="129"/>
      <c r="K17" s="302"/>
      <c r="L17" s="302" t="s">
        <v>1286</v>
      </c>
      <c r="M17" s="302" t="s">
        <v>1287</v>
      </c>
    </row>
    <row r="18" spans="1:36" ht="31.9" customHeight="1" thickBot="1">
      <c r="A18" s="1757" t="s">
        <v>1288</v>
      </c>
      <c r="B18" s="1758"/>
      <c r="C18" s="133">
        <f>ROUND(C17/SUM(C17:D17),2)</f>
        <v>0.7</v>
      </c>
      <c r="D18" s="133">
        <f>1-C18</f>
        <v>0.30000000000000004</v>
      </c>
      <c r="E18" s="3708" t="s">
        <v>2129</v>
      </c>
      <c r="F18" s="3709"/>
      <c r="G18" s="3709"/>
      <c r="H18" s="3709"/>
      <c r="I18" s="3709"/>
      <c r="K18" s="302" t="s">
        <v>1289</v>
      </c>
      <c r="L18" s="302">
        <f>IF(C1="",'数据-汇总表'!E3,SUMIF(项目类型,C1,'数据-汇总表'!E17:E26)+SUMIF(项目类型,C1,'数据-汇总表'!I17:I26))</f>
        <v>20062.899999999998</v>
      </c>
      <c r="M18" s="302">
        <f>IF(C1="",'数据-汇总表'!E3,SUMIF(项目类型,C1,'数据-汇总表'!E17:E26))</f>
        <v>20062.899999999998</v>
      </c>
    </row>
    <row r="19" spans="1:36" ht="15">
      <c r="A19" s="1759" t="s">
        <v>1290</v>
      </c>
      <c r="B19" s="1760" t="s">
        <v>1291</v>
      </c>
      <c r="C19" s="134">
        <f ca="1">SUMIF(INDIRECT("'"&amp;C4&amp;"'"&amp;"!A:A"),结果表!B19,INDIRECT("'"&amp;C4&amp;"'"&amp;"!B:B"))</f>
        <v>27704</v>
      </c>
      <c r="D19" s="135">
        <f ca="1">SUMIF(INDIRECT("'"&amp;D4&amp;"'"&amp;"!A:A"),结果表!B19,INDIRECT("'"&amp;D4&amp;"'"&amp;"!B:B"))</f>
        <v>16158</v>
      </c>
      <c r="E19" s="1759" t="s">
        <v>1292</v>
      </c>
      <c r="F19" s="1760" t="s">
        <v>1291</v>
      </c>
      <c r="G19" s="136">
        <f ca="1">ROUND(C19*$C$18+D19*$D$18,0)</f>
        <v>24240</v>
      </c>
      <c r="H19" s="1761" t="s">
        <v>1293</v>
      </c>
      <c r="I19" s="129"/>
      <c r="K19" s="302" t="s">
        <v>1294</v>
      </c>
      <c r="L19" s="302">
        <f>IF(C1="",'数据-汇总表'!D3,SUMIF(项目类型,C1,'数据-汇总表'!D17:D26)+SUMIF(项目类型,C1,'数据-汇总表'!H17:H27))</f>
        <v>10405.33</v>
      </c>
      <c r="M19" s="302">
        <f>IF(C1="",'数据-汇总表'!D3,SUMIF(项目类型,C1,'数据-汇总表'!D17:D26))</f>
        <v>10405.33</v>
      </c>
    </row>
    <row r="20" spans="1:36" ht="15">
      <c r="A20" s="1762"/>
      <c r="B20" s="1025" t="s">
        <v>1295</v>
      </c>
      <c r="C20" s="137">
        <f ca="1">SUMIF(INDIRECT("'"&amp;C4&amp;"'"&amp;"!A:A"),结果表!B20,INDIRECT("'"&amp;C4&amp;"'"&amp;"!B:B"))</f>
        <v>13809</v>
      </c>
      <c r="D20" s="138">
        <f ca="1">SUMIF(INDIRECT("'"&amp;D4&amp;"'"&amp;"!A:A"),结果表!B20,INDIRECT("'"&amp;D4&amp;"'"&amp;"!B:B"))</f>
        <v>8054</v>
      </c>
      <c r="E20" s="1762"/>
      <c r="F20" s="1025" t="s">
        <v>1295</v>
      </c>
      <c r="G20" s="139">
        <f ca="1">ROUND(C20*$C$18+D20*$D$18,0)</f>
        <v>12083</v>
      </c>
      <c r="H20" s="807" t="s">
        <v>1296</v>
      </c>
      <c r="I20" s="129"/>
    </row>
    <row r="21" spans="1:36" ht="15" customHeight="1" thickBot="1">
      <c r="A21" s="827"/>
      <c r="B21" s="1763" t="s">
        <v>1297</v>
      </c>
      <c r="C21" s="718">
        <f ca="1">ROUND(C19*10000/L19,0)</f>
        <v>26625</v>
      </c>
      <c r="D21" s="719">
        <f ca="1">ROUND(D19*10000/L19,0)</f>
        <v>15529</v>
      </c>
      <c r="E21" s="827"/>
      <c r="F21" s="1763" t="s">
        <v>1297</v>
      </c>
      <c r="G21" s="140">
        <f ca="1">ROUND(G19*10000/L19,0)</f>
        <v>23296</v>
      </c>
      <c r="H21" s="1764" t="s">
        <v>1296</v>
      </c>
      <c r="I21" s="129"/>
    </row>
    <row r="22" spans="1:36" ht="15" thickBot="1">
      <c r="A22" s="1686" t="s">
        <v>1298</v>
      </c>
      <c r="B22" s="1765"/>
      <c r="C22" s="1766"/>
      <c r="D22" s="720">
        <f ca="1">IF(C19&lt;D19,D19/C19-1,C19/D19-1)</f>
        <v>0.71456863473202126</v>
      </c>
      <c r="E22" s="129"/>
      <c r="F22" s="129"/>
      <c r="G22" s="129"/>
      <c r="H22" s="129"/>
      <c r="I22" s="129"/>
    </row>
    <row r="23" spans="1:36" ht="13.5" thickBot="1">
      <c r="A23" s="1745"/>
      <c r="B23" s="1745"/>
      <c r="C23" s="1745"/>
      <c r="D23" s="1745"/>
      <c r="E23" s="129"/>
      <c r="F23" s="129"/>
      <c r="G23" s="129"/>
      <c r="H23" s="129"/>
      <c r="I23" s="129"/>
    </row>
    <row r="24" spans="1:36" ht="14.25">
      <c r="A24" s="3701" t="s">
        <v>1299</v>
      </c>
      <c r="B24" s="1760" t="s">
        <v>1291</v>
      </c>
      <c r="C24" s="136">
        <f>IF(B30=0,0,D30)</f>
        <v>0</v>
      </c>
      <c r="D24" s="1767"/>
      <c r="E24" s="129"/>
      <c r="F24" s="129"/>
      <c r="G24" s="129"/>
      <c r="H24" s="129"/>
      <c r="I24" s="129"/>
    </row>
    <row r="25" spans="1:36" ht="14.25">
      <c r="A25" s="3702"/>
      <c r="B25" s="1025" t="s">
        <v>1295</v>
      </c>
      <c r="C25" s="141">
        <f>IF(B30=0,0,C30)</f>
        <v>0</v>
      </c>
      <c r="D25" s="1768"/>
      <c r="E25" s="129"/>
      <c r="F25" s="129"/>
      <c r="G25" s="129"/>
      <c r="H25" s="129"/>
      <c r="I25" s="129"/>
    </row>
    <row r="26" spans="1:36" ht="13.5" customHeight="1">
      <c r="A26" s="1769" t="s">
        <v>1300</v>
      </c>
      <c r="B26" s="142" t="s">
        <v>1301</v>
      </c>
      <c r="C26" s="142" t="s">
        <v>1302</v>
      </c>
      <c r="D26" s="143" t="s">
        <v>1303</v>
      </c>
      <c r="E26" s="129"/>
      <c r="F26" s="129"/>
      <c r="G26" s="129"/>
      <c r="H26" s="129"/>
      <c r="I26" s="129"/>
    </row>
    <row r="27" spans="1:36" ht="14.25">
      <c r="A27" s="1769"/>
      <c r="B27" s="142">
        <v>0</v>
      </c>
      <c r="C27" s="142">
        <v>0</v>
      </c>
      <c r="D27" s="143">
        <f>ROUND(C27*B27/10000,0)</f>
        <v>0</v>
      </c>
      <c r="E27" s="129"/>
      <c r="F27" s="129"/>
      <c r="G27" s="129"/>
      <c r="H27" s="129"/>
      <c r="I27" s="129"/>
    </row>
    <row r="28" spans="1:36" ht="14.25">
      <c r="A28" s="1769"/>
      <c r="B28" s="142"/>
      <c r="C28" s="142"/>
      <c r="D28" s="143"/>
      <c r="E28" s="129"/>
      <c r="F28" s="129"/>
      <c r="G28" s="129"/>
      <c r="H28" s="129"/>
      <c r="I28" s="129"/>
    </row>
    <row r="29" spans="1:36" ht="14.25">
      <c r="A29" s="1769"/>
      <c r="B29" s="142"/>
      <c r="C29" s="142"/>
      <c r="D29" s="143"/>
      <c r="E29" s="129"/>
      <c r="F29" s="129"/>
      <c r="G29" s="129"/>
      <c r="H29" s="129"/>
      <c r="I29" s="129"/>
    </row>
    <row r="30" spans="1:36" ht="15" thickBot="1">
      <c r="A30" s="142" t="s">
        <v>1304</v>
      </c>
      <c r="B30" s="142"/>
      <c r="C30" s="142"/>
      <c r="D30" s="142"/>
      <c r="E30" s="2300" t="s">
        <v>2130</v>
      </c>
      <c r="F30" s="129"/>
      <c r="G30" s="129"/>
      <c r="H30" s="129"/>
      <c r="I30" s="129"/>
    </row>
    <row r="31" spans="1:36" s="2306" customFormat="1" ht="26.45" customHeight="1" thickTop="1" thickBot="1">
      <c r="A31" s="2301"/>
      <c r="B31" s="2302"/>
      <c r="C31" s="2302"/>
      <c r="D31" s="2302"/>
      <c r="E31" s="2302"/>
      <c r="F31" s="2302"/>
      <c r="G31" s="2302"/>
      <c r="H31" s="2302"/>
      <c r="I31" s="2303" t="s">
        <v>2131</v>
      </c>
      <c r="J31" s="2686"/>
      <c r="K31" s="2304"/>
      <c r="L31" s="2304"/>
      <c r="M31" s="2304"/>
      <c r="N31" s="2304"/>
      <c r="O31" s="2304"/>
      <c r="P31" s="2304"/>
      <c r="Q31" s="2304"/>
      <c r="R31" s="2304"/>
      <c r="S31" s="2304"/>
      <c r="T31" s="2304"/>
      <c r="U31" s="2304"/>
      <c r="V31" s="2304"/>
      <c r="W31" s="2304"/>
      <c r="X31" s="2304"/>
      <c r="Y31" s="2304"/>
      <c r="Z31" s="2304"/>
      <c r="AA31" s="2304"/>
      <c r="AB31" s="2305"/>
      <c r="AC31" s="2305"/>
      <c r="AD31" s="2305"/>
      <c r="AE31" s="2305"/>
      <c r="AF31" s="2305"/>
      <c r="AG31" s="2305"/>
      <c r="AH31" s="2305"/>
      <c r="AI31" s="2305"/>
      <c r="AJ31" s="2305"/>
    </row>
    <row r="32" spans="1:36" ht="16.5" thickTop="1" thickBot="1">
      <c r="A32" s="1771" t="s">
        <v>1305</v>
      </c>
      <c r="B32" s="1772"/>
      <c r="C32" s="144">
        <f ca="1">IF(D32="总价",G19-C24,G20-C25)</f>
        <v>24240</v>
      </c>
      <c r="D32" s="1773" t="s">
        <v>3535</v>
      </c>
      <c r="E32" s="129"/>
      <c r="F32" s="129"/>
      <c r="G32" s="129"/>
      <c r="H32" s="129"/>
      <c r="I32" s="129"/>
    </row>
    <row r="33" spans="1:15" ht="15">
      <c r="A33" s="785" t="s">
        <v>1306</v>
      </c>
      <c r="B33" s="1774"/>
      <c r="C33" s="1775"/>
      <c r="D33" s="1776"/>
      <c r="E33" s="1777" t="s">
        <v>1307</v>
      </c>
      <c r="F33" s="1778" t="str">
        <f>IF(D32="楼面单价","取值（单价）","取值（总价）")</f>
        <v>取值（总价）</v>
      </c>
      <c r="G33" s="129"/>
      <c r="H33" s="129"/>
      <c r="I33" s="129"/>
    </row>
    <row r="34" spans="1:15" ht="15">
      <c r="A34" s="1779"/>
      <c r="B34" s="1780" t="s">
        <v>1308</v>
      </c>
      <c r="C34" s="148" t="e">
        <f ca="1">IF(C33="自定义",F34,C32-C35)</f>
        <v>#REF!</v>
      </c>
      <c r="D34" s="860" t="e">
        <f ca="1">IF(C33="自定义",ROUND(C34/C32,3),IF(C33="收益比率",SUMIF(INDIRECT("'"&amp;D33&amp;"'"&amp;"!b:b"),"土地收益比率",INDIRECT("'"&amp;D33&amp;"'"&amp;"!c:c")),SUMIF(INDIRECT("'"&amp;D33&amp;"'"&amp;"!b:b"),"土地成本比率",INDIRECT("'"&amp;D33&amp;"'"&amp;"!c:c"))))</f>
        <v>#REF!</v>
      </c>
      <c r="E34" s="1781" t="s">
        <v>1309</v>
      </c>
      <c r="F34" s="1328"/>
      <c r="G34" s="129"/>
      <c r="H34" s="129"/>
      <c r="I34" s="129"/>
    </row>
    <row r="35" spans="1:15" ht="15.75" thickBot="1">
      <c r="A35" s="1782"/>
      <c r="B35" s="1783" t="s">
        <v>1310</v>
      </c>
      <c r="C35" s="1169" t="e">
        <f ca="1">IF(C33="自定义",F35,ROUND(C32*D35,0))</f>
        <v>#REF!</v>
      </c>
      <c r="D35" s="1170" t="e">
        <f ca="1">IF(C33="自定义",ROUND(C35/C32,3),IF(C33="收益比率",SUMIF(INDIRECT("'"&amp;D33&amp;"'"&amp;"!b:b"),"建筑物收益比率",INDIRECT("'"&amp;D33&amp;"'"&amp;"!c:c")),SUMIF(INDIRECT("'"&amp;D33&amp;"'"&amp;"!b:b"),"建筑物成本比率",INDIRECT("'"&amp;D33&amp;"'"&amp;"!c:c"))))</f>
        <v>#REF!</v>
      </c>
      <c r="E35" s="1784" t="s">
        <v>1311</v>
      </c>
      <c r="F35" s="154"/>
      <c r="G35" s="129"/>
      <c r="H35" s="129"/>
      <c r="I35" s="129"/>
    </row>
    <row r="36" spans="1:15" ht="15.75" thickBot="1">
      <c r="A36" s="3678" t="s">
        <v>1312</v>
      </c>
      <c r="B36" s="1785" t="s">
        <v>1313</v>
      </c>
      <c r="C36" s="145"/>
      <c r="D36" s="1786"/>
      <c r="E36" s="1787"/>
      <c r="F36" s="1788"/>
      <c r="G36" s="129"/>
      <c r="H36" s="129"/>
      <c r="I36" s="129"/>
    </row>
    <row r="37" spans="1:15" ht="15.75" thickBot="1">
      <c r="A37" s="3679"/>
      <c r="B37" s="1672" t="s">
        <v>1314</v>
      </c>
      <c r="C37" s="147"/>
      <c r="D37" s="1138"/>
      <c r="E37" s="1138"/>
      <c r="F37" s="1788"/>
      <c r="G37" s="129"/>
      <c r="H37" s="129"/>
      <c r="I37" s="129"/>
    </row>
    <row r="38" spans="1:15" ht="15.75" thickBot="1">
      <c r="A38" s="3680"/>
      <c r="B38" s="1789" t="s">
        <v>1315</v>
      </c>
      <c r="C38" s="673"/>
      <c r="D38" s="1790" t="s">
        <v>1316</v>
      </c>
      <c r="E38" s="1138"/>
      <c r="F38" s="1788"/>
      <c r="G38" s="129"/>
      <c r="H38" s="129"/>
      <c r="I38" s="129"/>
    </row>
    <row r="39" spans="1:15" ht="15">
      <c r="A39" s="1762" t="s">
        <v>1317</v>
      </c>
      <c r="B39" s="1791" t="s">
        <v>1318</v>
      </c>
      <c r="C39" s="1792" t="s">
        <v>1319</v>
      </c>
      <c r="D39" s="1792" t="s">
        <v>1320</v>
      </c>
      <c r="E39" s="1793" t="s">
        <v>1321</v>
      </c>
      <c r="F39" s="1788"/>
      <c r="G39" s="129"/>
      <c r="H39" s="129"/>
      <c r="I39" s="129"/>
    </row>
    <row r="40" spans="1:15" ht="14.25">
      <c r="A40" s="1794" t="s">
        <v>1322</v>
      </c>
      <c r="B40" s="149"/>
      <c r="C40" s="150"/>
      <c r="D40" s="150"/>
      <c r="E40" s="151"/>
      <c r="F40" s="1788"/>
      <c r="G40" s="129"/>
      <c r="H40" s="129"/>
      <c r="I40" s="129"/>
    </row>
    <row r="41" spans="1:15" ht="14.25">
      <c r="A41" s="1794" t="s">
        <v>1323</v>
      </c>
      <c r="B41" s="149"/>
      <c r="C41" s="150"/>
      <c r="D41" s="150"/>
      <c r="E41" s="151"/>
      <c r="F41" s="1788"/>
      <c r="G41" s="129"/>
      <c r="H41" s="129"/>
      <c r="I41" s="129"/>
    </row>
    <row r="42" spans="1:15" ht="15" thickBot="1">
      <c r="A42" s="1795"/>
      <c r="B42" s="152"/>
      <c r="C42" s="153"/>
      <c r="D42" s="153"/>
      <c r="E42" s="154"/>
      <c r="F42" s="1788"/>
      <c r="G42" s="129"/>
      <c r="H42" s="129"/>
      <c r="I42" s="129"/>
    </row>
    <row r="43" spans="1:15" ht="12.75">
      <c r="A43" s="1575"/>
      <c r="B43" s="1575"/>
      <c r="C43" s="1575"/>
      <c r="D43" s="1575"/>
      <c r="E43" s="1575"/>
      <c r="F43" s="1796"/>
      <c r="G43" s="1796"/>
      <c r="H43" s="1796"/>
      <c r="I43" s="1797"/>
    </row>
    <row r="44" spans="1:15" ht="18.75">
      <c r="A44" s="1798" t="s">
        <v>1324</v>
      </c>
      <c r="B44" s="1799"/>
      <c r="C44" s="1799"/>
      <c r="D44" s="1800"/>
      <c r="E44" s="1800"/>
      <c r="F44" s="1801"/>
      <c r="G44" s="1801"/>
      <c r="H44" s="1801"/>
      <c r="I44" s="1801"/>
      <c r="J44" s="1802" t="s">
        <v>1325</v>
      </c>
      <c r="K44" s="1803"/>
      <c r="L44" s="1803"/>
      <c r="M44" s="1803"/>
      <c r="N44" s="1803"/>
      <c r="O44" s="1803"/>
    </row>
    <row r="45" spans="1:15" ht="14.25" customHeight="1" thickBot="1">
      <c r="A45" s="3698" t="s">
        <v>1326</v>
      </c>
      <c r="B45" s="3699"/>
      <c r="C45" s="3700"/>
      <c r="D45" s="155">
        <f ca="1">ROUND(H101*F45,0)</f>
        <v>24240</v>
      </c>
      <c r="E45" s="156" t="s">
        <v>1327</v>
      </c>
      <c r="F45" s="157">
        <v>1</v>
      </c>
      <c r="G45" s="158" t="s">
        <v>1328</v>
      </c>
      <c r="H45" s="129"/>
      <c r="I45" s="129"/>
      <c r="J45" s="3618" t="s">
        <v>1329</v>
      </c>
      <c r="K45" s="3618"/>
      <c r="L45" s="3618"/>
      <c r="M45" s="3618"/>
      <c r="N45" s="3618"/>
      <c r="O45" s="3618"/>
    </row>
    <row r="46" spans="1:15" ht="14.25" customHeight="1">
      <c r="A46" s="3695" t="s">
        <v>1330</v>
      </c>
      <c r="B46" s="3696"/>
      <c r="C46" s="3696"/>
      <c r="D46" s="3696"/>
      <c r="E46" s="3696"/>
      <c r="F46" s="3696"/>
      <c r="G46" s="3697"/>
      <c r="H46" s="1804"/>
      <c r="I46" s="159"/>
      <c r="J46" s="2520">
        <v>1</v>
      </c>
      <c r="K46" s="3619" t="s">
        <v>1331</v>
      </c>
      <c r="L46" s="3619"/>
      <c r="M46" s="3620"/>
      <c r="N46" s="3620"/>
      <c r="O46" s="3620"/>
    </row>
    <row r="47" spans="1:15" ht="12" customHeight="1">
      <c r="A47" s="160" t="s">
        <v>1332</v>
      </c>
      <c r="B47" s="161"/>
      <c r="C47" s="162"/>
      <c r="D47" s="1086" t="s">
        <v>1333</v>
      </c>
      <c r="E47" s="302" t="s">
        <v>1334</v>
      </c>
      <c r="F47" s="163" t="s">
        <v>1335</v>
      </c>
      <c r="G47" s="2543" t="s">
        <v>1336</v>
      </c>
      <c r="H47" s="2544"/>
      <c r="I47" s="159"/>
      <c r="J47" s="2520">
        <v>2</v>
      </c>
      <c r="K47" s="3619" t="s">
        <v>1337</v>
      </c>
      <c r="L47" s="3619"/>
      <c r="M47" s="3621">
        <f>'数据-取费表'!B2</f>
        <v>45068</v>
      </c>
      <c r="N47" s="3621"/>
      <c r="O47" s="3621"/>
    </row>
    <row r="48" spans="1:15" ht="25.5">
      <c r="A48" s="3681" t="s">
        <v>1338</v>
      </c>
      <c r="B48" s="3682"/>
      <c r="C48" s="3682"/>
      <c r="D48" s="2321" t="b">
        <f>IF(H48="情况1",0,IF(H48="情况2",D52,IF(H48="情况3",D53,IF(H48="情况4",D54))))</f>
        <v>0</v>
      </c>
      <c r="E48" s="2331" t="str">
        <f>IF(H48="情况4","(销售额-原购置价)×税（费）率","销售额×税（费）率")</f>
        <v>销售额×税（费）率</v>
      </c>
      <c r="F48" s="2545">
        <f>IF(H48="情况1","免征",'数据-取费表'!B41)</f>
        <v>5.5000000000000007E-2</v>
      </c>
      <c r="G48" s="2546" t="s">
        <v>1339</v>
      </c>
      <c r="H48" s="2547"/>
      <c r="I48" s="1804"/>
      <c r="J48" s="2520">
        <v>3</v>
      </c>
      <c r="K48" s="3619" t="s">
        <v>1340</v>
      </c>
      <c r="L48" s="3619"/>
      <c r="M48" s="3622">
        <f ca="1">H101</f>
        <v>24240</v>
      </c>
      <c r="N48" s="3622"/>
      <c r="O48" s="3622"/>
    </row>
    <row r="49" spans="1:35" ht="25.5" customHeight="1">
      <c r="A49" s="2330" t="s">
        <v>1341</v>
      </c>
      <c r="B49" s="3667" t="s">
        <v>1342</v>
      </c>
      <c r="C49" s="3667"/>
      <c r="D49" s="1588">
        <v>0</v>
      </c>
      <c r="E49" s="324" t="s">
        <v>1343</v>
      </c>
      <c r="F49" s="2421" t="s">
        <v>28</v>
      </c>
      <c r="G49" s="3650"/>
      <c r="H49" s="2307" t="s">
        <v>2132</v>
      </c>
      <c r="I49" s="2308"/>
      <c r="J49" s="2520">
        <v>4</v>
      </c>
      <c r="K49" s="3619" t="str">
        <f>IF(项目基本情况!E8="房地产抵押价值","房地产抵押价值","抵押担保权已注销时的房地产抵押价值")</f>
        <v>房地产抵押价值</v>
      </c>
      <c r="L49" s="3619"/>
      <c r="M49" s="3622">
        <f ca="1">IF(项目基本情况!E8="房地产抵押价值",H107,H109)</f>
        <v>24240</v>
      </c>
      <c r="N49" s="3622"/>
      <c r="O49" s="3622"/>
    </row>
    <row r="50" spans="1:35" ht="25.5" customHeight="1">
      <c r="A50" s="2548"/>
      <c r="B50" s="3667" t="s">
        <v>1344</v>
      </c>
      <c r="C50" s="3667"/>
      <c r="D50" s="2549"/>
      <c r="E50" s="332"/>
      <c r="F50" s="2421"/>
      <c r="G50" s="3651"/>
      <c r="H50" s="2309" t="s">
        <v>2133</v>
      </c>
      <c r="I50" s="2308"/>
      <c r="J50" s="3618" t="s">
        <v>1345</v>
      </c>
      <c r="K50" s="3618"/>
      <c r="L50" s="3618"/>
      <c r="M50" s="3618"/>
      <c r="N50" s="3618"/>
      <c r="O50" s="3618"/>
    </row>
    <row r="51" spans="1:35" ht="20.45" customHeight="1">
      <c r="A51" s="2550"/>
      <c r="B51" s="3667" t="s">
        <v>1346</v>
      </c>
      <c r="C51" s="3667"/>
      <c r="D51" s="1086"/>
      <c r="E51" s="327"/>
      <c r="F51" s="2421"/>
      <c r="G51" s="3652"/>
      <c r="H51" s="2309" t="s">
        <v>2134</v>
      </c>
      <c r="I51" s="2308"/>
      <c r="J51" s="2521" t="s">
        <v>1347</v>
      </c>
      <c r="K51" s="3619" t="s">
        <v>1348</v>
      </c>
      <c r="L51" s="3619"/>
      <c r="M51" s="2521" t="s">
        <v>1349</v>
      </c>
      <c r="N51" s="2521" t="s">
        <v>1350</v>
      </c>
      <c r="O51" s="2521" t="s">
        <v>1351</v>
      </c>
    </row>
    <row r="52" spans="1:35" ht="24" customHeight="1">
      <c r="A52" s="2332" t="s">
        <v>1352</v>
      </c>
      <c r="B52" s="3667" t="s">
        <v>1353</v>
      </c>
      <c r="C52" s="3667"/>
      <c r="D52" s="1086">
        <f ca="1">ROUND(D45*'数据-取费表'!B41/(1+'数据-取费表'!C42),0)</f>
        <v>1270</v>
      </c>
      <c r="E52" s="2331" t="s">
        <v>1354</v>
      </c>
      <c r="F52" s="2551">
        <f>'数据-取费表'!B41</f>
        <v>5.5000000000000007E-2</v>
      </c>
      <c r="G52" s="2552"/>
      <c r="H52" s="2541"/>
      <c r="I52" s="1805"/>
      <c r="J52" s="2520">
        <v>1</v>
      </c>
      <c r="K52" s="3644" t="s">
        <v>1355</v>
      </c>
      <c r="L52" s="3644"/>
      <c r="M52" s="2522" t="b">
        <f>D48</f>
        <v>0</v>
      </c>
      <c r="N52" s="2520" t="str">
        <f>E48</f>
        <v>销售额×税（费）率</v>
      </c>
      <c r="O52" s="2523">
        <f>F48</f>
        <v>5.5000000000000007E-2</v>
      </c>
    </row>
    <row r="53" spans="1:35" ht="12" customHeight="1">
      <c r="A53" s="2332" t="s">
        <v>1356</v>
      </c>
      <c r="B53" s="3668" t="s">
        <v>2289</v>
      </c>
      <c r="C53" s="3669"/>
      <c r="D53" s="1086">
        <f ca="1">ROUND(D45*'数据-取费表'!B41/(1+'数据-取费表'!C42),0)</f>
        <v>1270</v>
      </c>
      <c r="E53" s="2331" t="s">
        <v>1354</v>
      </c>
      <c r="F53" s="2551">
        <f>'数据-取费表'!B41</f>
        <v>5.5000000000000007E-2</v>
      </c>
      <c r="G53" s="2552"/>
      <c r="H53" s="2541"/>
      <c r="I53" s="1805"/>
      <c r="J53" s="2520">
        <v>2</v>
      </c>
      <c r="K53" s="3644" t="s">
        <v>1357</v>
      </c>
      <c r="L53" s="3644"/>
      <c r="M53" s="2522">
        <f t="shared" ref="M53:O54" ca="1" si="0">D55</f>
        <v>12</v>
      </c>
      <c r="N53" s="2520" t="str">
        <f t="shared" si="0"/>
        <v>销售额×税（费）率</v>
      </c>
      <c r="O53" s="2523" t="str">
        <f t="shared" si="0"/>
        <v>免征</v>
      </c>
    </row>
    <row r="54" spans="1:35" ht="12" customHeight="1">
      <c r="A54" s="2332" t="s">
        <v>1358</v>
      </c>
      <c r="B54" s="3668" t="s">
        <v>2290</v>
      </c>
      <c r="C54" s="3669"/>
      <c r="D54" s="1086">
        <f ca="1">C68</f>
        <v>1270</v>
      </c>
      <c r="E54" s="327" t="s">
        <v>1359</v>
      </c>
      <c r="F54" s="2551">
        <f>'数据-取费表'!B41</f>
        <v>5.5000000000000007E-2</v>
      </c>
      <c r="G54" s="2552"/>
      <c r="H54" s="2553"/>
      <c r="I54" s="1805"/>
      <c r="J54" s="2520">
        <v>3</v>
      </c>
      <c r="K54" s="3644" t="s">
        <v>1360</v>
      </c>
      <c r="L54" s="3644"/>
      <c r="M54" s="2522">
        <f t="shared" ca="1" si="0"/>
        <v>13742</v>
      </c>
      <c r="N54" s="2520" t="str">
        <f t="shared" si="0"/>
        <v>增值额×税（费）率</v>
      </c>
      <c r="O54" s="2524" t="str">
        <f t="shared" si="0"/>
        <v>免征</v>
      </c>
    </row>
    <row r="55" spans="1:35" ht="24" customHeight="1">
      <c r="A55" s="3704" t="s">
        <v>1361</v>
      </c>
      <c r="B55" s="3682"/>
      <c r="C55" s="3682"/>
      <c r="D55" s="2321">
        <f ca="1">IF(H55="个人住宅",0,ROUND(D45*I55,0))</f>
        <v>12</v>
      </c>
      <c r="E55" s="2331" t="s">
        <v>1362</v>
      </c>
      <c r="F55" s="2551" t="str">
        <f>IF(H55="正常",I55,"免征")</f>
        <v>免征</v>
      </c>
      <c r="G55" s="2552"/>
      <c r="H55" s="2547"/>
      <c r="I55" s="165">
        <f>'数据-取费表'!B49</f>
        <v>5.0000000000000001E-4</v>
      </c>
      <c r="J55" s="2520">
        <f>IF(H59="非个人房产","",4)</f>
        <v>4</v>
      </c>
      <c r="K55" s="3644" t="str">
        <f>IF(H59="非个人房产","——","个人所得税")</f>
        <v>个人所得税</v>
      </c>
      <c r="L55" s="3644"/>
      <c r="M55" s="2525">
        <f ca="1">D59</f>
        <v>231</v>
      </c>
      <c r="N55" s="2037" t="str">
        <f>E59</f>
        <v>差额计税</v>
      </c>
      <c r="O55" s="2526">
        <f>F59</f>
        <v>0.01</v>
      </c>
    </row>
    <row r="56" spans="1:35" ht="24.75">
      <c r="A56" s="3704" t="s">
        <v>1363</v>
      </c>
      <c r="B56" s="3682"/>
      <c r="C56" s="3682"/>
      <c r="D56" s="2321">
        <f ca="1">IF(H56="个人住宅",D57,D58)</f>
        <v>13742</v>
      </c>
      <c r="E56" s="2331" t="s">
        <v>1364</v>
      </c>
      <c r="F56" s="2551" t="str">
        <f>IF(H56="正常",F58,"免征")</f>
        <v>免征</v>
      </c>
      <c r="G56" s="2554" t="s">
        <v>1365</v>
      </c>
      <c r="H56" s="2555"/>
      <c r="I56" s="1806"/>
      <c r="J56" s="2520" t="str">
        <f>IF(项目基本情况!K6="上海银行",IF(J55="",4,J55+1),"")</f>
        <v/>
      </c>
      <c r="K56" s="3625" t="str">
        <f>IF(项目基本情况!K6="上海银行","其他处置费用","")</f>
        <v/>
      </c>
      <c r="L56" s="3626"/>
      <c r="M56" s="2522" t="str">
        <f>IF(项目基本情况!K6="上海银行",M69,"")</f>
        <v/>
      </c>
      <c r="N56" s="3625" t="str">
        <f>IF(项目基本情况!K6="上海银行","包含处置中涉及的律师、诉讼、拍卖、评估等费用","")</f>
        <v/>
      </c>
      <c r="O56" s="3628"/>
    </row>
    <row r="57" spans="1:35" ht="12.75">
      <c r="A57" s="2332" t="s">
        <v>1341</v>
      </c>
      <c r="B57" s="3668" t="s">
        <v>1366</v>
      </c>
      <c r="C57" s="3669"/>
      <c r="D57" s="1588">
        <v>0</v>
      </c>
      <c r="E57" s="324" t="s">
        <v>1343</v>
      </c>
      <c r="F57" s="302"/>
      <c r="G57" s="2552"/>
      <c r="H57" s="2556"/>
      <c r="I57" s="1806"/>
      <c r="J57" s="3644">
        <f>IF(AND(J55="",J56=""),4,IF(项目基本情况!K6="上海银行",结果表!J56+1,结果表!J55+1))</f>
        <v>5</v>
      </c>
      <c r="K57" s="3644" t="s">
        <v>1367</v>
      </c>
      <c r="L57" s="2527" t="s">
        <v>1368</v>
      </c>
      <c r="M57" s="2528"/>
      <c r="N57" s="2529">
        <f ca="1">SUMIF(M52:M56,"&lt;9e307")</f>
        <v>13985</v>
      </c>
      <c r="O57" s="2530"/>
      <c r="P57" s="2687">
        <f ca="1">N57/M49</f>
        <v>0.57693894389438949</v>
      </c>
    </row>
    <row r="58" spans="1:35" ht="24.75">
      <c r="A58" s="2332" t="s">
        <v>1352</v>
      </c>
      <c r="B58" s="3668" t="s">
        <v>1369</v>
      </c>
      <c r="C58" s="3667"/>
      <c r="D58" s="2321">
        <f ca="1">IF(H58="转让取得",C81,C97)</f>
        <v>13742</v>
      </c>
      <c r="E58" s="2331" t="s">
        <v>1364</v>
      </c>
      <c r="F58" s="302" t="s">
        <v>28</v>
      </c>
      <c r="G58" s="2552"/>
      <c r="H58" s="2555"/>
      <c r="I58" s="1806"/>
      <c r="J58" s="3644"/>
      <c r="K58" s="3644"/>
      <c r="L58" s="2527" t="s">
        <v>1370</v>
      </c>
      <c r="M58" s="2531"/>
      <c r="N58" s="2532" t="str">
        <f ca="1">NUMBERSTRING(INT(N57*10000),2)&amp;"元整"</f>
        <v>壹亿叁仟玖佰捌拾伍万元整</v>
      </c>
      <c r="O58" s="2533"/>
    </row>
    <row r="59" spans="1:35" ht="24.75" thickBot="1">
      <c r="A59" s="3648" t="s">
        <v>1371</v>
      </c>
      <c r="B59" s="3649"/>
      <c r="C59" s="3649"/>
      <c r="D59" s="2557">
        <f ca="1">IF(H59="非个人房产","——",IF(H59="个人住宅（满五唯一有凭证）",0,IF(H59="个人其他（无凭证）",ROUND(D45*F59,0),ROUND(C67*F59,0))))</f>
        <v>231</v>
      </c>
      <c r="E59" s="2558" t="str">
        <f>IF(H59="非个人房产","——",IF(H59="个人其他（无凭证）","销售额×税（费）率",IF(H59="个人住宅（满五唯一有凭证）","免征","差额计税")))</f>
        <v>差额计税</v>
      </c>
      <c r="F59" s="2559">
        <f>IF(OR(H59="非个人房产",H59="个人住宅（满五唯一有凭证）"),"——",IF(H59="个人其他（有凭证）",20%,1%))</f>
        <v>0.01</v>
      </c>
      <c r="G59" s="2560" t="s">
        <v>1365</v>
      </c>
      <c r="H59" s="2311"/>
      <c r="I59" s="2310" t="s">
        <v>2135</v>
      </c>
      <c r="J59" s="3646">
        <f>J57+1</f>
        <v>6</v>
      </c>
      <c r="K59" s="3644" t="s">
        <v>1372</v>
      </c>
      <c r="L59" s="2520" t="s">
        <v>1368</v>
      </c>
      <c r="M59" s="2534"/>
      <c r="N59" s="2535">
        <f ca="1">M49-N57</f>
        <v>10255</v>
      </c>
      <c r="O59" s="2536"/>
    </row>
    <row r="60" spans="1:35" ht="12" customHeight="1">
      <c r="A60" s="1807"/>
      <c r="B60" s="1745"/>
      <c r="C60" s="1745"/>
      <c r="D60" s="1745"/>
      <c r="E60" s="1576"/>
      <c r="F60" s="1806"/>
      <c r="G60" s="1806"/>
      <c r="H60" s="1808"/>
      <c r="I60" s="129"/>
      <c r="J60" s="3647"/>
      <c r="K60" s="3644"/>
      <c r="L60" s="2527" t="s">
        <v>1370</v>
      </c>
      <c r="M60" s="2531"/>
      <c r="N60" s="2532" t="str">
        <f ca="1">NUMBERSTRING(INT(N59*10000),2)&amp;"元整"</f>
        <v>壹亿零贰佰伍拾伍万元整</v>
      </c>
      <c r="O60" s="2533"/>
    </row>
    <row r="61" spans="1:35" ht="13.5" thickBot="1">
      <c r="A61" s="3703" t="s">
        <v>1373</v>
      </c>
      <c r="B61" s="3703"/>
      <c r="C61" s="3703"/>
      <c r="D61" s="3703"/>
      <c r="E61" s="3703"/>
      <c r="F61" s="1806"/>
      <c r="G61" s="1806"/>
      <c r="H61" s="1808"/>
      <c r="I61" s="129"/>
      <c r="J61" s="2520">
        <f>J59+1</f>
        <v>7</v>
      </c>
      <c r="K61" s="3644" t="s">
        <v>1374</v>
      </c>
      <c r="L61" s="3644"/>
      <c r="M61" s="2537"/>
      <c r="N61" s="2538">
        <f ca="1">ROUND(N59*10000/'数据-汇总表'!E3,0)</f>
        <v>5111</v>
      </c>
      <c r="O61" s="2539"/>
    </row>
    <row r="62" spans="1:35" ht="12.75">
      <c r="A62" s="3663" t="s">
        <v>1375</v>
      </c>
      <c r="B62" s="3664"/>
      <c r="C62" s="2018"/>
      <c r="D62" s="2018" t="s">
        <v>1376</v>
      </c>
      <c r="E62" s="166" t="s">
        <v>1377</v>
      </c>
      <c r="F62" s="1806"/>
      <c r="G62" s="1806"/>
      <c r="H62" s="1808"/>
      <c r="I62" s="129"/>
    </row>
    <row r="63" spans="1:35" ht="12.75">
      <c r="A63" s="173" t="s">
        <v>330</v>
      </c>
      <c r="B63" s="167" t="s">
        <v>1378</v>
      </c>
      <c r="C63" s="2561">
        <f ca="1">ROUND((C64+C65)/(1+'数据-取费表'!C42),0)</f>
        <v>23086</v>
      </c>
      <c r="D63" s="167"/>
      <c r="E63" s="168"/>
      <c r="F63" s="1806"/>
      <c r="G63" s="1806"/>
      <c r="H63" s="1808"/>
      <c r="I63" s="129"/>
      <c r="J63" s="3627" t="s">
        <v>1379</v>
      </c>
      <c r="K63" s="1330" t="s">
        <v>1380</v>
      </c>
      <c r="L63" s="1330">
        <f ca="1">IF(M49&gt;10000,M49*0.5%,IF(AND(M49&gt;1000,M49&lt;=10000),M49*1%,IF(AND(M49&gt;100,M49&lt;=1000),M49*3%,IF(AND(M49&gt;10,M49&lt;=100),M49*5%,M49*8%))))</f>
        <v>121.2</v>
      </c>
      <c r="M63" s="302">
        <f ca="1">ROUND(L63,1)</f>
        <v>121.2</v>
      </c>
      <c r="N63" s="2540"/>
      <c r="Z63" s="1750"/>
      <c r="AI63" s="1751"/>
    </row>
    <row r="64" spans="1:35" ht="14.25" customHeight="1">
      <c r="A64" s="169" t="s">
        <v>325</v>
      </c>
      <c r="B64" s="170" t="s">
        <v>1381</v>
      </c>
      <c r="C64" s="2562">
        <f ca="1">D45</f>
        <v>24240</v>
      </c>
      <c r="D64" s="170" t="s">
        <v>26</v>
      </c>
      <c r="E64" s="172"/>
      <c r="F64" s="1806"/>
      <c r="G64" s="1806"/>
      <c r="H64" s="1808"/>
      <c r="I64" s="129"/>
      <c r="J64" s="3627"/>
      <c r="K64" s="1330" t="s">
        <v>1382</v>
      </c>
      <c r="L64" s="1330">
        <f ca="1">IF(M49&gt;2000,M49*0.5%,IF(AND(M49&gt;1000,M49&lt;=2000),M49*0.6%,IF(AND(M49&gt;500,M49&lt;=1000),M49*0.7%,IF(AND(M49&gt;200,M49&lt;=500),M49*0.8%,IF(AND(M49&gt;100,M49&lt;=200),M49*0.9%,IF(AND(M49&gt;50,M49&lt;=100),M49*1%,IF(AND(M49&gt;20,M49&lt;=50),M49*1.5%,IF(AND(M49&gt;10,M49&lt;=20),M49*2%,IF(AND(M49&gt;1,M49&lt;=10),M49*2.5%)))))))))</f>
        <v>121.2</v>
      </c>
      <c r="M64" s="302">
        <f t="shared" ref="M64:M65" ca="1" si="1">ROUND(L64,1)</f>
        <v>121.2</v>
      </c>
      <c r="N64" s="2541" t="s">
        <v>1383</v>
      </c>
      <c r="Z64" s="1750"/>
      <c r="AI64" s="1751"/>
    </row>
    <row r="65" spans="1:35" ht="14.25" customHeight="1">
      <c r="A65" s="169" t="s">
        <v>326</v>
      </c>
      <c r="B65" s="170" t="s">
        <v>1384</v>
      </c>
      <c r="C65" s="2563"/>
      <c r="D65" s="170"/>
      <c r="E65" s="172"/>
      <c r="F65" s="1806"/>
      <c r="G65" s="1806"/>
      <c r="H65" s="1808"/>
      <c r="I65" s="129"/>
      <c r="J65" s="3627"/>
      <c r="K65" s="1330" t="s">
        <v>1385</v>
      </c>
      <c r="L65" s="1330">
        <f ca="1">IF(M49&gt;1000,M49*0.1%,IF(AND(M49&gt;500,M49&lt;=1000),M49*0.5%,IF(AND(M49&gt;50,M49&lt;=500),M49*1%,IF(AND(M49&gt;1,M49&lt;=50),M49*1.5%))))</f>
        <v>24.240000000000002</v>
      </c>
      <c r="M65" s="302">
        <f t="shared" ca="1" si="1"/>
        <v>24.2</v>
      </c>
      <c r="N65" s="2541" t="s">
        <v>1383</v>
      </c>
      <c r="Z65" s="1750"/>
      <c r="AI65" s="1751"/>
    </row>
    <row r="66" spans="1:35" ht="14.25" customHeight="1">
      <c r="A66" s="173" t="s">
        <v>327</v>
      </c>
      <c r="B66" s="174" t="s">
        <v>1386</v>
      </c>
      <c r="C66" s="2564"/>
      <c r="D66" s="174" t="s">
        <v>26</v>
      </c>
      <c r="E66" s="1336" t="s">
        <v>671</v>
      </c>
      <c r="F66" s="1806"/>
      <c r="G66" s="1806"/>
      <c r="H66" s="1808"/>
      <c r="I66" s="129"/>
      <c r="J66" s="3627"/>
      <c r="K66" s="1330" t="s">
        <v>1387</v>
      </c>
      <c r="L66" s="1330">
        <f ca="1">M49*0.5%</f>
        <v>121.2</v>
      </c>
      <c r="M66" s="302">
        <f ca="1">IF(L66&gt;0.5,0.5,ROUND(L66,0))</f>
        <v>0.5</v>
      </c>
      <c r="N66" s="2541" t="s">
        <v>1388</v>
      </c>
      <c r="Z66" s="1750"/>
      <c r="AI66" s="1751"/>
    </row>
    <row r="67" spans="1:35" ht="14.25" customHeight="1">
      <c r="A67" s="173" t="s">
        <v>328</v>
      </c>
      <c r="B67" s="174" t="s">
        <v>1389</v>
      </c>
      <c r="C67" s="2565">
        <f ca="1">C63-C66</f>
        <v>23086</v>
      </c>
      <c r="D67" s="170" t="s">
        <v>26</v>
      </c>
      <c r="E67" s="172"/>
      <c r="F67" s="1806"/>
      <c r="G67" s="1806"/>
      <c r="H67" s="1808"/>
      <c r="I67" s="129"/>
      <c r="J67" s="3627"/>
      <c r="K67" s="1330" t="s">
        <v>1390</v>
      </c>
      <c r="L67" s="1330">
        <f ca="1">IF(M49&gt;=10000,(8.25+(M49-10000)*0.01%),IF(AND(M49&gt;=8000,M49&lt;10000),(7.85+(M49-8000)*0.02%),IF(AND(M49&gt;=5000,M49&lt;8000),(6.65+(M49-5000)*0.04%),IF(AND(M49&gt;=2000,M49&lt;5000),(4.25+(PM49-2000)*0.08%),IF(AND(M49&gt;=1000,M49&lt;2000),(2.75+(M49-1000)*0.15%),IF(AND(M49&gt;=100,M49&lt;1000),(0.5+(M49-100)*0.25%),IF(AND(M49&gt;0,M49&lt;100),M49*0.5%)))))))</f>
        <v>9.6739999999999995</v>
      </c>
      <c r="M67" s="302">
        <f ca="1">ROUND(L67*0.9,1)</f>
        <v>8.6999999999999993</v>
      </c>
      <c r="N67" s="2540"/>
      <c r="Z67" s="1750"/>
      <c r="AI67" s="1751"/>
    </row>
    <row r="68" spans="1:35" ht="14.25" customHeight="1" thickBot="1">
      <c r="A68" s="176" t="s">
        <v>329</v>
      </c>
      <c r="B68" s="177" t="s">
        <v>1391</v>
      </c>
      <c r="C68" s="2566">
        <f ca="1">IF(C67&lt;=0,0,ROUND(C67*D68,0))</f>
        <v>1270</v>
      </c>
      <c r="D68" s="2567">
        <f>'数据-取费表'!B41</f>
        <v>5.5000000000000007E-2</v>
      </c>
      <c r="E68" s="178"/>
      <c r="F68" s="1806"/>
      <c r="G68" s="1806"/>
      <c r="H68" s="1808"/>
      <c r="I68" s="129"/>
      <c r="J68" s="3627"/>
      <c r="K68" s="1330" t="s">
        <v>1392</v>
      </c>
      <c r="L68" s="1330">
        <f ca="1">IF(M49&gt;10000,M49*0.5%,IF(AND(M49&gt;5000,M49&lt;=10000),M49*1%,IF(AND(M49&gt;1000,M49&lt;=5000),M49*2%,IF(AND(M49&gt;200,M49&lt;=1000),M49*3%,M49*5%))))</f>
        <v>121.2</v>
      </c>
      <c r="M68" s="302">
        <f ca="1">ROUND(L68,1)</f>
        <v>121.2</v>
      </c>
      <c r="N68" s="2540"/>
      <c r="Z68" s="1750"/>
      <c r="AI68" s="1751"/>
    </row>
    <row r="69" spans="1:35" s="1770" customFormat="1" ht="16.5" customHeight="1">
      <c r="A69" s="1809"/>
      <c r="B69" s="1810"/>
      <c r="C69" s="1811"/>
      <c r="D69" s="1812"/>
      <c r="E69" s="1813"/>
      <c r="F69" s="1576"/>
      <c r="G69" s="1576"/>
      <c r="H69" s="1575"/>
      <c r="I69" s="1745"/>
      <c r="J69" s="3627"/>
      <c r="K69" s="1330" t="s">
        <v>1393</v>
      </c>
      <c r="L69" s="1330"/>
      <c r="M69" s="302">
        <f ca="1">ROUND(SUM(M63:M68),0)</f>
        <v>397</v>
      </c>
      <c r="N69" s="2542">
        <f ca="1">M69/M49</f>
        <v>1.6377887788778876E-2</v>
      </c>
      <c r="O69" s="724"/>
      <c r="P69" s="724"/>
      <c r="Q69" s="724"/>
      <c r="R69" s="724"/>
      <c r="S69" s="724"/>
      <c r="T69" s="724"/>
      <c r="U69" s="724"/>
      <c r="V69" s="724"/>
      <c r="W69" s="724"/>
      <c r="X69" s="724"/>
      <c r="Y69" s="724"/>
      <c r="Z69" s="1750"/>
      <c r="AA69" s="1750"/>
      <c r="AB69" s="1750"/>
      <c r="AC69" s="1750"/>
      <c r="AD69" s="1750"/>
      <c r="AE69" s="1750"/>
      <c r="AF69" s="1750"/>
      <c r="AG69" s="1750"/>
      <c r="AH69" s="1750"/>
    </row>
    <row r="70" spans="1:35" s="1815" customFormat="1" ht="15" thickBot="1">
      <c r="A70" s="3671" t="s">
        <v>1394</v>
      </c>
      <c r="B70" s="3672"/>
      <c r="C70" s="3672"/>
      <c r="D70" s="3672"/>
      <c r="E70" s="3672"/>
      <c r="F70" s="3672"/>
      <c r="G70" s="3672"/>
      <c r="H70" s="3672"/>
      <c r="I70" s="1814"/>
      <c r="J70" s="2688"/>
      <c r="K70" s="2688"/>
      <c r="L70" s="2688"/>
      <c r="M70" s="2688"/>
      <c r="N70" s="1816"/>
      <c r="O70" s="1816"/>
      <c r="P70" s="1816"/>
      <c r="Q70" s="1816"/>
      <c r="R70" s="1816"/>
      <c r="S70" s="1816"/>
      <c r="T70" s="1816"/>
      <c r="U70" s="1816"/>
      <c r="V70" s="1816"/>
      <c r="W70" s="1816"/>
      <c r="X70" s="1816"/>
      <c r="Y70" s="1816"/>
      <c r="Z70" s="1816"/>
      <c r="AA70" s="1817"/>
      <c r="AB70" s="1817"/>
      <c r="AC70" s="1817"/>
      <c r="AD70" s="1817"/>
      <c r="AE70" s="1817"/>
      <c r="AF70" s="1817"/>
      <c r="AG70" s="1817"/>
      <c r="AH70" s="1817"/>
      <c r="AI70" s="1817"/>
    </row>
    <row r="71" spans="1:35" s="1815" customFormat="1" ht="14.25">
      <c r="A71" s="3663" t="s">
        <v>1375</v>
      </c>
      <c r="B71" s="3664"/>
      <c r="C71" s="2018"/>
      <c r="D71" s="2018" t="s">
        <v>1376</v>
      </c>
      <c r="E71" s="179" t="s">
        <v>1377</v>
      </c>
      <c r="F71" s="180"/>
      <c r="G71" s="180"/>
      <c r="H71" s="181"/>
      <c r="I71" s="1818"/>
      <c r="J71" s="2688"/>
      <c r="K71" s="2688"/>
      <c r="L71" s="2688"/>
      <c r="M71" s="2688"/>
      <c r="N71" s="1816"/>
      <c r="O71" s="1816"/>
      <c r="P71" s="1816"/>
      <c r="Q71" s="1816"/>
      <c r="R71" s="1816"/>
      <c r="S71" s="1816"/>
      <c r="T71" s="1816"/>
      <c r="U71" s="1816"/>
      <c r="V71" s="1816"/>
      <c r="W71" s="1816"/>
      <c r="X71" s="1816"/>
      <c r="Y71" s="1816"/>
      <c r="Z71" s="1816"/>
      <c r="AA71" s="1817"/>
      <c r="AB71" s="1817"/>
      <c r="AC71" s="1817"/>
      <c r="AD71" s="1817"/>
      <c r="AE71" s="1817"/>
      <c r="AF71" s="1817"/>
      <c r="AG71" s="1817"/>
      <c r="AH71" s="1817"/>
      <c r="AI71" s="1817"/>
    </row>
    <row r="72" spans="1:35" s="1815" customFormat="1" ht="14.25">
      <c r="A72" s="173" t="s">
        <v>330</v>
      </c>
      <c r="B72" s="174" t="s">
        <v>1395</v>
      </c>
      <c r="C72" s="2565">
        <f ca="1">ROUND(D45/(1+'数据-取费表'!C42),0)</f>
        <v>23086</v>
      </c>
      <c r="D72" s="170" t="s">
        <v>26</v>
      </c>
      <c r="E72" s="2328"/>
      <c r="F72" s="2327"/>
      <c r="G72" s="2327"/>
      <c r="H72" s="182"/>
      <c r="I72" s="1818"/>
      <c r="J72" s="2688"/>
      <c r="K72" s="2688"/>
      <c r="L72" s="2688"/>
      <c r="M72" s="2688"/>
      <c r="N72" s="1816"/>
      <c r="O72" s="1816"/>
      <c r="P72" s="1816"/>
      <c r="Q72" s="1816"/>
      <c r="R72" s="1816"/>
      <c r="S72" s="1816"/>
      <c r="T72" s="1816"/>
      <c r="U72" s="1816"/>
      <c r="V72" s="1816"/>
      <c r="W72" s="1816"/>
      <c r="X72" s="1816"/>
      <c r="Y72" s="1816"/>
      <c r="Z72" s="1816"/>
      <c r="AA72" s="1817"/>
      <c r="AB72" s="1817"/>
      <c r="AC72" s="1817"/>
      <c r="AD72" s="1817"/>
      <c r="AE72" s="1817"/>
      <c r="AF72" s="1817"/>
      <c r="AG72" s="1817"/>
      <c r="AH72" s="1817"/>
      <c r="AI72" s="1817"/>
    </row>
    <row r="73" spans="1:35" s="1815" customFormat="1" ht="14.25">
      <c r="A73" s="173" t="s">
        <v>327</v>
      </c>
      <c r="B73" s="163" t="s">
        <v>1396</v>
      </c>
      <c r="C73" s="2565">
        <f ca="1">C74+C78</f>
        <v>115</v>
      </c>
      <c r="D73" s="170" t="s">
        <v>26</v>
      </c>
      <c r="E73" s="2328"/>
      <c r="F73" s="2327"/>
      <c r="G73" s="2327"/>
      <c r="H73" s="182"/>
      <c r="I73" s="1818"/>
      <c r="J73" s="1816"/>
      <c r="K73" s="1816"/>
      <c r="L73" s="1816"/>
      <c r="M73" s="1816"/>
      <c r="N73" s="1816"/>
      <c r="O73" s="1816"/>
      <c r="P73" s="1816"/>
      <c r="Q73" s="1816"/>
      <c r="R73" s="1816"/>
      <c r="S73" s="1816"/>
      <c r="T73" s="1816"/>
      <c r="U73" s="1816"/>
      <c r="V73" s="1816"/>
      <c r="W73" s="1816"/>
      <c r="X73" s="1816"/>
      <c r="Y73" s="1816"/>
      <c r="Z73" s="1816"/>
      <c r="AA73" s="1817"/>
      <c r="AB73" s="1817"/>
      <c r="AC73" s="1817"/>
      <c r="AD73" s="1817"/>
      <c r="AE73" s="1817"/>
      <c r="AF73" s="1817"/>
      <c r="AG73" s="1817"/>
      <c r="AH73" s="1817"/>
      <c r="AI73" s="1817"/>
    </row>
    <row r="74" spans="1:35" s="1815" customFormat="1" ht="24">
      <c r="A74" s="169" t="s">
        <v>325</v>
      </c>
      <c r="B74" s="170" t="s">
        <v>1397</v>
      </c>
      <c r="C74" s="170">
        <f>ROUND(IF(G77="2016年5月1日后购买",C75/(1+'数据-取费表'!C42)+C76+C77,C75+C76+C77),0)</f>
        <v>0</v>
      </c>
      <c r="D74" s="170" t="s">
        <v>26</v>
      </c>
      <c r="E74" s="2328"/>
      <c r="F74" s="2327"/>
      <c r="G74" s="2327"/>
      <c r="H74" s="182"/>
      <c r="I74" s="1818"/>
      <c r="J74" s="1816"/>
      <c r="K74" s="1816"/>
      <c r="L74" s="1816"/>
      <c r="M74" s="1816"/>
      <c r="N74" s="1816"/>
      <c r="O74" s="1816"/>
      <c r="P74" s="1816"/>
      <c r="Q74" s="1816"/>
      <c r="R74" s="1816"/>
      <c r="S74" s="1816"/>
      <c r="T74" s="1816"/>
      <c r="U74" s="1816"/>
      <c r="V74" s="1816"/>
      <c r="W74" s="1816"/>
      <c r="X74" s="1816"/>
      <c r="Y74" s="1816"/>
      <c r="Z74" s="1816"/>
      <c r="AA74" s="1817"/>
      <c r="AB74" s="1817"/>
      <c r="AC74" s="1817"/>
      <c r="AD74" s="1817"/>
      <c r="AE74" s="1817"/>
      <c r="AF74" s="1817"/>
      <c r="AG74" s="1817"/>
      <c r="AH74" s="1817"/>
      <c r="AI74" s="1817"/>
    </row>
    <row r="75" spans="1:35" s="1815" customFormat="1" ht="14.25">
      <c r="A75" s="169" t="s">
        <v>331</v>
      </c>
      <c r="B75" s="170" t="s">
        <v>1398</v>
      </c>
      <c r="C75" s="2568"/>
      <c r="D75" s="170" t="s">
        <v>26</v>
      </c>
      <c r="E75" s="184" t="s">
        <v>1399</v>
      </c>
      <c r="F75" s="2569"/>
      <c r="G75" s="184" t="s">
        <v>1400</v>
      </c>
      <c r="H75" s="2570"/>
      <c r="I75" s="1819"/>
      <c r="J75" s="1816"/>
      <c r="K75" s="1816"/>
      <c r="L75" s="1816"/>
      <c r="M75" s="1816"/>
      <c r="N75" s="1816"/>
      <c r="O75" s="1816"/>
      <c r="P75" s="1816"/>
      <c r="Q75" s="1816"/>
      <c r="R75" s="1816"/>
      <c r="S75" s="1816"/>
      <c r="T75" s="1816"/>
      <c r="U75" s="1816"/>
      <c r="V75" s="1816"/>
      <c r="W75" s="1816"/>
      <c r="X75" s="1816"/>
      <c r="Y75" s="1816"/>
      <c r="Z75" s="1816"/>
      <c r="AA75" s="1817"/>
      <c r="AB75" s="1817"/>
      <c r="AC75" s="1817"/>
      <c r="AD75" s="1817"/>
      <c r="AE75" s="1817"/>
      <c r="AF75" s="1817"/>
      <c r="AG75" s="1817"/>
      <c r="AH75" s="1817"/>
      <c r="AI75" s="1817"/>
    </row>
    <row r="76" spans="1:35" s="1815" customFormat="1" ht="24.75" customHeight="1">
      <c r="A76" s="169" t="s">
        <v>332</v>
      </c>
      <c r="B76" s="185" t="s">
        <v>1401</v>
      </c>
      <c r="C76" s="170">
        <f>IF(F75="购房发票",ROUND(C75*H75*D76,0),0)</f>
        <v>0</v>
      </c>
      <c r="D76" s="2571">
        <v>0.05</v>
      </c>
      <c r="E76" s="3668" t="s">
        <v>1402</v>
      </c>
      <c r="F76" s="3667"/>
      <c r="G76" s="3667"/>
      <c r="H76" s="3670"/>
      <c r="I76" s="1818"/>
      <c r="J76" s="1816"/>
      <c r="K76" s="1816"/>
      <c r="L76" s="1816"/>
      <c r="M76" s="1816"/>
      <c r="N76" s="1816"/>
      <c r="O76" s="1816"/>
      <c r="P76" s="1816"/>
      <c r="Q76" s="1816"/>
      <c r="R76" s="1816"/>
      <c r="S76" s="1816"/>
      <c r="T76" s="1816"/>
      <c r="U76" s="1816"/>
      <c r="V76" s="1816"/>
      <c r="W76" s="1816"/>
      <c r="X76" s="1816"/>
      <c r="Y76" s="1816"/>
      <c r="Z76" s="1816"/>
      <c r="AA76" s="1817"/>
      <c r="AB76" s="1817"/>
      <c r="AC76" s="1817"/>
      <c r="AD76" s="1817"/>
      <c r="AE76" s="1817"/>
      <c r="AF76" s="1817"/>
      <c r="AG76" s="1817"/>
      <c r="AH76" s="1817"/>
      <c r="AI76" s="1817"/>
    </row>
    <row r="77" spans="1:35" s="1815" customFormat="1" ht="24.75" customHeight="1">
      <c r="A77" s="169" t="s">
        <v>333</v>
      </c>
      <c r="B77" s="170" t="s">
        <v>1403</v>
      </c>
      <c r="C77" s="170">
        <f>ROUND(IF(G77="个人住宅",0,IF(G77="2016年5月1日前购买",C75*D77,C75*D77/(1+'数据-取费表'!C42))),0)</f>
        <v>0</v>
      </c>
      <c r="D77" s="2572">
        <f>'数据-取费表'!B48+'数据-取费表'!B49</f>
        <v>3.0499999999999999E-2</v>
      </c>
      <c r="E77" s="2321" t="s">
        <v>1404</v>
      </c>
      <c r="F77" s="186"/>
      <c r="G77" s="1820"/>
      <c r="H77" s="2329" t="str">
        <f>IF(G77="个人买卖住房","免征印花税"," ")</f>
        <v xml:space="preserve"> </v>
      </c>
      <c r="I77" s="1818"/>
      <c r="J77" s="1816"/>
      <c r="K77" s="1816"/>
      <c r="L77" s="1816"/>
      <c r="M77" s="1816"/>
      <c r="N77" s="1816"/>
      <c r="O77" s="1816"/>
      <c r="P77" s="1816"/>
      <c r="Q77" s="1816"/>
      <c r="R77" s="1816"/>
      <c r="S77" s="1816"/>
      <c r="T77" s="1816"/>
      <c r="U77" s="1816"/>
      <c r="V77" s="1816"/>
      <c r="W77" s="1816"/>
      <c r="X77" s="1816"/>
      <c r="Y77" s="1816"/>
      <c r="Z77" s="1816"/>
      <c r="AA77" s="1817"/>
      <c r="AB77" s="1817"/>
      <c r="AC77" s="1817"/>
      <c r="AD77" s="1817"/>
      <c r="AE77" s="1817"/>
      <c r="AF77" s="1817"/>
      <c r="AG77" s="1817"/>
      <c r="AH77" s="1817"/>
      <c r="AI77" s="1817"/>
    </row>
    <row r="78" spans="1:35" s="1815" customFormat="1" ht="24.75" customHeight="1">
      <c r="A78" s="169" t="s">
        <v>326</v>
      </c>
      <c r="B78" s="170" t="s">
        <v>1405</v>
      </c>
      <c r="C78" s="2573">
        <f ca="1">ROUND(D45*D78/(1+'数据-取费表'!C42),0)</f>
        <v>115</v>
      </c>
      <c r="D78" s="2574">
        <f>'数据-取费表'!B43</f>
        <v>5.000000000000001E-3</v>
      </c>
      <c r="E78" s="3660" t="s">
        <v>1406</v>
      </c>
      <c r="F78" s="3661"/>
      <c r="G78" s="3661"/>
      <c r="H78" s="3662"/>
      <c r="I78" s="1821"/>
      <c r="J78" s="1816"/>
      <c r="K78" s="1816"/>
      <c r="L78" s="1816"/>
      <c r="M78" s="1816"/>
      <c r="N78" s="1816"/>
      <c r="O78" s="1816"/>
      <c r="P78" s="1816"/>
      <c r="Q78" s="1816"/>
      <c r="R78" s="1816"/>
      <c r="S78" s="1816"/>
      <c r="T78" s="1816"/>
      <c r="U78" s="1816"/>
      <c r="V78" s="1816"/>
      <c r="W78" s="1816"/>
      <c r="X78" s="1816"/>
      <c r="Y78" s="1816"/>
      <c r="Z78" s="1816"/>
      <c r="AA78" s="1817"/>
      <c r="AB78" s="1817"/>
      <c r="AC78" s="1817"/>
      <c r="AD78" s="1817"/>
      <c r="AE78" s="1817"/>
      <c r="AF78" s="1817"/>
      <c r="AG78" s="1817"/>
      <c r="AH78" s="1817"/>
      <c r="AI78" s="1817"/>
    </row>
    <row r="79" spans="1:35" s="1815" customFormat="1" ht="14.25">
      <c r="A79" s="173" t="s">
        <v>334</v>
      </c>
      <c r="B79" s="174" t="s">
        <v>1407</v>
      </c>
      <c r="C79" s="2565">
        <f ca="1">C72-C73</f>
        <v>22971</v>
      </c>
      <c r="D79" s="170" t="s">
        <v>26</v>
      </c>
      <c r="E79" s="2328"/>
      <c r="F79" s="2327"/>
      <c r="G79" s="2327"/>
      <c r="H79" s="182"/>
      <c r="I79" s="1818"/>
      <c r="J79" s="1816"/>
      <c r="K79" s="1816"/>
      <c r="L79" s="1816"/>
      <c r="M79" s="1816"/>
      <c r="N79" s="1816"/>
      <c r="O79" s="1816"/>
      <c r="P79" s="1816"/>
      <c r="Q79" s="1816"/>
      <c r="R79" s="1816"/>
      <c r="S79" s="1816"/>
      <c r="T79" s="1816"/>
      <c r="U79" s="1816"/>
      <c r="V79" s="1816"/>
      <c r="W79" s="1816"/>
      <c r="X79" s="1816"/>
      <c r="Y79" s="1816"/>
      <c r="Z79" s="1816"/>
      <c r="AA79" s="1817"/>
      <c r="AB79" s="1817"/>
      <c r="AC79" s="1817"/>
      <c r="AD79" s="1817"/>
      <c r="AE79" s="1817"/>
      <c r="AF79" s="1817"/>
      <c r="AG79" s="1817"/>
      <c r="AH79" s="1817"/>
      <c r="AI79" s="1817"/>
    </row>
    <row r="80" spans="1:35" s="1815" customFormat="1" ht="24">
      <c r="A80" s="173" t="s">
        <v>335</v>
      </c>
      <c r="B80" s="174" t="s">
        <v>1408</v>
      </c>
      <c r="C80" s="2575">
        <f ca="1">IF(C79&lt;=0,0,C79/C73)</f>
        <v>199.74782608695651</v>
      </c>
      <c r="D80" s="170" t="s">
        <v>26</v>
      </c>
      <c r="E80" s="2321" t="str">
        <f ca="1">IF(C80&gt;=200%,"增值额超过扣除项目金额200%",IF(C80&gt;=100%,"增值额超过扣除项目金额100%，未超过200%",IF(C80&gt;=50%,"增值额超过扣除项目金额50%，未超过100%",IF(C80&lt;50%,"增值额未超过扣除项目金额50%"))))</f>
        <v>增值额超过扣除项目金额200%</v>
      </c>
      <c r="F80" s="2327"/>
      <c r="G80" s="2327"/>
      <c r="H80" s="182"/>
      <c r="I80" s="1818"/>
      <c r="J80" s="1816"/>
      <c r="K80" s="1816"/>
      <c r="L80" s="1816"/>
      <c r="M80" s="1816"/>
      <c r="N80" s="1816"/>
      <c r="O80" s="1816"/>
      <c r="P80" s="1816"/>
      <c r="Q80" s="1816"/>
      <c r="R80" s="1816"/>
      <c r="S80" s="1816"/>
      <c r="T80" s="1816"/>
      <c r="U80" s="1816"/>
      <c r="V80" s="1816"/>
      <c r="W80" s="1816"/>
      <c r="X80" s="1816"/>
      <c r="Y80" s="1816"/>
      <c r="Z80" s="1816"/>
      <c r="AA80" s="1817"/>
      <c r="AB80" s="1817"/>
      <c r="AC80" s="1817"/>
      <c r="AD80" s="1817"/>
      <c r="AE80" s="1817"/>
      <c r="AF80" s="1817"/>
      <c r="AG80" s="1817"/>
      <c r="AH80" s="1817"/>
      <c r="AI80" s="1817"/>
    </row>
    <row r="81" spans="1:35" s="1815" customFormat="1" ht="24.75" thickBot="1">
      <c r="A81" s="176" t="s">
        <v>336</v>
      </c>
      <c r="B81" s="177" t="s">
        <v>1409</v>
      </c>
      <c r="C81" s="2576">
        <f ca="1">ROUND(IF(C79&lt;=0,0,IF(C80&gt;=200%,C79*60%-C73*35%,IF(C80&gt;=100%,C79*50%-C73*15%,IF(C80&gt;=50%,C79*40%-C73*5%,IF(C80&lt;50%,C79*30%,0))))),0)</f>
        <v>13742</v>
      </c>
      <c r="D81" s="2577"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18"/>
      <c r="J81" s="1816"/>
      <c r="K81" s="1816"/>
      <c r="L81" s="1816"/>
      <c r="M81" s="1816"/>
      <c r="N81" s="1816"/>
      <c r="O81" s="1816"/>
      <c r="P81" s="1816"/>
      <c r="Q81" s="1816"/>
      <c r="R81" s="1816"/>
      <c r="S81" s="1816"/>
      <c r="T81" s="1816"/>
      <c r="U81" s="1816"/>
      <c r="V81" s="1816"/>
      <c r="W81" s="1816"/>
      <c r="X81" s="1816"/>
      <c r="Y81" s="1816"/>
      <c r="Z81" s="1816"/>
      <c r="AA81" s="1817"/>
      <c r="AB81" s="1817"/>
      <c r="AC81" s="1817"/>
      <c r="AD81" s="1817"/>
      <c r="AE81" s="1817"/>
      <c r="AF81" s="1817"/>
      <c r="AG81" s="1817"/>
      <c r="AH81" s="1817"/>
      <c r="AI81" s="1817"/>
    </row>
    <row r="82" spans="1:35" s="1815" customFormat="1" ht="7.5" customHeight="1">
      <c r="A82" s="679"/>
      <c r="B82" s="680"/>
      <c r="C82" s="4"/>
      <c r="D82" s="4"/>
      <c r="E82" s="680"/>
      <c r="F82" s="680"/>
      <c r="G82" s="680"/>
      <c r="H82" s="681"/>
      <c r="I82" s="1821"/>
      <c r="J82" s="1816"/>
      <c r="K82" s="1816"/>
      <c r="L82" s="1816"/>
      <c r="M82" s="1816"/>
      <c r="N82" s="1816"/>
      <c r="O82" s="1816"/>
      <c r="P82" s="1816"/>
      <c r="Q82" s="1816"/>
      <c r="R82" s="1816"/>
      <c r="S82" s="1816"/>
      <c r="T82" s="1816"/>
      <c r="U82" s="1816"/>
      <c r="V82" s="1816"/>
      <c r="W82" s="1816"/>
      <c r="X82" s="1816"/>
      <c r="Y82" s="1816"/>
      <c r="Z82" s="1816"/>
      <c r="AA82" s="1817"/>
      <c r="AB82" s="1817"/>
      <c r="AC82" s="1817"/>
      <c r="AD82" s="1817"/>
      <c r="AE82" s="1817"/>
      <c r="AF82" s="1817"/>
      <c r="AG82" s="1817"/>
      <c r="AH82" s="1817"/>
      <c r="AI82" s="1817"/>
    </row>
    <row r="83" spans="1:35" s="1815" customFormat="1" ht="15" thickBot="1">
      <c r="A83" s="3671" t="s">
        <v>1410</v>
      </c>
      <c r="B83" s="3672"/>
      <c r="C83" s="3672"/>
      <c r="D83" s="3672"/>
      <c r="E83" s="3672"/>
      <c r="F83" s="3672"/>
      <c r="G83" s="3672"/>
      <c r="H83" s="3672"/>
      <c r="I83" s="1819"/>
      <c r="J83" s="1816"/>
      <c r="K83" s="1816"/>
      <c r="L83" s="1816"/>
      <c r="M83" s="1816"/>
      <c r="N83" s="1816"/>
      <c r="O83" s="1816"/>
      <c r="P83" s="1816"/>
      <c r="Q83" s="1816"/>
      <c r="R83" s="1816"/>
      <c r="S83" s="1816"/>
      <c r="T83" s="1816"/>
      <c r="U83" s="1816"/>
      <c r="V83" s="1816"/>
      <c r="W83" s="1816"/>
      <c r="X83" s="1816"/>
      <c r="Y83" s="1816"/>
      <c r="Z83" s="1816"/>
      <c r="AA83" s="1817"/>
      <c r="AB83" s="1817"/>
      <c r="AC83" s="1817"/>
      <c r="AD83" s="1817"/>
      <c r="AE83" s="1817"/>
      <c r="AF83" s="1817"/>
      <c r="AG83" s="1817"/>
      <c r="AH83" s="1817"/>
      <c r="AI83" s="1817"/>
    </row>
    <row r="84" spans="1:35" s="1815" customFormat="1" ht="14.25">
      <c r="A84" s="3663" t="s">
        <v>1375</v>
      </c>
      <c r="B84" s="3664"/>
      <c r="C84" s="2018"/>
      <c r="D84" s="2018" t="s">
        <v>1376</v>
      </c>
      <c r="E84" s="179" t="s">
        <v>1377</v>
      </c>
      <c r="F84" s="180"/>
      <c r="G84" s="180"/>
      <c r="H84" s="191"/>
      <c r="I84" s="1819"/>
      <c r="J84" s="1816"/>
      <c r="K84" s="1816"/>
      <c r="L84" s="1816"/>
      <c r="M84" s="1816"/>
      <c r="N84" s="1816"/>
      <c r="O84" s="1816"/>
      <c r="P84" s="1816"/>
      <c r="Q84" s="1816"/>
      <c r="R84" s="1816"/>
      <c r="S84" s="1816"/>
      <c r="T84" s="1816"/>
      <c r="U84" s="1816"/>
      <c r="V84" s="1816"/>
      <c r="W84" s="1816"/>
      <c r="X84" s="1816"/>
      <c r="Y84" s="1816"/>
      <c r="Z84" s="1816"/>
      <c r="AA84" s="1817"/>
      <c r="AB84" s="1817"/>
      <c r="AC84" s="1817"/>
      <c r="AD84" s="1817"/>
      <c r="AE84" s="1817"/>
      <c r="AF84" s="1817"/>
      <c r="AG84" s="1817"/>
      <c r="AH84" s="1817"/>
      <c r="AI84" s="1817"/>
    </row>
    <row r="85" spans="1:35" s="1815" customFormat="1" ht="14.25">
      <c r="A85" s="173" t="s">
        <v>330</v>
      </c>
      <c r="B85" s="174" t="s">
        <v>1395</v>
      </c>
      <c r="C85" s="2565">
        <f ca="1">ROUND(D45/(1+'数据-取费表'!C42),0)</f>
        <v>23086</v>
      </c>
      <c r="D85" s="170" t="s">
        <v>26</v>
      </c>
      <c r="E85" s="2328"/>
      <c r="F85" s="2327"/>
      <c r="G85" s="2327"/>
      <c r="H85" s="192"/>
      <c r="I85" s="1819"/>
      <c r="J85" s="1816"/>
      <c r="K85" s="1816"/>
      <c r="L85" s="1816"/>
      <c r="M85" s="1816"/>
      <c r="N85" s="1816"/>
      <c r="O85" s="1816"/>
      <c r="P85" s="1816"/>
      <c r="Q85" s="1816"/>
      <c r="R85" s="1816"/>
      <c r="S85" s="1816"/>
      <c r="T85" s="1816"/>
      <c r="U85" s="1816"/>
      <c r="V85" s="1816"/>
      <c r="W85" s="1816"/>
      <c r="X85" s="1816"/>
      <c r="Y85" s="1816"/>
      <c r="Z85" s="1816"/>
      <c r="AA85" s="1817"/>
      <c r="AB85" s="1817"/>
      <c r="AC85" s="1817"/>
      <c r="AD85" s="1817"/>
      <c r="AE85" s="1817"/>
      <c r="AF85" s="1817"/>
      <c r="AG85" s="1817"/>
      <c r="AH85" s="1817"/>
      <c r="AI85" s="1817"/>
    </row>
    <row r="86" spans="1:35" s="1815" customFormat="1" ht="14.25">
      <c r="A86" s="173" t="s">
        <v>327</v>
      </c>
      <c r="B86" s="163" t="s">
        <v>1396</v>
      </c>
      <c r="C86" s="2565">
        <f ca="1">IF(H88="仅含出让金",C87+C90+C91+C92+C93+C94,C87+C91+C92+C93+C94)</f>
        <v>115</v>
      </c>
      <c r="D86" s="2578"/>
      <c r="E86" s="2328"/>
      <c r="F86" s="2327"/>
      <c r="G86" s="2327"/>
      <c r="H86" s="192"/>
      <c r="I86" s="1819"/>
      <c r="J86" s="1816"/>
      <c r="K86" s="1816"/>
      <c r="L86" s="1816"/>
      <c r="M86" s="1816"/>
      <c r="N86" s="1816"/>
      <c r="O86" s="1816"/>
      <c r="P86" s="1816"/>
      <c r="Q86" s="1816"/>
      <c r="R86" s="1816"/>
      <c r="S86" s="1816"/>
      <c r="T86" s="1816"/>
      <c r="U86" s="1816"/>
      <c r="V86" s="1816"/>
      <c r="W86" s="1816"/>
      <c r="X86" s="1816"/>
      <c r="Y86" s="1816"/>
      <c r="Z86" s="1816"/>
      <c r="AA86" s="1817"/>
      <c r="AB86" s="1817"/>
      <c r="AC86" s="1817"/>
      <c r="AD86" s="1817"/>
      <c r="AE86" s="1817"/>
      <c r="AF86" s="1817"/>
      <c r="AG86" s="1817"/>
      <c r="AH86" s="1817"/>
      <c r="AI86" s="1817"/>
    </row>
    <row r="87" spans="1:35" s="1815" customFormat="1" ht="14.25">
      <c r="A87" s="169" t="s">
        <v>325</v>
      </c>
      <c r="B87" s="170" t="s">
        <v>1411</v>
      </c>
      <c r="C87" s="2573">
        <f>C88+C89</f>
        <v>0</v>
      </c>
      <c r="D87" s="2574"/>
      <c r="E87" s="2323"/>
      <c r="F87" s="2324"/>
      <c r="G87" s="2324"/>
      <c r="H87" s="2325"/>
      <c r="I87" s="1819"/>
      <c r="J87" s="1816"/>
      <c r="K87" s="1816"/>
      <c r="L87" s="1816"/>
      <c r="M87" s="1816"/>
      <c r="N87" s="1816"/>
      <c r="O87" s="1816"/>
      <c r="P87" s="1816"/>
      <c r="Q87" s="1816"/>
      <c r="R87" s="1816"/>
      <c r="S87" s="1816"/>
      <c r="T87" s="1816"/>
      <c r="U87" s="1816"/>
      <c r="V87" s="1816"/>
      <c r="W87" s="1816"/>
      <c r="X87" s="1816"/>
      <c r="Y87" s="1816"/>
      <c r="Z87" s="1816"/>
      <c r="AA87" s="1817"/>
      <c r="AB87" s="1817"/>
      <c r="AC87" s="1817"/>
      <c r="AD87" s="1817"/>
      <c r="AE87" s="1817"/>
      <c r="AF87" s="1817"/>
      <c r="AG87" s="1817"/>
      <c r="AH87" s="1817"/>
      <c r="AI87" s="1817"/>
    </row>
    <row r="88" spans="1:35" s="1815" customFormat="1" ht="14.25">
      <c r="A88" s="169" t="s">
        <v>331</v>
      </c>
      <c r="B88" s="170" t="s">
        <v>1412</v>
      </c>
      <c r="C88" s="2579"/>
      <c r="D88" s="2574"/>
      <c r="E88" s="193" t="s">
        <v>1413</v>
      </c>
      <c r="F88" s="2324"/>
      <c r="G88" s="194" t="s">
        <v>1414</v>
      </c>
      <c r="H88" s="1822"/>
      <c r="I88" s="1819"/>
      <c r="J88" s="2518" t="s">
        <v>2286</v>
      </c>
      <c r="K88" s="1816"/>
      <c r="L88" s="1816"/>
      <c r="M88" s="1816"/>
      <c r="N88" s="1816"/>
      <c r="O88" s="1816"/>
      <c r="P88" s="1816"/>
      <c r="Q88" s="1816"/>
      <c r="R88" s="1816"/>
      <c r="S88" s="1816"/>
      <c r="T88" s="1816"/>
      <c r="U88" s="1816"/>
      <c r="V88" s="1816"/>
      <c r="W88" s="1816"/>
      <c r="X88" s="1816"/>
      <c r="Y88" s="1816"/>
      <c r="Z88" s="1816"/>
      <c r="AA88" s="1817"/>
      <c r="AB88" s="1817"/>
      <c r="AC88" s="1817"/>
      <c r="AD88" s="1817"/>
      <c r="AE88" s="1817"/>
      <c r="AF88" s="1817"/>
      <c r="AG88" s="1817"/>
      <c r="AH88" s="1817"/>
      <c r="AI88" s="1817"/>
    </row>
    <row r="89" spans="1:35" s="1815" customFormat="1" ht="14.25">
      <c r="A89" s="169" t="s">
        <v>332</v>
      </c>
      <c r="B89" s="170" t="s">
        <v>1403</v>
      </c>
      <c r="C89" s="2573">
        <f>ROUND(C88*D89,0)</f>
        <v>0</v>
      </c>
      <c r="D89" s="2574">
        <f>'数据-取费表'!B48+'数据-取费表'!B49</f>
        <v>3.0499999999999999E-2</v>
      </c>
      <c r="E89" s="193" t="s">
        <v>1415</v>
      </c>
      <c r="F89" s="2324"/>
      <c r="G89" s="2324"/>
      <c r="H89" s="2325"/>
      <c r="I89" s="1819"/>
      <c r="J89" s="1816"/>
      <c r="K89" s="1816"/>
      <c r="L89" s="1816"/>
      <c r="M89" s="1816"/>
      <c r="N89" s="1816"/>
      <c r="O89" s="1816"/>
      <c r="P89" s="1816"/>
      <c r="Q89" s="1816"/>
      <c r="R89" s="1816"/>
      <c r="S89" s="1816"/>
      <c r="T89" s="1816"/>
      <c r="U89" s="1816"/>
      <c r="V89" s="1816"/>
      <c r="W89" s="1816"/>
      <c r="X89" s="1816"/>
      <c r="Y89" s="1816"/>
      <c r="Z89" s="1816"/>
      <c r="AA89" s="1817"/>
      <c r="AB89" s="1817"/>
      <c r="AC89" s="1817"/>
      <c r="AD89" s="1817"/>
      <c r="AE89" s="1817"/>
      <c r="AF89" s="1817"/>
      <c r="AG89" s="1817"/>
      <c r="AH89" s="1817"/>
      <c r="AI89" s="1817"/>
    </row>
    <row r="90" spans="1:35" s="1815" customFormat="1" ht="14.25">
      <c r="A90" s="169" t="s">
        <v>326</v>
      </c>
      <c r="B90" s="170" t="s">
        <v>1416</v>
      </c>
      <c r="C90" s="2579"/>
      <c r="D90" s="2574"/>
      <c r="E90" s="193" t="str">
        <f>IF(H88="-","土地取得成本中已包含该笔费用"," ")</f>
        <v xml:space="preserve"> </v>
      </c>
      <c r="F90" s="2324"/>
      <c r="G90" s="3629" t="s">
        <v>2127</v>
      </c>
      <c r="H90" s="3630"/>
      <c r="I90" s="1819"/>
      <c r="J90" s="2518" t="s">
        <v>2287</v>
      </c>
      <c r="K90" s="1816"/>
      <c r="L90" s="1816"/>
      <c r="M90" s="1816"/>
      <c r="N90" s="1816"/>
      <c r="O90" s="1816"/>
      <c r="P90" s="1816"/>
      <c r="Q90" s="1816"/>
      <c r="R90" s="1816"/>
      <c r="S90" s="1816"/>
      <c r="T90" s="1816"/>
      <c r="U90" s="1816"/>
      <c r="V90" s="1816"/>
      <c r="W90" s="1816"/>
      <c r="X90" s="1816"/>
      <c r="Y90" s="1816"/>
      <c r="Z90" s="1816"/>
      <c r="AA90" s="1817"/>
      <c r="AB90" s="1817"/>
      <c r="AC90" s="1817"/>
      <c r="AD90" s="1817"/>
      <c r="AE90" s="1817"/>
      <c r="AF90" s="1817"/>
      <c r="AG90" s="1817"/>
      <c r="AH90" s="1817"/>
      <c r="AI90" s="1817"/>
    </row>
    <row r="91" spans="1:35" s="1815" customFormat="1" ht="27.75" customHeight="1">
      <c r="A91" s="169" t="s">
        <v>1417</v>
      </c>
      <c r="B91" s="170" t="s">
        <v>1418</v>
      </c>
      <c r="C91" s="2573">
        <f>IF(H91="——",成本法!C33,I91)</f>
        <v>0</v>
      </c>
      <c r="D91" s="2574"/>
      <c r="E91" s="3660" t="s">
        <v>1419</v>
      </c>
      <c r="F91" s="3661"/>
      <c r="G91" s="3661"/>
      <c r="H91" s="1823"/>
      <c r="I91" s="1824"/>
      <c r="J91" s="1816"/>
      <c r="K91" s="1816"/>
      <c r="L91" s="1816"/>
      <c r="M91" s="1816"/>
      <c r="N91" s="1816"/>
      <c r="O91" s="1816"/>
      <c r="P91" s="1816"/>
      <c r="Q91" s="1816"/>
      <c r="R91" s="1816"/>
      <c r="S91" s="1816"/>
      <c r="T91" s="1816"/>
      <c r="U91" s="1816"/>
      <c r="V91" s="1816"/>
      <c r="W91" s="1816"/>
      <c r="X91" s="1816"/>
      <c r="Y91" s="1816"/>
      <c r="Z91" s="1816"/>
      <c r="AA91" s="1817"/>
      <c r="AB91" s="1817"/>
      <c r="AC91" s="1817"/>
      <c r="AD91" s="1817"/>
      <c r="AE91" s="1817"/>
      <c r="AF91" s="1817"/>
      <c r="AG91" s="1817"/>
      <c r="AH91" s="1817"/>
      <c r="AI91" s="1817"/>
    </row>
    <row r="92" spans="1:35" s="1815" customFormat="1" ht="25.5" customHeight="1">
      <c r="A92" s="169" t="s">
        <v>1420</v>
      </c>
      <c r="B92" s="170" t="s">
        <v>1421</v>
      </c>
      <c r="C92" s="2573">
        <f>ROUND((C87+C90+C91)*D92,0)</f>
        <v>0</v>
      </c>
      <c r="D92" s="2580"/>
      <c r="E92" s="3660" t="s">
        <v>1422</v>
      </c>
      <c r="F92" s="3661"/>
      <c r="G92" s="3661"/>
      <c r="H92" s="3662"/>
      <c r="I92" s="1819"/>
      <c r="J92" s="2519" t="s">
        <v>2288</v>
      </c>
      <c r="K92" s="1816"/>
      <c r="L92" s="1816"/>
      <c r="M92" s="1816"/>
      <c r="N92" s="1816"/>
      <c r="O92" s="1816"/>
      <c r="P92" s="1816"/>
      <c r="Q92" s="1816"/>
      <c r="R92" s="1816"/>
      <c r="S92" s="1816"/>
      <c r="T92" s="1816"/>
      <c r="U92" s="1816"/>
      <c r="V92" s="1816"/>
      <c r="W92" s="1816"/>
      <c r="X92" s="1816"/>
      <c r="Y92" s="1816"/>
      <c r="Z92" s="1816"/>
      <c r="AA92" s="1817"/>
      <c r="AB92" s="1817"/>
      <c r="AC92" s="1817"/>
      <c r="AD92" s="1817"/>
      <c r="AE92" s="1817"/>
      <c r="AF92" s="1817"/>
      <c r="AG92" s="1817"/>
      <c r="AH92" s="1817"/>
      <c r="AI92" s="1817"/>
    </row>
    <row r="93" spans="1:35" s="1815" customFormat="1" ht="25.5" customHeight="1">
      <c r="A93" s="169" t="s">
        <v>1423</v>
      </c>
      <c r="B93" s="170" t="s">
        <v>1405</v>
      </c>
      <c r="C93" s="2573">
        <f ca="1">ROUND(D45*D93/(1+'数据-取费表'!C42),0)</f>
        <v>115</v>
      </c>
      <c r="D93" s="2574">
        <f>'数据-取费表'!B43</f>
        <v>5.000000000000001E-3</v>
      </c>
      <c r="E93" s="3660" t="s">
        <v>1406</v>
      </c>
      <c r="F93" s="3661"/>
      <c r="G93" s="3661"/>
      <c r="H93" s="3662"/>
      <c r="I93" s="1819"/>
      <c r="J93" s="1816"/>
      <c r="K93" s="1816"/>
      <c r="L93" s="1816"/>
      <c r="M93" s="1816"/>
      <c r="N93" s="1816"/>
      <c r="O93" s="1816"/>
      <c r="P93" s="1816"/>
      <c r="Q93" s="1816"/>
      <c r="R93" s="1816"/>
      <c r="S93" s="1816"/>
      <c r="T93" s="1816"/>
      <c r="U93" s="1816"/>
      <c r="V93" s="1816"/>
      <c r="W93" s="1816"/>
      <c r="X93" s="1816"/>
      <c r="Y93" s="1816"/>
      <c r="Z93" s="1816"/>
      <c r="AA93" s="1817"/>
      <c r="AB93" s="1817"/>
      <c r="AC93" s="1817"/>
      <c r="AD93" s="1817"/>
      <c r="AE93" s="1817"/>
      <c r="AF93" s="1817"/>
      <c r="AG93" s="1817"/>
      <c r="AH93" s="1817"/>
      <c r="AI93" s="1817"/>
    </row>
    <row r="94" spans="1:35" s="1815" customFormat="1" ht="36.75" customHeight="1">
      <c r="A94" s="169" t="s">
        <v>1424</v>
      </c>
      <c r="B94" s="170" t="s">
        <v>1425</v>
      </c>
      <c r="C94" s="2579">
        <f>ROUND((C87+C90+C91)*D94,0)</f>
        <v>0</v>
      </c>
      <c r="D94" s="2574">
        <v>0.2</v>
      </c>
      <c r="E94" s="3705" t="s">
        <v>1426</v>
      </c>
      <c r="F94" s="3706"/>
      <c r="G94" s="3706"/>
      <c r="H94" s="3707"/>
      <c r="I94" s="1819"/>
      <c r="J94" s="1816"/>
      <c r="K94" s="1816"/>
      <c r="L94" s="1816"/>
      <c r="M94" s="1816"/>
      <c r="N94" s="1816"/>
      <c r="O94" s="1816"/>
      <c r="P94" s="1816"/>
      <c r="Q94" s="1816"/>
      <c r="R94" s="1816"/>
      <c r="S94" s="1816"/>
      <c r="T94" s="1816"/>
      <c r="U94" s="1816"/>
      <c r="V94" s="1816"/>
      <c r="W94" s="1816"/>
      <c r="X94" s="1816"/>
      <c r="Y94" s="1816"/>
      <c r="Z94" s="1816"/>
      <c r="AA94" s="1817"/>
      <c r="AB94" s="1817"/>
      <c r="AC94" s="1817"/>
      <c r="AD94" s="1817"/>
      <c r="AE94" s="1817"/>
      <c r="AF94" s="1817"/>
      <c r="AG94" s="1817"/>
      <c r="AH94" s="1817"/>
      <c r="AI94" s="1817"/>
    </row>
    <row r="95" spans="1:35" s="1815" customFormat="1" ht="14.25">
      <c r="A95" s="173" t="s">
        <v>334</v>
      </c>
      <c r="B95" s="174" t="s">
        <v>1407</v>
      </c>
      <c r="C95" s="2565">
        <f ca="1">ROUND(C85-C86,0)</f>
        <v>22971</v>
      </c>
      <c r="D95" s="170" t="s">
        <v>26</v>
      </c>
      <c r="E95" s="2328"/>
      <c r="F95" s="2327"/>
      <c r="G95" s="2327"/>
      <c r="H95" s="192"/>
      <c r="I95" s="1819"/>
      <c r="J95" s="1816"/>
      <c r="K95" s="1816"/>
      <c r="L95" s="1816"/>
      <c r="M95" s="1816"/>
      <c r="N95" s="1816"/>
      <c r="O95" s="1816"/>
      <c r="P95" s="1816"/>
      <c r="Q95" s="1816"/>
      <c r="R95" s="1816"/>
      <c r="S95" s="1816"/>
      <c r="T95" s="1816"/>
      <c r="U95" s="1816"/>
      <c r="V95" s="1816"/>
      <c r="W95" s="1816"/>
      <c r="X95" s="1816"/>
      <c r="Y95" s="1816"/>
      <c r="Z95" s="1816"/>
      <c r="AA95" s="1817"/>
      <c r="AB95" s="1817"/>
      <c r="AC95" s="1817"/>
      <c r="AD95" s="1817"/>
      <c r="AE95" s="1817"/>
      <c r="AF95" s="1817"/>
      <c r="AG95" s="1817"/>
      <c r="AH95" s="1817"/>
      <c r="AI95" s="1817"/>
    </row>
    <row r="96" spans="1:35" s="1815" customFormat="1" ht="24">
      <c r="A96" s="173" t="s">
        <v>335</v>
      </c>
      <c r="B96" s="174" t="s">
        <v>1408</v>
      </c>
      <c r="C96" s="2575">
        <f ca="1">IF(C95&lt;=0,0,C95/C86)</f>
        <v>199.74782608695651</v>
      </c>
      <c r="D96" s="170" t="s">
        <v>26</v>
      </c>
      <c r="E96" s="2321" t="str">
        <f ca="1">IF(C96&gt;=200%,"增值额超过扣除项目金额200%",IF(C96&gt;=100%,"增值额超过扣除项目金额100%，未超过200%",IF(C96&gt;=50%,"增值额超过扣除项目金额50%，未超过100%",IF(C96&lt;50%,"增值额未超过扣除项目金额50%"))))</f>
        <v>增值额超过扣除项目金额200%</v>
      </c>
      <c r="F96" s="2327"/>
      <c r="G96" s="2327"/>
      <c r="H96" s="192"/>
      <c r="I96" s="1819"/>
      <c r="J96" s="1816"/>
      <c r="K96" s="1816"/>
      <c r="L96" s="1816"/>
      <c r="M96" s="1816"/>
      <c r="N96" s="1816"/>
      <c r="O96" s="1816"/>
      <c r="P96" s="1816"/>
      <c r="Q96" s="1816"/>
      <c r="R96" s="1816"/>
      <c r="S96" s="1816"/>
      <c r="T96" s="1816"/>
      <c r="U96" s="1816"/>
      <c r="V96" s="1816"/>
      <c r="W96" s="1816"/>
      <c r="X96" s="1816"/>
      <c r="Y96" s="1816"/>
      <c r="Z96" s="1816"/>
      <c r="AA96" s="1817"/>
      <c r="AB96" s="1817"/>
      <c r="AC96" s="1817"/>
      <c r="AD96" s="1817"/>
      <c r="AE96" s="1817"/>
      <c r="AF96" s="1817"/>
      <c r="AG96" s="1817"/>
      <c r="AH96" s="1817"/>
      <c r="AI96" s="1817"/>
    </row>
    <row r="97" spans="1:35" s="1815" customFormat="1" ht="24.75" thickBot="1">
      <c r="A97" s="176" t="s">
        <v>336</v>
      </c>
      <c r="B97" s="177" t="s">
        <v>1409</v>
      </c>
      <c r="C97" s="2576">
        <f ca="1">ROUND(IF(C95&lt;=0,0,IF(C96&gt;=200%,C95*60%-C86*35%,IF(C96&gt;=100%,C95*50%-C86*15%,IF(C96&gt;=50%,C95*40%-C86*5%,IF(C96&lt;50%,C95*30%,0))))),0)</f>
        <v>13742</v>
      </c>
      <c r="D97" s="2577"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19"/>
      <c r="J97" s="1816"/>
      <c r="K97" s="1816"/>
      <c r="L97" s="1816"/>
      <c r="M97" s="1816"/>
      <c r="N97" s="1816"/>
      <c r="O97" s="1816"/>
      <c r="P97" s="1816"/>
      <c r="Q97" s="1816"/>
      <c r="R97" s="1816"/>
      <c r="S97" s="1816"/>
      <c r="T97" s="1816"/>
      <c r="U97" s="1816"/>
      <c r="V97" s="1816"/>
      <c r="W97" s="1816"/>
      <c r="X97" s="1816"/>
      <c r="Y97" s="1816"/>
      <c r="Z97" s="1816"/>
      <c r="AA97" s="1817"/>
      <c r="AB97" s="1817"/>
      <c r="AC97" s="1817"/>
      <c r="AD97" s="1817"/>
      <c r="AE97" s="1817"/>
      <c r="AF97" s="1817"/>
      <c r="AG97" s="1817"/>
      <c r="AH97" s="1817"/>
      <c r="AI97" s="1817"/>
    </row>
    <row r="98" spans="1:35" ht="21.75" customHeight="1">
      <c r="A98" s="1807"/>
      <c r="B98" s="1745"/>
      <c r="C98" s="1745"/>
      <c r="D98" s="1745"/>
      <c r="E98" s="1576"/>
      <c r="F98" s="1576"/>
      <c r="G98" s="1576"/>
      <c r="H98" s="1575"/>
      <c r="I98" s="129"/>
    </row>
    <row r="99" spans="1:35" ht="21.75" customHeight="1" thickBot="1">
      <c r="A99" s="1798" t="s">
        <v>1427</v>
      </c>
      <c r="B99" s="1745"/>
      <c r="C99" s="1745"/>
      <c r="D99" s="1745"/>
      <c r="E99" s="1576"/>
      <c r="F99" s="1576"/>
      <c r="G99" s="1576"/>
      <c r="H99" s="1575"/>
      <c r="I99" s="129"/>
    </row>
    <row r="100" spans="1:35" ht="18.75" customHeight="1">
      <c r="A100" s="3610" t="s">
        <v>1428</v>
      </c>
      <c r="B100" s="3611"/>
      <c r="C100" s="3611"/>
      <c r="D100" s="3645"/>
      <c r="E100" s="3611" t="s">
        <v>1429</v>
      </c>
      <c r="F100" s="3611"/>
      <c r="G100" s="3611"/>
      <c r="H100" s="3645"/>
      <c r="I100" s="129"/>
    </row>
    <row r="101" spans="1:35" ht="18.75" customHeight="1">
      <c r="A101" s="3653" t="s">
        <v>1430</v>
      </c>
      <c r="B101" s="3654"/>
      <c r="C101" s="2582" t="str">
        <f>C4</f>
        <v>成本法</v>
      </c>
      <c r="D101" s="2583" t="str">
        <f>D4</f>
        <v>收益法</v>
      </c>
      <c r="E101" s="3623" t="s">
        <v>1431</v>
      </c>
      <c r="F101" s="3624"/>
      <c r="G101" s="1825" t="s">
        <v>1432</v>
      </c>
      <c r="H101" s="2592">
        <f ca="1">H118</f>
        <v>24240</v>
      </c>
      <c r="I101" s="129"/>
    </row>
    <row r="102" spans="1:35" ht="18.75" customHeight="1">
      <c r="A102" s="3655" t="s">
        <v>1433</v>
      </c>
      <c r="B102" s="2581" t="s">
        <v>1432</v>
      </c>
      <c r="C102" s="2582">
        <f ca="1">IF(D32="楼面单价",ROUND(C19,0),C19)</f>
        <v>27704</v>
      </c>
      <c r="D102" s="2583">
        <f ca="1">IF(D32="楼面单价",ROUND(D19,0),D19)</f>
        <v>16158</v>
      </c>
      <c r="E102" s="3623"/>
      <c r="F102" s="3624"/>
      <c r="G102" s="1825" t="s">
        <v>1434</v>
      </c>
      <c r="H102" s="2552">
        <f ca="1">I118</f>
        <v>12082</v>
      </c>
      <c r="I102" s="129"/>
    </row>
    <row r="103" spans="1:35" ht="42.75" customHeight="1">
      <c r="A103" s="3655"/>
      <c r="B103" s="2581" t="s">
        <v>1434</v>
      </c>
      <c r="C103" s="2584">
        <f ca="1">C20</f>
        <v>13809</v>
      </c>
      <c r="D103" s="2585">
        <f ca="1">D20</f>
        <v>8054</v>
      </c>
      <c r="E103" s="3616" t="s">
        <v>1435</v>
      </c>
      <c r="F103" s="3617"/>
      <c r="G103" s="1826" t="s">
        <v>1436</v>
      </c>
      <c r="H103" s="2592">
        <f>IF(D36="正常操作",H104+H105+H106,H105+H106)</f>
        <v>0</v>
      </c>
      <c r="I103" s="129"/>
    </row>
    <row r="104" spans="1:35" ht="18.75" customHeight="1">
      <c r="A104" s="3655" t="s">
        <v>1437</v>
      </c>
      <c r="B104" s="2586" t="s">
        <v>1432</v>
      </c>
      <c r="C104" s="2587">
        <f ca="1">H118</f>
        <v>24240</v>
      </c>
      <c r="D104" s="2588"/>
      <c r="E104" s="1672" t="s">
        <v>1438</v>
      </c>
      <c r="F104" s="1664"/>
      <c r="G104" s="1826" t="s">
        <v>1436</v>
      </c>
      <c r="H104" s="2593">
        <f>IF(D36="同一抵押权人同一抵押物续贷",C36&amp;"（续贷，未扣减，详见特别提示）",C36)</f>
        <v>0</v>
      </c>
      <c r="I104" s="129"/>
    </row>
    <row r="105" spans="1:35" ht="18.75" customHeight="1" thickBot="1">
      <c r="A105" s="3665"/>
      <c r="B105" s="2589" t="s">
        <v>1434</v>
      </c>
      <c r="C105" s="2590">
        <f ca="1">I118</f>
        <v>12082</v>
      </c>
      <c r="D105" s="2591"/>
      <c r="E105" s="1672" t="s">
        <v>1439</v>
      </c>
      <c r="F105" s="1664"/>
      <c r="G105" s="1826" t="s">
        <v>1436</v>
      </c>
      <c r="H105" s="2594">
        <f>C37</f>
        <v>0</v>
      </c>
      <c r="I105" s="129"/>
    </row>
    <row r="106" spans="1:35" ht="18.75" customHeight="1">
      <c r="A106" s="1745" t="s">
        <v>1440</v>
      </c>
      <c r="B106" s="1745"/>
      <c r="C106" s="1745"/>
      <c r="D106" s="1745"/>
      <c r="E106" s="1827" t="s">
        <v>1441</v>
      </c>
      <c r="F106" s="1664"/>
      <c r="G106" s="1826" t="s">
        <v>1436</v>
      </c>
      <c r="H106" s="2594">
        <f>C38</f>
        <v>0</v>
      </c>
      <c r="I106" s="129"/>
    </row>
    <row r="107" spans="1:35" ht="18.75" customHeight="1">
      <c r="A107" s="129"/>
      <c r="B107" s="129"/>
      <c r="C107" s="129"/>
      <c r="D107" s="129"/>
      <c r="E107" s="3656" t="str">
        <f>IF(项目基本情况!E8="已注销","——","3.房地产抵押价值")</f>
        <v>3.房地产抵押价值</v>
      </c>
      <c r="F107" s="3624"/>
      <c r="G107" s="1825" t="s">
        <v>1432</v>
      </c>
      <c r="H107" s="2592">
        <f ca="1">IF(E107="——","——",H101-H103)</f>
        <v>24240</v>
      </c>
      <c r="I107" s="129"/>
    </row>
    <row r="108" spans="1:35" ht="18.75" customHeight="1">
      <c r="A108" s="129"/>
      <c r="B108" s="129"/>
      <c r="C108" s="129"/>
      <c r="D108" s="129"/>
      <c r="E108" s="3656"/>
      <c r="F108" s="3624"/>
      <c r="G108" s="1825" t="s">
        <v>1434</v>
      </c>
      <c r="H108" s="2552">
        <f ca="1">IF(H107=H101,H102,ROUND(H107*10000/'数据-汇总表'!E3,0))</f>
        <v>12082</v>
      </c>
      <c r="I108" s="129"/>
    </row>
    <row r="109" spans="1:35" ht="18.75" customHeight="1">
      <c r="A109" s="129"/>
      <c r="B109" s="129"/>
      <c r="C109" s="129"/>
      <c r="D109" s="129"/>
      <c r="E109" s="3656" t="str">
        <f>IF(项目基本情况!E8="已注销及未注销","4.抵押担保权已注销时的房地产抵押价值",IF(项目基本情况!E8="已注销","3.抵押担保权已注销时的房地产抵押价值","——"))</f>
        <v>——</v>
      </c>
      <c r="F109" s="3624"/>
      <c r="G109" s="1825" t="s">
        <v>1432</v>
      </c>
      <c r="H109" s="2595" t="str">
        <f>IF(E109="——","——",H101-H105-H106)</f>
        <v>——</v>
      </c>
      <c r="I109" s="129"/>
    </row>
    <row r="110" spans="1:35" ht="18.75" customHeight="1">
      <c r="A110" s="129"/>
      <c r="B110" s="129"/>
      <c r="C110" s="129"/>
      <c r="D110" s="129"/>
      <c r="E110" s="3656"/>
      <c r="F110" s="3624"/>
      <c r="G110" s="1825" t="s">
        <v>1434</v>
      </c>
      <c r="H110" s="2552" t="str">
        <f>IF(H109="——","——",ROUND(H109*10000/'数据-汇总表'!E3,0))</f>
        <v>——</v>
      </c>
      <c r="I110" s="129"/>
    </row>
    <row r="111" spans="1:35" ht="18.75" customHeight="1">
      <c r="A111" s="129"/>
      <c r="B111" s="129"/>
      <c r="C111" s="129"/>
      <c r="D111" s="129"/>
      <c r="E111" s="3657" t="str">
        <f>IF(项目基本情况!E9="抵押净值",IF(OR(项目基本情况!E8="已注销",项目基本情况!E8="房地产抵押价值"),"4.抵押净值","5.抵押净值"),"——")</f>
        <v>——</v>
      </c>
      <c r="F111" s="3643"/>
      <c r="G111" s="1825" t="s">
        <v>1432</v>
      </c>
      <c r="H111" s="2592" t="str">
        <f>IF(E111="——","——",N59)</f>
        <v>——</v>
      </c>
      <c r="I111" s="129"/>
    </row>
    <row r="112" spans="1:35" ht="18.75" customHeight="1" thickBot="1">
      <c r="A112" s="129"/>
      <c r="B112" s="129"/>
      <c r="C112" s="129"/>
      <c r="D112" s="129"/>
      <c r="E112" s="3658"/>
      <c r="F112" s="3659"/>
      <c r="G112" s="1828" t="s">
        <v>1434</v>
      </c>
      <c r="H112" s="2596" t="str">
        <f>IF(E111="——","——",N61)</f>
        <v>——</v>
      </c>
      <c r="I112" s="129"/>
    </row>
    <row r="113" spans="1:27" ht="18.75" customHeight="1">
      <c r="A113" s="129"/>
      <c r="B113" s="129"/>
      <c r="C113" s="129"/>
      <c r="D113" s="129"/>
      <c r="E113" s="3666" t="s">
        <v>1440</v>
      </c>
      <c r="F113" s="3666"/>
      <c r="G113" s="3666"/>
      <c r="H113" s="3666"/>
      <c r="I113" s="129"/>
    </row>
    <row r="114" spans="1:27" ht="3.75" customHeight="1">
      <c r="A114" s="1745"/>
      <c r="B114" s="1745"/>
      <c r="C114" s="1745"/>
      <c r="D114" s="1745"/>
      <c r="E114" s="1807"/>
      <c r="F114" s="1807"/>
      <c r="G114" s="1807"/>
      <c r="H114" s="1807"/>
      <c r="I114" s="1745"/>
    </row>
    <row r="115" spans="1:27" ht="18.75" customHeight="1">
      <c r="A115" s="3674" t="s">
        <v>1442</v>
      </c>
      <c r="B115" s="3675"/>
      <c r="C115" s="3675"/>
      <c r="D115" s="3675"/>
      <c r="E115" s="3675"/>
      <c r="F115" s="3675"/>
      <c r="G115" s="3675"/>
      <c r="H115" s="3675"/>
      <c r="I115" s="3676"/>
    </row>
    <row r="116" spans="1:27" ht="27" customHeight="1">
      <c r="A116" s="3631" t="s">
        <v>1443</v>
      </c>
      <c r="B116" s="3635" t="s">
        <v>1444</v>
      </c>
      <c r="C116" s="3635" t="s">
        <v>1445</v>
      </c>
      <c r="D116" s="3641" t="s">
        <v>1446</v>
      </c>
      <c r="E116" s="3642"/>
      <c r="F116" s="3673" t="s">
        <v>1447</v>
      </c>
      <c r="G116" s="3673"/>
      <c r="H116" s="3631" t="s">
        <v>1448</v>
      </c>
      <c r="I116" s="3631"/>
    </row>
    <row r="117" spans="1:27" ht="18.75" customHeight="1">
      <c r="A117" s="3631"/>
      <c r="B117" s="3636"/>
      <c r="C117" s="3636"/>
      <c r="D117" s="2326" t="s">
        <v>1449</v>
      </c>
      <c r="E117" s="2326" t="s">
        <v>1450</v>
      </c>
      <c r="F117" s="2326" t="s">
        <v>1449</v>
      </c>
      <c r="G117" s="2326" t="s">
        <v>1451</v>
      </c>
      <c r="H117" s="2326" t="s">
        <v>1449</v>
      </c>
      <c r="I117" s="2326" t="s">
        <v>1451</v>
      </c>
    </row>
    <row r="118" spans="1:27" ht="24.75" customHeight="1">
      <c r="A118" s="2597" t="str">
        <f>项目基本情况!S2</f>
        <v>北京市房地产</v>
      </c>
      <c r="B118" s="2326">
        <f>M18</f>
        <v>20062.899999999998</v>
      </c>
      <c r="C118" s="2326">
        <f>M19</f>
        <v>10405.33</v>
      </c>
      <c r="D118" s="2326" t="e">
        <f ca="1">ROUND(IF(D32="总价",C34,E118*B118/10000),0)</f>
        <v>#REF!</v>
      </c>
      <c r="E118" s="2326" t="e">
        <f ca="1">ROUND(IF(C33="自定义",IF(D32="楼面单价",C34,D118*10000/B118),I118-G118),0)</f>
        <v>#REF!</v>
      </c>
      <c r="F118" s="2326" t="e">
        <f ca="1">ROUND(IF(D32="总价",C35,G118*B118/10000),0)</f>
        <v>#REF!</v>
      </c>
      <c r="G118" s="2326" t="e">
        <f ca="1">ROUND(IF(D32="楼面单价",C35,F118*10000/B118),0)</f>
        <v>#REF!</v>
      </c>
      <c r="H118" s="2326">
        <f ca="1">ROUND(IF(D32="总价",C32,I118*B118/10000),0)</f>
        <v>24240</v>
      </c>
      <c r="I118" s="2326">
        <f ca="1">ROUND(IF(D32="楼面单价",C32,H118*10000/B118),0)</f>
        <v>12082</v>
      </c>
    </row>
    <row r="119" spans="1:27" ht="18.75" customHeight="1">
      <c r="A119" s="3631" t="s">
        <v>1452</v>
      </c>
      <c r="B119" s="3631"/>
      <c r="C119" s="3631"/>
      <c r="D119" s="3637" t="e">
        <f ca="1">NUMBERSTRING(INT(D118*10000),2)&amp;"元整"</f>
        <v>#REF!</v>
      </c>
      <c r="E119" s="3638"/>
      <c r="F119" s="3637" t="e">
        <f ca="1">NUMBERSTRING(INT(F118*10000),2)&amp;"元整"</f>
        <v>#REF!</v>
      </c>
      <c r="G119" s="3638"/>
      <c r="H119" s="3637" t="str">
        <f ca="1">NUMBERSTRING(INT(H118*10000),2)&amp;"元整"</f>
        <v>贰亿肆仟贰佰肆拾万元整</v>
      </c>
      <c r="I119" s="3638"/>
    </row>
    <row r="120" spans="1:27" ht="18.75" customHeight="1">
      <c r="A120" s="3632" t="str">
        <f>IF(项目基本情况!B9="房地产市场价值","",MID(E103,3,LEN(E103)-2))</f>
        <v>估价师知悉的法定优先受偿款</v>
      </c>
      <c r="B120" s="3633"/>
      <c r="C120" s="3634"/>
      <c r="D120" s="3632">
        <f>H103</f>
        <v>0</v>
      </c>
      <c r="E120" s="3633"/>
      <c r="F120" s="3633"/>
      <c r="G120" s="3633"/>
      <c r="H120" s="3633"/>
      <c r="I120" s="3634"/>
      <c r="J120" s="1750"/>
      <c r="K120" s="1750" t="str">
        <f>IF(D120=0,"故，本次评估不存在"&amp;A120,"故，本次评估"&amp;A120&amp;"为人民币"&amp;D120&amp;"万元整。")</f>
        <v>故，本次评估不存在估价师知悉的法定优先受偿款</v>
      </c>
      <c r="L120" s="1750"/>
      <c r="M120" s="1750"/>
      <c r="N120" s="1750"/>
      <c r="O120" s="1750"/>
      <c r="P120" s="1750"/>
      <c r="Q120" s="1750"/>
      <c r="R120" s="1750"/>
      <c r="S120" s="1750"/>
    </row>
    <row r="121" spans="1:27" ht="18.75" customHeight="1">
      <c r="A121" s="3637" t="s">
        <v>1452</v>
      </c>
      <c r="B121" s="3639"/>
      <c r="C121" s="3638"/>
      <c r="D121" s="3637" t="str">
        <f>IF(D120=0,"零元整",NUMBERSTRING(INT(D120*10000),2)&amp;"元整")</f>
        <v>零元整</v>
      </c>
      <c r="E121" s="3639"/>
      <c r="F121" s="3639"/>
      <c r="G121" s="3639"/>
      <c r="H121" s="3639"/>
      <c r="I121" s="3638"/>
      <c r="AA121" s="724"/>
    </row>
    <row r="122" spans="1:27" ht="18.75" customHeight="1">
      <c r="A122" s="3643" t="str">
        <f>IF(项目基本情况!B9="房地产市场价值","",MID(E107,3,LEN(E107)-2))</f>
        <v>房地产抵押价值</v>
      </c>
      <c r="B122" s="3643"/>
      <c r="C122" s="3643"/>
      <c r="D122" s="3632">
        <f ca="1">H107</f>
        <v>24240</v>
      </c>
      <c r="E122" s="3633"/>
      <c r="F122" s="3633"/>
      <c r="G122" s="3633"/>
      <c r="H122" s="3633"/>
      <c r="I122" s="3634"/>
      <c r="AA122" s="724"/>
    </row>
    <row r="123" spans="1:27" ht="18.75" customHeight="1">
      <c r="A123" s="3631" t="s">
        <v>1452</v>
      </c>
      <c r="B123" s="3631"/>
      <c r="C123" s="3631"/>
      <c r="D123" s="3637" t="str">
        <f ca="1">NUMBERSTRING(INT(D122*10000),2)&amp;"元整"</f>
        <v>贰亿肆仟贰佰肆拾万元整</v>
      </c>
      <c r="E123" s="3639"/>
      <c r="F123" s="3639"/>
      <c r="G123" s="3639"/>
      <c r="H123" s="3639"/>
      <c r="I123" s="3638"/>
      <c r="AA123" s="724"/>
    </row>
    <row r="124" spans="1:27" ht="18.75" customHeight="1">
      <c r="A124" s="3643" t="str">
        <f>IF(项目基本情况!B9="房地产市场价值","",MID(E109,3,LEN(E109)-2))</f>
        <v/>
      </c>
      <c r="B124" s="3643"/>
      <c r="C124" s="3643"/>
      <c r="D124" s="3632" t="str">
        <f>H109</f>
        <v>——</v>
      </c>
      <c r="E124" s="3633"/>
      <c r="F124" s="3633"/>
      <c r="G124" s="3633"/>
      <c r="H124" s="3633"/>
      <c r="I124" s="3634"/>
      <c r="AA124" s="724"/>
    </row>
    <row r="125" spans="1:27" ht="18.75" customHeight="1">
      <c r="A125" s="3631" t="s">
        <v>1452</v>
      </c>
      <c r="B125" s="3631"/>
      <c r="C125" s="3631"/>
      <c r="D125" s="3637" t="e">
        <f>NUMBERSTRING(INT(D124*10000),2)&amp;"元整"</f>
        <v>#VALUE!</v>
      </c>
      <c r="E125" s="3639"/>
      <c r="F125" s="3639"/>
      <c r="G125" s="3639"/>
      <c r="H125" s="3639"/>
      <c r="I125" s="3638"/>
      <c r="AA125" s="724"/>
    </row>
    <row r="126" spans="1:27" ht="18.75" customHeight="1">
      <c r="A126" s="3643" t="str">
        <f>IF(项目基本情况!B9="房地产市场价值","",MID(E111,3,LEN(E111)-2))</f>
        <v/>
      </c>
      <c r="B126" s="3643"/>
      <c r="C126" s="3643"/>
      <c r="D126" s="3632" t="str">
        <f>H111</f>
        <v>——</v>
      </c>
      <c r="E126" s="3633"/>
      <c r="F126" s="3633"/>
      <c r="G126" s="3633"/>
      <c r="H126" s="3633"/>
      <c r="I126" s="3634"/>
      <c r="AA126" s="724"/>
    </row>
    <row r="127" spans="1:27" ht="18.75" customHeight="1">
      <c r="A127" s="3631" t="s">
        <v>1452</v>
      </c>
      <c r="B127" s="3631"/>
      <c r="C127" s="3631"/>
      <c r="D127" s="3637" t="e">
        <f>NUMBERSTRING(INT(D126*10000),2)&amp;"元整"</f>
        <v>#VALUE!</v>
      </c>
      <c r="E127" s="3639"/>
      <c r="F127" s="3639"/>
      <c r="G127" s="3639"/>
      <c r="H127" s="3639"/>
      <c r="I127" s="3638"/>
      <c r="AA127" s="724"/>
    </row>
    <row r="128" spans="1:27" ht="21.75" customHeight="1">
      <c r="A128" s="3640" t="s">
        <v>1453</v>
      </c>
      <c r="B128" s="3640"/>
      <c r="C128" s="3640"/>
      <c r="D128" s="3640"/>
      <c r="E128" s="3640"/>
      <c r="F128" s="3640"/>
      <c r="G128" s="3640"/>
      <c r="H128" s="3640"/>
      <c r="I128" s="3640"/>
      <c r="AA128" s="724"/>
    </row>
    <row r="129" spans="1:35" ht="21.75" customHeight="1">
      <c r="A129" s="1829" t="s">
        <v>1454</v>
      </c>
      <c r="B129" s="1830"/>
      <c r="C129" s="1831" t="s">
        <v>1455</v>
      </c>
      <c r="D129" s="1832"/>
      <c r="E129" s="1832"/>
      <c r="F129" s="1832"/>
      <c r="G129" s="1832"/>
      <c r="H129" s="1833"/>
      <c r="I129" s="1834"/>
      <c r="AA129" s="724"/>
    </row>
    <row r="130" spans="1:35" ht="21.75" customHeight="1">
      <c r="A130" s="1835">
        <v>1</v>
      </c>
      <c r="B130" s="1836"/>
      <c r="C130" s="1836"/>
      <c r="D130" s="1837"/>
      <c r="E130" s="1837"/>
      <c r="F130" s="1837"/>
      <c r="G130" s="1837"/>
      <c r="H130" s="1838"/>
      <c r="I130" s="1839"/>
      <c r="AA130" s="724"/>
    </row>
    <row r="131" spans="1:35" ht="21.75" customHeight="1">
      <c r="A131" s="1835">
        <v>2</v>
      </c>
      <c r="B131" s="1836"/>
      <c r="C131" s="1836"/>
      <c r="D131" s="1837"/>
      <c r="E131" s="1837"/>
      <c r="F131" s="1837"/>
      <c r="G131" s="1837"/>
      <c r="H131" s="1838"/>
      <c r="I131" s="1839"/>
      <c r="AA131" s="724"/>
    </row>
    <row r="132" spans="1:35" ht="21.75" customHeight="1">
      <c r="A132" s="1835">
        <v>3</v>
      </c>
      <c r="B132" s="1836"/>
      <c r="C132" s="1836"/>
      <c r="D132" s="1837"/>
      <c r="E132" s="1837"/>
      <c r="F132" s="1837"/>
      <c r="G132" s="1837"/>
      <c r="H132" s="1838"/>
      <c r="I132" s="1839"/>
      <c r="AA132" s="724"/>
    </row>
    <row r="133" spans="1:35" ht="21.75" customHeight="1">
      <c r="A133" s="1840"/>
      <c r="B133" s="1841"/>
      <c r="C133" s="1841"/>
      <c r="D133" s="1842"/>
      <c r="E133" s="1842"/>
      <c r="F133" s="1842"/>
      <c r="G133" s="1842"/>
      <c r="H133" s="1843"/>
      <c r="I133" s="1844"/>
    </row>
    <row r="134" spans="1:35" ht="21.75" customHeight="1">
      <c r="A134" s="1836"/>
      <c r="B134" s="1836"/>
      <c r="C134" s="1836"/>
      <c r="D134" s="1837"/>
      <c r="E134" s="1837"/>
      <c r="F134" s="1837"/>
      <c r="G134" s="1837"/>
      <c r="H134" s="1838"/>
      <c r="I134" s="724"/>
    </row>
    <row r="135" spans="1:35" ht="21.75" customHeight="1">
      <c r="A135" s="724"/>
      <c r="B135" s="724"/>
      <c r="C135" s="724"/>
      <c r="D135" s="724"/>
      <c r="E135" s="724"/>
      <c r="F135" s="1845" t="s">
        <v>1456</v>
      </c>
      <c r="G135" s="1846"/>
      <c r="H135" s="1846"/>
      <c r="I135" s="1847" t="s">
        <v>1457</v>
      </c>
    </row>
    <row r="136" spans="1:35" ht="21.75" customHeight="1">
      <c r="A136" s="724"/>
      <c r="B136" s="1848" t="s">
        <v>1458</v>
      </c>
      <c r="C136" s="724"/>
      <c r="D136" s="724"/>
      <c r="E136" s="724"/>
      <c r="F136" s="724"/>
      <c r="G136" s="724"/>
      <c r="H136" s="724"/>
      <c r="I136" s="724"/>
    </row>
    <row r="137" spans="1:35" ht="21.75" customHeight="1">
      <c r="A137" s="724"/>
      <c r="B137" s="724"/>
      <c r="C137" s="724"/>
      <c r="D137" s="724"/>
      <c r="E137" s="724"/>
      <c r="F137" s="724"/>
      <c r="G137" s="724"/>
      <c r="H137" s="724"/>
      <c r="I137" s="724"/>
    </row>
    <row r="138" spans="1:35" ht="21.75" customHeight="1">
      <c r="A138" s="724"/>
      <c r="B138" s="1846"/>
      <c r="C138" s="1846"/>
      <c r="D138" s="1846"/>
      <c r="E138" s="1846"/>
      <c r="F138" s="1846"/>
      <c r="G138" s="1846"/>
      <c r="H138" s="1846"/>
      <c r="I138" s="1847" t="s">
        <v>1459</v>
      </c>
    </row>
    <row r="139" spans="1:35" ht="21.75" customHeight="1">
      <c r="A139" s="724"/>
      <c r="B139" s="1848" t="s">
        <v>1460</v>
      </c>
      <c r="C139" s="724"/>
      <c r="D139" s="724"/>
      <c r="E139" s="724"/>
      <c r="F139" s="724"/>
      <c r="G139" s="724"/>
      <c r="H139" s="724"/>
      <c r="I139" s="724"/>
    </row>
    <row r="140" spans="1:35" ht="21.75" customHeight="1">
      <c r="A140" s="724"/>
      <c r="B140" s="1848"/>
      <c r="C140" s="724"/>
      <c r="D140" s="724"/>
      <c r="E140" s="724"/>
      <c r="F140" s="724"/>
      <c r="G140" s="724"/>
      <c r="H140" s="724"/>
      <c r="I140" s="724"/>
    </row>
    <row r="141" spans="1:35" ht="21.75" customHeight="1">
      <c r="A141" s="724"/>
      <c r="B141" s="1846"/>
      <c r="C141" s="1846"/>
      <c r="D141" s="1846"/>
      <c r="E141" s="1846"/>
      <c r="F141" s="1846"/>
      <c r="G141" s="1846"/>
      <c r="H141" s="1846"/>
      <c r="I141" s="1847" t="s">
        <v>1459</v>
      </c>
    </row>
    <row r="142" spans="1:35" ht="21.75" customHeight="1">
      <c r="A142" s="724"/>
      <c r="B142" s="1848"/>
      <c r="C142" s="1849"/>
      <c r="D142" s="1850"/>
      <c r="E142" s="1850"/>
      <c r="F142" s="1739"/>
      <c r="G142" s="724"/>
      <c r="H142" s="724"/>
      <c r="I142" s="724"/>
    </row>
    <row r="143" spans="1:35" s="130" customFormat="1" ht="21.75" customHeight="1">
      <c r="A143" s="724"/>
      <c r="B143" s="1848"/>
      <c r="C143" s="1849"/>
      <c r="D143" s="1850"/>
      <c r="E143" s="1850"/>
      <c r="F143" s="1739"/>
      <c r="G143" s="724"/>
      <c r="H143" s="724"/>
      <c r="I143" s="724"/>
      <c r="J143" s="724"/>
      <c r="K143" s="724"/>
      <c r="L143" s="724"/>
      <c r="M143" s="724"/>
      <c r="N143" s="724"/>
      <c r="O143" s="724"/>
      <c r="P143" s="724"/>
      <c r="Q143" s="724"/>
      <c r="R143" s="724"/>
      <c r="S143" s="724"/>
      <c r="T143" s="724"/>
      <c r="U143" s="724"/>
      <c r="V143" s="724"/>
      <c r="W143" s="724"/>
      <c r="X143" s="724"/>
      <c r="Y143" s="724"/>
      <c r="Z143" s="724"/>
      <c r="AA143" s="724"/>
      <c r="AB143" s="724"/>
      <c r="AC143" s="724"/>
      <c r="AD143" s="724"/>
      <c r="AE143" s="724"/>
      <c r="AF143" s="724"/>
      <c r="AG143" s="724"/>
      <c r="AH143" s="724"/>
      <c r="AI143" s="724"/>
    </row>
    <row r="144" spans="1:35" s="130" customFormat="1" ht="21.75" customHeight="1">
      <c r="A144" s="724"/>
      <c r="B144" s="724"/>
      <c r="C144" s="724"/>
      <c r="D144" s="724"/>
      <c r="E144" s="724"/>
      <c r="F144" s="724"/>
      <c r="G144" s="724"/>
      <c r="H144" s="724"/>
      <c r="I144" s="724"/>
      <c r="J144" s="724"/>
      <c r="K144" s="724"/>
      <c r="L144" s="724"/>
      <c r="M144" s="724"/>
      <c r="N144" s="724"/>
      <c r="O144" s="724"/>
      <c r="P144" s="724"/>
      <c r="Q144" s="724"/>
      <c r="R144" s="724"/>
      <c r="S144" s="724"/>
      <c r="T144" s="724"/>
      <c r="U144" s="724"/>
      <c r="V144" s="724"/>
      <c r="W144" s="724"/>
      <c r="X144" s="724"/>
      <c r="Y144" s="724"/>
      <c r="Z144" s="724"/>
      <c r="AA144" s="724"/>
      <c r="AB144" s="724"/>
      <c r="AC144" s="724"/>
      <c r="AD144" s="724"/>
      <c r="AE144" s="724"/>
      <c r="AF144" s="724"/>
      <c r="AG144" s="724"/>
      <c r="AH144" s="724"/>
      <c r="AI144" s="724"/>
    </row>
    <row r="145" spans="1:35" s="130" customFormat="1" ht="21.75" customHeight="1">
      <c r="A145" s="724"/>
      <c r="B145" s="724"/>
      <c r="C145" s="724"/>
      <c r="D145" s="724"/>
      <c r="E145" s="724"/>
      <c r="F145" s="724"/>
      <c r="G145" s="724"/>
      <c r="H145" s="724"/>
      <c r="I145" s="724"/>
      <c r="J145" s="724"/>
      <c r="K145" s="724"/>
      <c r="L145" s="724"/>
      <c r="M145" s="724"/>
      <c r="N145" s="724"/>
      <c r="O145" s="724"/>
      <c r="P145" s="724"/>
      <c r="Q145" s="724"/>
      <c r="R145" s="724"/>
      <c r="S145" s="724"/>
      <c r="T145" s="724"/>
      <c r="U145" s="724"/>
      <c r="V145" s="724"/>
      <c r="W145" s="724"/>
      <c r="X145" s="724"/>
      <c r="Y145" s="724"/>
      <c r="Z145" s="724"/>
      <c r="AA145" s="724"/>
      <c r="AB145" s="724"/>
      <c r="AC145" s="724"/>
      <c r="AD145" s="724"/>
      <c r="AE145" s="724"/>
      <c r="AF145" s="724"/>
      <c r="AG145" s="724"/>
      <c r="AH145" s="724"/>
      <c r="AI145" s="724"/>
    </row>
    <row r="146" spans="1:35" s="724" customFormat="1" ht="21.75" customHeight="1"/>
    <row r="147" spans="1:35" s="724" customFormat="1" ht="21.75" customHeight="1"/>
    <row r="148" spans="1:35" s="724" customFormat="1" ht="21.75" customHeight="1"/>
    <row r="149" spans="1:35" s="724" customFormat="1" ht="21.75" customHeight="1"/>
    <row r="150" spans="1:35" s="724" customFormat="1" ht="21.75" customHeight="1"/>
    <row r="151" spans="1:35" s="724" customFormat="1" ht="21.75" customHeight="1"/>
    <row r="152" spans="1:35" s="724" customFormat="1" ht="21.75" customHeight="1"/>
    <row r="153" spans="1:35" s="724" customFormat="1" ht="21.75" customHeight="1"/>
    <row r="154" spans="1:35" s="724" customFormat="1" ht="21.75" customHeight="1"/>
    <row r="155" spans="1:35" s="724" customFormat="1" ht="21.75" customHeight="1"/>
    <row r="156" spans="1:35" s="724" customFormat="1" ht="21.75" customHeight="1"/>
    <row r="157" spans="1:35" s="724" customFormat="1" ht="21.75" customHeight="1"/>
    <row r="158" spans="1:35" s="724" customFormat="1" ht="21.75" customHeight="1"/>
    <row r="159" spans="1:35" s="724" customFormat="1" ht="21.75" customHeight="1"/>
    <row r="160" spans="1:35" s="724" customFormat="1" ht="21.75" customHeight="1"/>
    <row r="161" s="724" customFormat="1" ht="21.75" customHeight="1"/>
    <row r="162" s="724" customFormat="1" ht="21.75" customHeight="1"/>
    <row r="163" s="724" customFormat="1" ht="21.75" customHeight="1"/>
    <row r="164" s="724" customFormat="1" ht="21.75" customHeight="1"/>
    <row r="165" s="724" customFormat="1" ht="21.75" customHeight="1"/>
    <row r="166" s="724" customFormat="1" ht="21.75" customHeight="1"/>
    <row r="167" s="724" customFormat="1" ht="21.75" customHeight="1"/>
    <row r="168" s="724" customFormat="1" ht="21.75" customHeight="1"/>
    <row r="169" s="724" customFormat="1" ht="21.75" customHeight="1"/>
    <row r="170" s="724" customFormat="1" ht="21.75" customHeight="1"/>
    <row r="171" s="724" customFormat="1" ht="21.75" customHeight="1"/>
    <row r="172" s="724" customFormat="1" ht="21.75" customHeight="1"/>
    <row r="173" s="724" customFormat="1" ht="21.75" customHeight="1"/>
    <row r="174" s="724" customFormat="1" ht="21.75" customHeight="1"/>
    <row r="175" s="724" customFormat="1" ht="21.75" customHeight="1"/>
    <row r="176" s="724" customFormat="1" ht="21.75" customHeight="1"/>
    <row r="177" s="724" customFormat="1" ht="21.75" customHeight="1"/>
    <row r="178" s="724" customFormat="1" ht="21.75" customHeight="1"/>
    <row r="179" s="724" customFormat="1" ht="21.75" customHeight="1"/>
    <row r="180" s="724" customFormat="1" ht="21.75" customHeight="1"/>
    <row r="181" s="724" customFormat="1" ht="21.75" customHeight="1"/>
    <row r="182" s="724" customFormat="1" ht="21.75" customHeight="1"/>
    <row r="183" s="724" customFormat="1" ht="21.75" customHeight="1"/>
    <row r="184" s="724" customFormat="1" ht="21.75" customHeight="1"/>
    <row r="185" s="724" customFormat="1" ht="21.75" customHeight="1"/>
    <row r="186" s="724" customFormat="1" ht="21.75" customHeight="1"/>
    <row r="187" s="724" customFormat="1" ht="21.75" customHeight="1"/>
    <row r="188" s="724" customFormat="1" ht="21.75" customHeight="1"/>
    <row r="189" s="724" customFormat="1" ht="21.75" customHeight="1"/>
    <row r="190" s="724" customFormat="1" ht="21.75" customHeight="1"/>
    <row r="191" s="724" customFormat="1" ht="21.75" customHeight="1"/>
    <row r="192" s="724" customFormat="1" ht="21.75" customHeight="1"/>
    <row r="193" s="724" customFormat="1" ht="21.75" customHeight="1"/>
    <row r="194" s="724" customFormat="1" ht="21.75" customHeight="1"/>
    <row r="195" s="724" customFormat="1" ht="21.75" customHeight="1"/>
    <row r="196" s="724" customFormat="1" ht="21.75" customHeight="1"/>
    <row r="197" s="724" customFormat="1" ht="21.75" customHeight="1"/>
    <row r="198" s="724" customFormat="1" ht="21.75" customHeight="1"/>
    <row r="199" s="724" customFormat="1" ht="21.75" customHeight="1"/>
    <row r="200" s="724" customFormat="1" ht="21.75" customHeight="1"/>
    <row r="201" s="724" customFormat="1" ht="21.75" customHeight="1"/>
    <row r="202" s="724" customFormat="1" ht="21.75" customHeight="1"/>
    <row r="203" s="724" customFormat="1" ht="21.75" customHeight="1"/>
    <row r="204" s="724" customFormat="1" ht="21.75" customHeight="1"/>
    <row r="205" s="724" customFormat="1" ht="21.75" customHeight="1"/>
    <row r="206" s="724" customFormat="1" ht="21.75" customHeight="1"/>
    <row r="207" s="724" customFormat="1" ht="21.75" customHeight="1"/>
    <row r="208" s="724" customFormat="1" ht="21.75" customHeight="1"/>
    <row r="209" s="724" customFormat="1" ht="21.75" customHeight="1"/>
    <row r="210" s="724" customFormat="1" ht="21.75" customHeight="1"/>
    <row r="211" s="724" customFormat="1" ht="21.75" customHeight="1"/>
    <row r="212" s="724" customFormat="1" ht="21.75" customHeight="1"/>
    <row r="213" s="724" customFormat="1" ht="21.75" customHeight="1"/>
    <row r="214" s="724" customFormat="1" ht="21.75" customHeight="1"/>
    <row r="215" s="724" customFormat="1" ht="21.75" customHeight="1"/>
    <row r="216" s="724" customFormat="1" ht="21.75" customHeight="1"/>
    <row r="217" s="724" customFormat="1" ht="21.75" customHeight="1"/>
    <row r="218" s="724" customFormat="1" ht="21.75" customHeight="1"/>
    <row r="219" s="724" customFormat="1" ht="21.75" customHeight="1"/>
    <row r="220" s="724" customFormat="1" ht="21.75" customHeight="1"/>
    <row r="221" s="724" customFormat="1" ht="21.75" customHeight="1"/>
    <row r="222" s="724" customFormat="1" ht="21.75" customHeight="1"/>
    <row r="223" s="724" customFormat="1" ht="21.75" customHeight="1"/>
    <row r="224" s="724" customFormat="1" ht="21.75" customHeight="1"/>
    <row r="225" s="724" customFormat="1" ht="21.75" customHeight="1"/>
    <row r="226" s="724" customFormat="1" ht="21.75" customHeight="1"/>
    <row r="227" s="724" customFormat="1" ht="21.75" customHeight="1"/>
    <row r="228" s="724" customFormat="1" ht="21.75" customHeight="1"/>
    <row r="229" s="724" customFormat="1" ht="21.75" customHeight="1"/>
    <row r="230" s="724" customFormat="1" ht="21.75" customHeight="1"/>
    <row r="231" s="724" customFormat="1" ht="21.75" customHeight="1"/>
    <row r="232" s="724" customFormat="1" ht="21.75" customHeight="1"/>
    <row r="233" s="724" customFormat="1" ht="21.75" customHeight="1"/>
    <row r="234" s="724" customFormat="1" ht="21.75" customHeight="1"/>
    <row r="235" s="724" customFormat="1" ht="21.75" customHeight="1"/>
    <row r="236" s="724" customFormat="1" ht="21.75" customHeight="1"/>
    <row r="237" s="724" customFormat="1" ht="21.75" customHeight="1"/>
    <row r="238" s="724" customFormat="1" ht="21.75" customHeight="1"/>
    <row r="239" s="724" customFormat="1" ht="21.75" customHeight="1"/>
    <row r="240" s="724" customFormat="1" ht="21.75" customHeight="1"/>
    <row r="241" s="724" customFormat="1" ht="21.75" customHeight="1"/>
    <row r="242" s="724" customFormat="1" ht="21.75" customHeight="1"/>
    <row r="243" s="724" customFormat="1" ht="21.75" customHeight="1"/>
    <row r="244" s="724" customFormat="1" ht="21.75" customHeight="1"/>
    <row r="245" s="724" customFormat="1" ht="21.75" customHeight="1"/>
    <row r="246" s="724" customFormat="1" ht="21.75" customHeight="1"/>
    <row r="247" s="724" customFormat="1" ht="21.75" customHeight="1"/>
    <row r="248" s="724" customFormat="1" ht="21.75" customHeight="1"/>
    <row r="249" s="724" customFormat="1" ht="21.75" customHeight="1"/>
    <row r="250" s="724" customFormat="1" ht="21.75" customHeight="1"/>
    <row r="251" s="724" customFormat="1" ht="21.75" customHeight="1"/>
    <row r="252" s="724" customFormat="1" ht="21.75" customHeight="1"/>
    <row r="253" s="724" customFormat="1" ht="21.75" customHeight="1"/>
    <row r="254" s="724" customFormat="1" ht="21.75" customHeight="1"/>
    <row r="255" s="724" customFormat="1" ht="21.75" customHeight="1"/>
    <row r="256" s="724" customFormat="1" ht="21.75" customHeight="1"/>
    <row r="257" s="724" customFormat="1" ht="21.75" customHeight="1"/>
    <row r="258" s="724" customFormat="1" ht="21.75" customHeight="1"/>
    <row r="259" s="724" customFormat="1" ht="21.75" customHeight="1"/>
    <row r="260" s="724" customFormat="1" ht="21.75" customHeight="1"/>
    <row r="261" s="724" customFormat="1" ht="21.75" customHeight="1"/>
    <row r="262" s="724" customFormat="1" ht="21.75" customHeight="1"/>
    <row r="263" s="724" customFormat="1" ht="21.75" customHeight="1"/>
    <row r="264" s="724" customFormat="1" ht="21.75" customHeight="1"/>
    <row r="265" s="724" customFormat="1" ht="21.75" customHeight="1"/>
    <row r="266" s="724" customFormat="1" ht="21.75" customHeight="1"/>
    <row r="267" s="724" customFormat="1" ht="21.75" customHeight="1"/>
    <row r="268" s="724" customFormat="1" ht="21.75" customHeight="1"/>
    <row r="269" s="724" customFormat="1" ht="21.75" customHeight="1"/>
    <row r="270" s="724" customFormat="1" ht="21.75" customHeight="1"/>
    <row r="271" s="724" customFormat="1" ht="21.75" customHeight="1"/>
    <row r="272" s="724" customFormat="1" ht="21.75" customHeight="1"/>
    <row r="273" s="724" customFormat="1" ht="21.75" customHeight="1"/>
    <row r="274" s="724" customFormat="1" ht="21.75" customHeight="1"/>
    <row r="275" s="724" customFormat="1" ht="21.75" customHeight="1"/>
    <row r="276" s="724" customFormat="1" ht="21.75" customHeight="1"/>
    <row r="277" s="724" customFormat="1" ht="21.75" customHeight="1"/>
    <row r="278" s="724" customFormat="1" ht="21.75" customHeight="1"/>
    <row r="279" s="724" customFormat="1" ht="21.75" customHeight="1"/>
    <row r="280" s="724" customFormat="1" ht="21.75" customHeight="1"/>
    <row r="281" s="724" customFormat="1" ht="21.75" customHeight="1"/>
    <row r="282" s="724" customFormat="1" ht="21.75" customHeight="1"/>
    <row r="283" s="724" customFormat="1" ht="21.75" customHeight="1"/>
    <row r="284" s="724" customFormat="1" ht="21.75" customHeight="1"/>
    <row r="285" s="724" customFormat="1" ht="21.75" customHeight="1"/>
    <row r="286" s="724" customFormat="1" ht="21.75" customHeight="1"/>
    <row r="287" s="724" customFormat="1" ht="21.75" customHeight="1"/>
    <row r="288" s="724" customFormat="1" ht="21.75" customHeight="1"/>
    <row r="289" s="724" customFormat="1" ht="21.75" customHeight="1"/>
    <row r="290" s="724" customFormat="1" ht="21.75" customHeight="1"/>
    <row r="291" s="724" customFormat="1" ht="21.75" customHeight="1"/>
    <row r="292" s="724" customFormat="1" ht="21.75" customHeight="1"/>
    <row r="293" s="724" customFormat="1" ht="21.75" customHeight="1"/>
    <row r="294" s="724" customFormat="1" ht="21.75" customHeight="1"/>
    <row r="295" s="724" customFormat="1" ht="21.75" customHeight="1"/>
    <row r="296" s="724" customFormat="1" ht="21.75" customHeight="1"/>
    <row r="297" s="724" customFormat="1" ht="21.75" customHeight="1"/>
    <row r="298" s="724" customFormat="1" ht="21.75" customHeight="1"/>
    <row r="299" s="724" customFormat="1" ht="21.75" customHeight="1"/>
    <row r="300" s="724" customFormat="1" ht="21.75" customHeight="1"/>
    <row r="301" s="724" customFormat="1" ht="21.75" customHeight="1"/>
    <row r="302" s="724" customFormat="1" ht="21.75" customHeight="1"/>
    <row r="303" s="724" customFormat="1" ht="21.75" customHeight="1"/>
    <row r="304" s="724" customFormat="1" ht="21.75" customHeight="1"/>
    <row r="305" s="724" customFormat="1" ht="21.75" customHeight="1"/>
    <row r="306" s="724" customFormat="1" ht="21.75" customHeight="1"/>
    <row r="307" s="724" customFormat="1" ht="21.75" customHeight="1"/>
    <row r="308" s="724" customFormat="1" ht="21.75" customHeight="1"/>
    <row r="309" s="724" customFormat="1" ht="21.75" customHeight="1"/>
    <row r="310" s="724" customFormat="1" ht="21.75" customHeight="1"/>
    <row r="311" s="724" customFormat="1" ht="21.75" customHeight="1"/>
    <row r="312" s="724" customFormat="1" ht="21.75" customHeight="1"/>
    <row r="313" s="724" customFormat="1" ht="21.75" customHeight="1"/>
    <row r="314" s="724" customFormat="1" ht="21.75" customHeight="1"/>
    <row r="315" s="724" customFormat="1" ht="21.75" customHeight="1"/>
    <row r="316" s="724" customFormat="1" ht="21.75" customHeight="1"/>
    <row r="317" s="724" customFormat="1" ht="21.75" customHeight="1"/>
    <row r="318" s="724" customFormat="1" ht="21.75" customHeight="1"/>
    <row r="319" s="724" customFormat="1" ht="21.75" customHeight="1"/>
    <row r="320" s="724" customFormat="1" ht="21.75" customHeight="1"/>
    <row r="321" s="724" customFormat="1" ht="21.75" customHeight="1"/>
    <row r="322" s="724" customFormat="1" ht="21.75" customHeight="1"/>
    <row r="323" s="724" customFormat="1" ht="21.75" customHeight="1"/>
    <row r="324" s="724" customFormat="1" ht="21.75" customHeight="1"/>
    <row r="325" s="724" customFormat="1" ht="21.75" customHeight="1"/>
    <row r="326" s="724" customFormat="1" ht="21.75" customHeight="1"/>
    <row r="327" s="724" customFormat="1" ht="21.75" customHeight="1"/>
    <row r="328" s="724" customFormat="1" ht="21.75" customHeight="1"/>
    <row r="329" s="724" customFormat="1" ht="21.75" customHeight="1"/>
    <row r="330" s="724" customFormat="1" ht="21.75" customHeight="1"/>
    <row r="331" s="724" customFormat="1" ht="21.75" customHeight="1"/>
    <row r="332" s="724" customFormat="1" ht="21.75" customHeight="1"/>
    <row r="333" s="724" customFormat="1" ht="21.75" customHeight="1"/>
    <row r="334" s="724" customFormat="1" ht="21.75" customHeight="1"/>
    <row r="335" s="724" customFormat="1" ht="21.75" customHeight="1"/>
    <row r="336" s="724" customFormat="1" ht="21.75" customHeight="1"/>
    <row r="337" s="724" customFormat="1" ht="21.75" customHeight="1"/>
    <row r="338" s="724" customFormat="1" ht="21.75" customHeight="1"/>
    <row r="339" s="724" customFormat="1" ht="21.75" customHeight="1"/>
    <row r="340" s="724" customFormat="1" ht="21.75" customHeight="1"/>
    <row r="341" s="724" customFormat="1" ht="21.75" customHeight="1"/>
    <row r="342" s="724" customFormat="1" ht="21.75" customHeight="1"/>
    <row r="343" s="724" customFormat="1" ht="21.75" customHeight="1"/>
    <row r="344" s="724" customFormat="1" ht="21.75" customHeight="1"/>
    <row r="345" s="724" customFormat="1" ht="21.75" customHeight="1"/>
    <row r="346" s="724" customFormat="1" ht="21.75" customHeight="1"/>
    <row r="347" s="724" customFormat="1" ht="21.75" customHeight="1"/>
    <row r="348" s="724" customFormat="1" ht="21.75" customHeight="1"/>
    <row r="349" s="724" customFormat="1" ht="21.75" customHeight="1"/>
    <row r="350" s="724" customFormat="1" ht="21.75" customHeight="1"/>
    <row r="351" s="724" customFormat="1" ht="21.75" customHeight="1"/>
    <row r="352" s="724" customFormat="1" ht="21.75" customHeight="1"/>
    <row r="353" s="724" customFormat="1" ht="21.75" customHeight="1"/>
    <row r="354" s="724" customFormat="1" ht="21.75" customHeight="1"/>
    <row r="355" s="724" customFormat="1" ht="21.75" customHeight="1"/>
    <row r="356" s="724" customFormat="1" ht="21.75" customHeight="1"/>
    <row r="357" s="724" customFormat="1" ht="21.75" customHeight="1"/>
    <row r="358" s="724" customFormat="1" ht="21.75" customHeight="1"/>
    <row r="359" s="724" customFormat="1" ht="21.75" customHeight="1"/>
    <row r="360" s="724" customFormat="1" ht="21.75" customHeight="1"/>
    <row r="361" s="724" customFormat="1" ht="21.75" customHeight="1"/>
    <row r="362" s="724" customFormat="1" ht="21.75" customHeight="1"/>
    <row r="363" s="724" customFormat="1" ht="21.75" customHeight="1"/>
    <row r="364" s="724" customFormat="1" ht="21.75" customHeight="1"/>
    <row r="365" s="724" customFormat="1" ht="21.75" customHeight="1"/>
    <row r="366" s="724" customFormat="1" ht="21.75" customHeight="1"/>
    <row r="367" s="724" customFormat="1" ht="21.75" customHeight="1"/>
    <row r="368" s="724" customFormat="1" ht="21.75" customHeight="1"/>
    <row r="369" s="724" customFormat="1" ht="21.75" customHeight="1"/>
    <row r="370" s="724" customFormat="1" ht="21.75" customHeight="1"/>
    <row r="371" s="724" customFormat="1" ht="21.75" customHeight="1"/>
    <row r="372" s="724" customFormat="1" ht="21.75" customHeight="1"/>
    <row r="373" s="724" customFormat="1" ht="21.75" customHeight="1"/>
    <row r="374" s="724" customFormat="1" ht="21.75" customHeight="1"/>
    <row r="375" s="724" customFormat="1" ht="21.75" customHeight="1"/>
    <row r="376" s="724" customFormat="1" ht="21.75" customHeight="1"/>
    <row r="377" s="724" customFormat="1" ht="21.75" customHeight="1"/>
    <row r="378" s="724" customFormat="1" ht="21.75" customHeight="1"/>
    <row r="379" s="724" customFormat="1" ht="21.75" customHeight="1"/>
    <row r="380" s="724" customFormat="1" ht="21.75" customHeight="1"/>
    <row r="381" s="724" customFormat="1" ht="21.75" customHeight="1"/>
    <row r="382" s="724" customFormat="1" ht="21.75" customHeight="1"/>
    <row r="383" s="724" customFormat="1" ht="21.75" customHeight="1"/>
    <row r="384" s="724" customFormat="1" ht="21.75" customHeight="1"/>
    <row r="385" s="724" customFormat="1" ht="21.75" customHeight="1"/>
    <row r="386" s="724" customFormat="1" ht="21.75" customHeight="1"/>
    <row r="387" s="724" customFormat="1" ht="21.75" customHeight="1"/>
    <row r="388" s="724" customFormat="1" ht="21.75" customHeight="1"/>
    <row r="389" s="724" customFormat="1" ht="21.75" customHeight="1"/>
    <row r="390" s="724" customFormat="1" ht="21.75" customHeight="1"/>
    <row r="391" s="724" customFormat="1" ht="21.75" customHeight="1"/>
    <row r="392" s="724" customFormat="1" ht="21.75" customHeight="1"/>
    <row r="393" s="724" customFormat="1" ht="21.75" customHeight="1"/>
    <row r="394" s="724" customFormat="1" ht="21.75" customHeight="1"/>
    <row r="395" s="724" customFormat="1" ht="21.75" customHeight="1"/>
    <row r="396" s="724" customFormat="1" ht="21.75" customHeight="1"/>
    <row r="397" s="724" customFormat="1" ht="21.75" customHeight="1"/>
    <row r="398" s="724" customFormat="1" ht="21.75" customHeight="1"/>
    <row r="399" s="724" customFormat="1" ht="21.75" customHeight="1"/>
    <row r="400" s="724" customFormat="1" ht="21.75" customHeight="1"/>
    <row r="401" spans="10:26" s="724" customFormat="1" ht="21.75" customHeight="1"/>
    <row r="402" spans="10:26" s="724" customFormat="1" ht="21.75" customHeight="1"/>
    <row r="403" spans="10:26" s="724" customFormat="1" ht="21.75" customHeight="1"/>
    <row r="404" spans="10:26" s="724" customFormat="1" ht="21.75" customHeight="1"/>
    <row r="405" spans="10:26" s="724" customFormat="1" ht="21.75" customHeight="1"/>
    <row r="406" spans="10:26" s="724" customFormat="1" ht="21.75" customHeight="1"/>
    <row r="407" spans="10:26" s="724" customFormat="1" ht="21.75" customHeight="1"/>
    <row r="408" spans="10:26" s="724" customFormat="1" ht="21.75" customHeight="1"/>
    <row r="409" spans="10:26" s="1750" customFormat="1" ht="21.75" customHeight="1">
      <c r="J409" s="724"/>
      <c r="K409" s="724"/>
      <c r="L409" s="724"/>
      <c r="M409" s="724"/>
      <c r="N409" s="724"/>
      <c r="O409" s="724"/>
      <c r="P409" s="724"/>
      <c r="Q409" s="724"/>
      <c r="R409" s="724"/>
      <c r="S409" s="724"/>
      <c r="T409" s="724"/>
      <c r="U409" s="724"/>
      <c r="V409" s="724"/>
      <c r="W409" s="724"/>
      <c r="X409" s="724"/>
      <c r="Y409" s="724"/>
      <c r="Z409" s="724"/>
    </row>
    <row r="410" spans="10:26" s="1750" customFormat="1" ht="21.75" customHeight="1">
      <c r="J410" s="724"/>
      <c r="K410" s="724"/>
      <c r="L410" s="724"/>
      <c r="M410" s="724"/>
      <c r="N410" s="724"/>
      <c r="O410" s="724"/>
      <c r="P410" s="724"/>
      <c r="Q410" s="724"/>
      <c r="R410" s="724"/>
      <c r="S410" s="724"/>
      <c r="T410" s="724"/>
      <c r="U410" s="724"/>
      <c r="V410" s="724"/>
      <c r="W410" s="724"/>
      <c r="X410" s="724"/>
      <c r="Y410" s="724"/>
      <c r="Z410" s="724"/>
    </row>
    <row r="411" spans="10:26" s="1750" customFormat="1" ht="21.75" customHeight="1">
      <c r="J411" s="724"/>
      <c r="K411" s="724"/>
      <c r="L411" s="724"/>
      <c r="M411" s="724"/>
      <c r="N411" s="724"/>
      <c r="O411" s="724"/>
      <c r="P411" s="724"/>
      <c r="Q411" s="724"/>
      <c r="R411" s="724"/>
      <c r="S411" s="724"/>
      <c r="T411" s="724"/>
      <c r="U411" s="724"/>
      <c r="V411" s="724"/>
      <c r="W411" s="724"/>
      <c r="X411" s="724"/>
      <c r="Y411" s="724"/>
      <c r="Z411" s="724"/>
    </row>
    <row r="412" spans="10:26" s="1750" customFormat="1" ht="21.75" customHeight="1">
      <c r="J412" s="724"/>
      <c r="K412" s="724"/>
      <c r="L412" s="724"/>
      <c r="M412" s="724"/>
      <c r="N412" s="724"/>
      <c r="O412" s="724"/>
      <c r="P412" s="724"/>
      <c r="Q412" s="724"/>
      <c r="R412" s="724"/>
      <c r="S412" s="724"/>
      <c r="T412" s="724"/>
      <c r="U412" s="724"/>
      <c r="V412" s="724"/>
      <c r="W412" s="724"/>
      <c r="X412" s="724"/>
      <c r="Y412" s="724"/>
      <c r="Z412" s="724"/>
    </row>
    <row r="413" spans="10:26" s="1750" customFormat="1" ht="21.75" customHeight="1">
      <c r="J413" s="724"/>
      <c r="K413" s="724"/>
      <c r="L413" s="724"/>
      <c r="M413" s="724"/>
      <c r="N413" s="724"/>
      <c r="O413" s="724"/>
      <c r="P413" s="724"/>
      <c r="Q413" s="724"/>
      <c r="R413" s="724"/>
      <c r="S413" s="724"/>
      <c r="T413" s="724"/>
      <c r="U413" s="724"/>
      <c r="V413" s="724"/>
      <c r="W413" s="724"/>
      <c r="X413" s="724"/>
      <c r="Y413" s="724"/>
      <c r="Z413" s="724"/>
    </row>
    <row r="414" spans="10:26" s="1750" customFormat="1" ht="21.75" customHeight="1">
      <c r="J414" s="724"/>
      <c r="K414" s="724"/>
      <c r="L414" s="724"/>
      <c r="M414" s="724"/>
      <c r="N414" s="724"/>
      <c r="O414" s="724"/>
      <c r="P414" s="724"/>
      <c r="Q414" s="724"/>
      <c r="R414" s="724"/>
      <c r="S414" s="724"/>
      <c r="T414" s="724"/>
      <c r="U414" s="724"/>
      <c r="V414" s="724"/>
      <c r="W414" s="724"/>
      <c r="X414" s="724"/>
      <c r="Y414" s="724"/>
      <c r="Z414" s="724"/>
    </row>
    <row r="415" spans="10:26" s="1750" customFormat="1" ht="21.75" customHeight="1">
      <c r="J415" s="724"/>
      <c r="K415" s="724"/>
      <c r="L415" s="724"/>
      <c r="M415" s="724"/>
      <c r="N415" s="724"/>
      <c r="O415" s="724"/>
      <c r="P415" s="724"/>
      <c r="Q415" s="724"/>
      <c r="R415" s="724"/>
      <c r="S415" s="724"/>
      <c r="T415" s="724"/>
      <c r="U415" s="724"/>
      <c r="V415" s="724"/>
      <c r="W415" s="724"/>
      <c r="X415" s="724"/>
      <c r="Y415" s="724"/>
      <c r="Z415" s="724"/>
    </row>
    <row r="416" spans="10:26" s="1750" customFormat="1" ht="21.75" customHeight="1">
      <c r="J416" s="724"/>
      <c r="K416" s="724"/>
      <c r="L416" s="724"/>
      <c r="M416" s="724"/>
      <c r="N416" s="724"/>
      <c r="O416" s="724"/>
      <c r="P416" s="724"/>
      <c r="Q416" s="724"/>
      <c r="R416" s="724"/>
      <c r="S416" s="724"/>
      <c r="T416" s="724"/>
      <c r="U416" s="724"/>
      <c r="V416" s="724"/>
      <c r="W416" s="724"/>
      <c r="X416" s="724"/>
      <c r="Y416" s="724"/>
      <c r="Z416" s="724"/>
    </row>
    <row r="417" spans="10:26" s="1750" customFormat="1" ht="21.75" customHeight="1">
      <c r="J417" s="724"/>
      <c r="K417" s="724"/>
      <c r="L417" s="724"/>
      <c r="M417" s="724"/>
      <c r="N417" s="724"/>
      <c r="O417" s="724"/>
      <c r="P417" s="724"/>
      <c r="Q417" s="724"/>
      <c r="R417" s="724"/>
      <c r="S417" s="724"/>
      <c r="T417" s="724"/>
      <c r="U417" s="724"/>
      <c r="V417" s="724"/>
      <c r="W417" s="724"/>
      <c r="X417" s="724"/>
      <c r="Y417" s="724"/>
      <c r="Z417" s="724"/>
    </row>
    <row r="418" spans="10:26" s="1750" customFormat="1" ht="21.75" customHeight="1">
      <c r="J418" s="724"/>
      <c r="K418" s="724"/>
      <c r="L418" s="724"/>
      <c r="M418" s="724"/>
      <c r="N418" s="724"/>
      <c r="O418" s="724"/>
      <c r="P418" s="724"/>
      <c r="Q418" s="724"/>
      <c r="R418" s="724"/>
      <c r="S418" s="724"/>
      <c r="T418" s="724"/>
      <c r="U418" s="724"/>
      <c r="V418" s="724"/>
      <c r="W418" s="724"/>
      <c r="X418" s="724"/>
      <c r="Y418" s="724"/>
      <c r="Z418" s="724"/>
    </row>
    <row r="419" spans="10:26" s="1750" customFormat="1" ht="21.75" customHeight="1">
      <c r="J419" s="724"/>
      <c r="K419" s="724"/>
      <c r="L419" s="724"/>
      <c r="M419" s="724"/>
      <c r="N419" s="724"/>
      <c r="O419" s="724"/>
      <c r="P419" s="724"/>
      <c r="Q419" s="724"/>
      <c r="R419" s="724"/>
      <c r="S419" s="724"/>
      <c r="T419" s="724"/>
      <c r="U419" s="724"/>
      <c r="V419" s="724"/>
      <c r="W419" s="724"/>
      <c r="X419" s="724"/>
      <c r="Y419" s="724"/>
      <c r="Z419" s="724"/>
    </row>
    <row r="420" spans="10:26" s="1750" customFormat="1" ht="21.75" customHeight="1">
      <c r="J420" s="724"/>
      <c r="K420" s="724"/>
      <c r="L420" s="724"/>
      <c r="M420" s="724"/>
      <c r="N420" s="724"/>
      <c r="O420" s="724"/>
      <c r="P420" s="724"/>
      <c r="Q420" s="724"/>
      <c r="R420" s="724"/>
      <c r="S420" s="724"/>
      <c r="T420" s="724"/>
      <c r="U420" s="724"/>
      <c r="V420" s="724"/>
      <c r="W420" s="724"/>
      <c r="X420" s="724"/>
      <c r="Y420" s="724"/>
      <c r="Z420" s="724"/>
    </row>
    <row r="421" spans="10:26" s="1750" customFormat="1" ht="21.75" customHeight="1">
      <c r="J421" s="724"/>
      <c r="K421" s="724"/>
      <c r="L421" s="724"/>
      <c r="M421" s="724"/>
      <c r="N421" s="724"/>
      <c r="O421" s="724"/>
      <c r="P421" s="724"/>
      <c r="Q421" s="724"/>
      <c r="R421" s="724"/>
      <c r="S421" s="724"/>
      <c r="T421" s="724"/>
      <c r="U421" s="724"/>
      <c r="V421" s="724"/>
      <c r="W421" s="724"/>
      <c r="X421" s="724"/>
      <c r="Y421" s="724"/>
      <c r="Z421" s="724"/>
    </row>
    <row r="422" spans="10:26" s="1750" customFormat="1" ht="21.75" customHeight="1">
      <c r="J422" s="724"/>
      <c r="K422" s="724"/>
      <c r="L422" s="724"/>
      <c r="M422" s="724"/>
      <c r="N422" s="724"/>
      <c r="O422" s="724"/>
      <c r="P422" s="724"/>
      <c r="Q422" s="724"/>
      <c r="R422" s="724"/>
      <c r="S422" s="724"/>
      <c r="T422" s="724"/>
      <c r="U422" s="724"/>
      <c r="V422" s="724"/>
      <c r="W422" s="724"/>
      <c r="X422" s="724"/>
      <c r="Y422" s="724"/>
      <c r="Z422" s="724"/>
    </row>
    <row r="423" spans="10:26" s="1750" customFormat="1" ht="21.75" customHeight="1">
      <c r="J423" s="724"/>
      <c r="K423" s="724"/>
      <c r="L423" s="724"/>
      <c r="M423" s="724"/>
      <c r="N423" s="724"/>
      <c r="O423" s="724"/>
      <c r="P423" s="724"/>
      <c r="Q423" s="724"/>
      <c r="R423" s="724"/>
      <c r="S423" s="724"/>
      <c r="T423" s="724"/>
      <c r="U423" s="724"/>
      <c r="V423" s="724"/>
      <c r="W423" s="724"/>
      <c r="X423" s="724"/>
      <c r="Y423" s="724"/>
      <c r="Z423" s="724"/>
    </row>
    <row r="424" spans="10:26" s="1750" customFormat="1" ht="21.75" customHeight="1">
      <c r="J424" s="724"/>
      <c r="K424" s="724"/>
      <c r="L424" s="724"/>
      <c r="M424" s="724"/>
      <c r="N424" s="724"/>
      <c r="O424" s="724"/>
      <c r="P424" s="724"/>
      <c r="Q424" s="724"/>
      <c r="R424" s="724"/>
      <c r="S424" s="724"/>
      <c r="T424" s="724"/>
      <c r="U424" s="724"/>
      <c r="V424" s="724"/>
      <c r="W424" s="724"/>
      <c r="X424" s="724"/>
      <c r="Y424" s="724"/>
      <c r="Z424" s="724"/>
    </row>
    <row r="425" spans="10:26" s="1750" customFormat="1" ht="21.75" customHeight="1">
      <c r="J425" s="724"/>
      <c r="K425" s="724"/>
      <c r="L425" s="724"/>
      <c r="M425" s="724"/>
      <c r="N425" s="724"/>
      <c r="O425" s="724"/>
      <c r="P425" s="724"/>
      <c r="Q425" s="724"/>
      <c r="R425" s="724"/>
      <c r="S425" s="724"/>
      <c r="T425" s="724"/>
      <c r="U425" s="724"/>
      <c r="V425" s="724"/>
      <c r="W425" s="724"/>
      <c r="X425" s="724"/>
      <c r="Y425" s="724"/>
      <c r="Z425" s="724"/>
    </row>
    <row r="426" spans="10:26" s="1750" customFormat="1" ht="21.75" customHeight="1">
      <c r="J426" s="724"/>
      <c r="K426" s="724"/>
      <c r="L426" s="724"/>
      <c r="M426" s="724"/>
      <c r="N426" s="724"/>
      <c r="O426" s="724"/>
      <c r="P426" s="724"/>
      <c r="Q426" s="724"/>
      <c r="R426" s="724"/>
      <c r="S426" s="724"/>
      <c r="T426" s="724"/>
      <c r="U426" s="724"/>
      <c r="V426" s="724"/>
      <c r="W426" s="724"/>
      <c r="X426" s="724"/>
      <c r="Y426" s="724"/>
      <c r="Z426" s="724"/>
    </row>
    <row r="427" spans="10:26" s="1750" customFormat="1" ht="21.75" customHeight="1">
      <c r="J427" s="724"/>
      <c r="K427" s="724"/>
      <c r="L427" s="724"/>
      <c r="M427" s="724"/>
      <c r="N427" s="724"/>
      <c r="O427" s="724"/>
      <c r="P427" s="724"/>
      <c r="Q427" s="724"/>
      <c r="R427" s="724"/>
      <c r="S427" s="724"/>
      <c r="T427" s="724"/>
      <c r="U427" s="724"/>
      <c r="V427" s="724"/>
      <c r="W427" s="724"/>
      <c r="X427" s="724"/>
      <c r="Y427" s="724"/>
      <c r="Z427" s="724"/>
    </row>
    <row r="428" spans="10:26" s="1750" customFormat="1" ht="21.75" customHeight="1">
      <c r="J428" s="724"/>
      <c r="K428" s="724"/>
      <c r="L428" s="724"/>
      <c r="M428" s="724"/>
      <c r="N428" s="724"/>
      <c r="O428" s="724"/>
      <c r="P428" s="724"/>
      <c r="Q428" s="724"/>
      <c r="R428" s="724"/>
      <c r="S428" s="724"/>
      <c r="T428" s="724"/>
      <c r="U428" s="724"/>
      <c r="V428" s="724"/>
      <c r="W428" s="724"/>
      <c r="X428" s="724"/>
      <c r="Y428" s="724"/>
      <c r="Z428" s="724"/>
    </row>
    <row r="429" spans="10:26" s="1750" customFormat="1" ht="21.75" customHeight="1">
      <c r="J429" s="724"/>
      <c r="K429" s="724"/>
      <c r="L429" s="724"/>
      <c r="M429" s="724"/>
      <c r="N429" s="724"/>
      <c r="O429" s="724"/>
      <c r="P429" s="724"/>
      <c r="Q429" s="724"/>
      <c r="R429" s="724"/>
      <c r="S429" s="724"/>
      <c r="T429" s="724"/>
      <c r="U429" s="724"/>
      <c r="V429" s="724"/>
      <c r="W429" s="724"/>
      <c r="X429" s="724"/>
      <c r="Y429" s="724"/>
      <c r="Z429" s="724"/>
    </row>
    <row r="430" spans="10:26" s="1750" customFormat="1" ht="21.75" customHeight="1">
      <c r="J430" s="724"/>
      <c r="K430" s="724"/>
      <c r="L430" s="724"/>
      <c r="M430" s="724"/>
      <c r="N430" s="724"/>
      <c r="O430" s="724"/>
      <c r="P430" s="724"/>
      <c r="Q430" s="724"/>
      <c r="R430" s="724"/>
      <c r="S430" s="724"/>
      <c r="T430" s="724"/>
      <c r="U430" s="724"/>
      <c r="V430" s="724"/>
      <c r="W430" s="724"/>
      <c r="X430" s="724"/>
      <c r="Y430" s="724"/>
      <c r="Z430" s="724"/>
    </row>
    <row r="431" spans="10:26" s="1750" customFormat="1" ht="21.75" customHeight="1">
      <c r="J431" s="724"/>
      <c r="K431" s="724"/>
      <c r="L431" s="724"/>
      <c r="M431" s="724"/>
      <c r="N431" s="724"/>
      <c r="O431" s="724"/>
      <c r="P431" s="724"/>
      <c r="Q431" s="724"/>
      <c r="R431" s="724"/>
      <c r="S431" s="724"/>
      <c r="T431" s="724"/>
      <c r="U431" s="724"/>
      <c r="V431" s="724"/>
      <c r="W431" s="724"/>
      <c r="X431" s="724"/>
      <c r="Y431" s="724"/>
      <c r="Z431" s="724"/>
    </row>
    <row r="432" spans="10:26" s="1750" customFormat="1" ht="21.75" customHeight="1">
      <c r="J432" s="724"/>
      <c r="K432" s="724"/>
      <c r="L432" s="724"/>
      <c r="M432" s="724"/>
      <c r="N432" s="724"/>
      <c r="O432" s="724"/>
      <c r="P432" s="724"/>
      <c r="Q432" s="724"/>
      <c r="R432" s="724"/>
      <c r="S432" s="724"/>
      <c r="T432" s="724"/>
      <c r="U432" s="724"/>
      <c r="V432" s="724"/>
      <c r="W432" s="724"/>
      <c r="X432" s="724"/>
      <c r="Y432" s="724"/>
      <c r="Z432" s="724"/>
    </row>
    <row r="433" spans="10:26" s="1750" customFormat="1" ht="21.75" customHeight="1">
      <c r="J433" s="724"/>
      <c r="K433" s="724"/>
      <c r="L433" s="724"/>
      <c r="M433" s="724"/>
      <c r="N433" s="724"/>
      <c r="O433" s="724"/>
      <c r="P433" s="724"/>
      <c r="Q433" s="724"/>
      <c r="R433" s="724"/>
      <c r="S433" s="724"/>
      <c r="T433" s="724"/>
      <c r="U433" s="724"/>
      <c r="V433" s="724"/>
      <c r="W433" s="724"/>
      <c r="X433" s="724"/>
      <c r="Y433" s="724"/>
      <c r="Z433" s="724"/>
    </row>
    <row r="434" spans="10:26" s="1750" customFormat="1" ht="21.75" customHeight="1">
      <c r="J434" s="724"/>
      <c r="K434" s="724"/>
      <c r="L434" s="724"/>
      <c r="M434" s="724"/>
      <c r="N434" s="724"/>
      <c r="O434" s="724"/>
      <c r="P434" s="724"/>
      <c r="Q434" s="724"/>
      <c r="R434" s="724"/>
      <c r="S434" s="724"/>
      <c r="T434" s="724"/>
      <c r="U434" s="724"/>
      <c r="V434" s="724"/>
      <c r="W434" s="724"/>
      <c r="X434" s="724"/>
      <c r="Y434" s="724"/>
      <c r="Z434" s="724"/>
    </row>
    <row r="435" spans="10:26" s="1750" customFormat="1" ht="21.75" customHeight="1">
      <c r="J435" s="724"/>
      <c r="K435" s="724"/>
      <c r="L435" s="724"/>
      <c r="M435" s="724"/>
      <c r="N435" s="724"/>
      <c r="O435" s="724"/>
      <c r="P435" s="724"/>
      <c r="Q435" s="724"/>
      <c r="R435" s="724"/>
      <c r="S435" s="724"/>
      <c r="T435" s="724"/>
      <c r="U435" s="724"/>
      <c r="V435" s="724"/>
      <c r="W435" s="724"/>
      <c r="X435" s="724"/>
      <c r="Y435" s="724"/>
      <c r="Z435" s="724"/>
    </row>
    <row r="436" spans="10:26" s="1750" customFormat="1" ht="21.75" customHeight="1">
      <c r="J436" s="724"/>
      <c r="K436" s="724"/>
      <c r="L436" s="724"/>
      <c r="M436" s="724"/>
      <c r="N436" s="724"/>
      <c r="O436" s="724"/>
      <c r="P436" s="724"/>
      <c r="Q436" s="724"/>
      <c r="R436" s="724"/>
      <c r="S436" s="724"/>
      <c r="T436" s="724"/>
      <c r="U436" s="724"/>
      <c r="V436" s="724"/>
      <c r="W436" s="724"/>
      <c r="X436" s="724"/>
      <c r="Y436" s="724"/>
      <c r="Z436" s="724"/>
    </row>
    <row r="437" spans="10:26" s="1750" customFormat="1" ht="21.75" customHeight="1">
      <c r="J437" s="724"/>
      <c r="K437" s="724"/>
      <c r="L437" s="724"/>
      <c r="M437" s="724"/>
      <c r="N437" s="724"/>
      <c r="O437" s="724"/>
      <c r="P437" s="724"/>
      <c r="Q437" s="724"/>
      <c r="R437" s="724"/>
      <c r="S437" s="724"/>
      <c r="T437" s="724"/>
      <c r="U437" s="724"/>
      <c r="V437" s="724"/>
      <c r="W437" s="724"/>
      <c r="X437" s="724"/>
      <c r="Y437" s="724"/>
      <c r="Z437" s="724"/>
    </row>
    <row r="438" spans="10:26" s="1750" customFormat="1" ht="21.75" customHeight="1">
      <c r="J438" s="724"/>
      <c r="K438" s="724"/>
      <c r="L438" s="724"/>
      <c r="M438" s="724"/>
      <c r="N438" s="724"/>
      <c r="O438" s="724"/>
      <c r="P438" s="724"/>
      <c r="Q438" s="724"/>
      <c r="R438" s="724"/>
      <c r="S438" s="724"/>
      <c r="T438" s="724"/>
      <c r="U438" s="724"/>
      <c r="V438" s="724"/>
      <c r="W438" s="724"/>
      <c r="X438" s="724"/>
      <c r="Y438" s="724"/>
      <c r="Z438" s="724"/>
    </row>
    <row r="439" spans="10:26" s="1750" customFormat="1" ht="21.75" customHeight="1">
      <c r="J439" s="724"/>
      <c r="K439" s="724"/>
      <c r="L439" s="724"/>
      <c r="M439" s="724"/>
      <c r="N439" s="724"/>
      <c r="O439" s="724"/>
      <c r="P439" s="724"/>
      <c r="Q439" s="724"/>
      <c r="R439" s="724"/>
      <c r="S439" s="724"/>
      <c r="T439" s="724"/>
      <c r="U439" s="724"/>
      <c r="V439" s="724"/>
      <c r="W439" s="724"/>
      <c r="X439" s="724"/>
      <c r="Y439" s="724"/>
      <c r="Z439" s="724"/>
    </row>
    <row r="440" spans="10:26" s="1750" customFormat="1" ht="21.75" customHeight="1">
      <c r="J440" s="724"/>
      <c r="K440" s="724"/>
      <c r="L440" s="724"/>
      <c r="M440" s="724"/>
      <c r="N440" s="724"/>
      <c r="O440" s="724"/>
      <c r="P440" s="724"/>
      <c r="Q440" s="724"/>
      <c r="R440" s="724"/>
      <c r="S440" s="724"/>
      <c r="T440" s="724"/>
      <c r="U440" s="724"/>
      <c r="V440" s="724"/>
      <c r="W440" s="724"/>
      <c r="X440" s="724"/>
      <c r="Y440" s="724"/>
      <c r="Z440" s="724"/>
    </row>
    <row r="441" spans="10:26" s="1750" customFormat="1" ht="21.75" customHeight="1">
      <c r="J441" s="724"/>
      <c r="K441" s="724"/>
      <c r="L441" s="724"/>
      <c r="M441" s="724"/>
      <c r="N441" s="724"/>
      <c r="O441" s="724"/>
      <c r="P441" s="724"/>
      <c r="Q441" s="724"/>
      <c r="R441" s="724"/>
      <c r="S441" s="724"/>
      <c r="T441" s="724"/>
      <c r="U441" s="724"/>
      <c r="V441" s="724"/>
      <c r="W441" s="724"/>
      <c r="X441" s="724"/>
      <c r="Y441" s="724"/>
      <c r="Z441" s="724"/>
    </row>
    <row r="442" spans="10:26" s="1750" customFormat="1" ht="21.75" customHeight="1">
      <c r="J442" s="724"/>
      <c r="K442" s="724"/>
      <c r="L442" s="724"/>
      <c r="M442" s="724"/>
      <c r="N442" s="724"/>
      <c r="O442" s="724"/>
      <c r="P442" s="724"/>
      <c r="Q442" s="724"/>
      <c r="R442" s="724"/>
      <c r="S442" s="724"/>
      <c r="T442" s="724"/>
      <c r="U442" s="724"/>
      <c r="V442" s="724"/>
      <c r="W442" s="724"/>
      <c r="X442" s="724"/>
      <c r="Y442" s="724"/>
      <c r="Z442" s="724"/>
    </row>
    <row r="443" spans="10:26" s="1750" customFormat="1" ht="21.75" customHeight="1">
      <c r="J443" s="724"/>
      <c r="K443" s="724"/>
      <c r="L443" s="724"/>
      <c r="M443" s="724"/>
      <c r="N443" s="724"/>
      <c r="O443" s="724"/>
      <c r="P443" s="724"/>
      <c r="Q443" s="724"/>
      <c r="R443" s="724"/>
      <c r="S443" s="724"/>
      <c r="T443" s="724"/>
      <c r="U443" s="724"/>
      <c r="V443" s="724"/>
      <c r="W443" s="724"/>
      <c r="X443" s="724"/>
      <c r="Y443" s="724"/>
      <c r="Z443" s="724"/>
    </row>
    <row r="444" spans="10:26" s="1750" customFormat="1" ht="21.75" customHeight="1">
      <c r="J444" s="724"/>
      <c r="K444" s="724"/>
      <c r="L444" s="724"/>
      <c r="M444" s="724"/>
      <c r="N444" s="724"/>
      <c r="O444" s="724"/>
      <c r="P444" s="724"/>
      <c r="Q444" s="724"/>
      <c r="R444" s="724"/>
      <c r="S444" s="724"/>
      <c r="T444" s="724"/>
      <c r="U444" s="724"/>
      <c r="V444" s="724"/>
      <c r="W444" s="724"/>
      <c r="X444" s="724"/>
      <c r="Y444" s="724"/>
      <c r="Z444" s="724"/>
    </row>
    <row r="445" spans="10:26" s="1750" customFormat="1" ht="21.75" customHeight="1">
      <c r="J445" s="724"/>
      <c r="K445" s="724"/>
      <c r="L445" s="724"/>
      <c r="M445" s="724"/>
      <c r="N445" s="724"/>
      <c r="O445" s="724"/>
      <c r="P445" s="724"/>
      <c r="Q445" s="724"/>
      <c r="R445" s="724"/>
      <c r="S445" s="724"/>
      <c r="T445" s="724"/>
      <c r="U445" s="724"/>
      <c r="V445" s="724"/>
      <c r="W445" s="724"/>
      <c r="X445" s="724"/>
      <c r="Y445" s="724"/>
      <c r="Z445" s="724"/>
    </row>
    <row r="446" spans="10:26" s="1750" customFormat="1" ht="21.75" customHeight="1">
      <c r="J446" s="724"/>
      <c r="K446" s="724"/>
      <c r="L446" s="724"/>
      <c r="M446" s="724"/>
      <c r="N446" s="724"/>
      <c r="O446" s="724"/>
      <c r="P446" s="724"/>
      <c r="Q446" s="724"/>
      <c r="R446" s="724"/>
      <c r="S446" s="724"/>
      <c r="T446" s="724"/>
      <c r="U446" s="724"/>
      <c r="V446" s="724"/>
      <c r="W446" s="724"/>
      <c r="X446" s="724"/>
      <c r="Y446" s="724"/>
      <c r="Z446" s="724"/>
    </row>
    <row r="447" spans="10:26" s="1750" customFormat="1" ht="21.75" customHeight="1">
      <c r="J447" s="724"/>
      <c r="K447" s="724"/>
      <c r="L447" s="724"/>
      <c r="M447" s="724"/>
      <c r="N447" s="724"/>
      <c r="O447" s="724"/>
      <c r="P447" s="724"/>
      <c r="Q447" s="724"/>
      <c r="R447" s="724"/>
      <c r="S447" s="724"/>
      <c r="T447" s="724"/>
      <c r="U447" s="724"/>
      <c r="V447" s="724"/>
      <c r="W447" s="724"/>
      <c r="X447" s="724"/>
      <c r="Y447" s="724"/>
      <c r="Z447" s="724"/>
    </row>
    <row r="448" spans="10:26" s="1750" customFormat="1" ht="21.75" customHeight="1">
      <c r="J448" s="724"/>
      <c r="K448" s="724"/>
      <c r="L448" s="724"/>
      <c r="M448" s="724"/>
      <c r="N448" s="724"/>
      <c r="O448" s="724"/>
      <c r="P448" s="724"/>
      <c r="Q448" s="724"/>
      <c r="R448" s="724"/>
      <c r="S448" s="724"/>
      <c r="T448" s="724"/>
      <c r="U448" s="724"/>
      <c r="V448" s="724"/>
      <c r="W448" s="724"/>
      <c r="X448" s="724"/>
      <c r="Y448" s="724"/>
      <c r="Z448" s="724"/>
    </row>
    <row r="449" spans="10:26" s="1750" customFormat="1" ht="21.75" customHeight="1">
      <c r="J449" s="724"/>
      <c r="K449" s="724"/>
      <c r="L449" s="724"/>
      <c r="M449" s="724"/>
      <c r="N449" s="724"/>
      <c r="O449" s="724"/>
      <c r="P449" s="724"/>
      <c r="Q449" s="724"/>
      <c r="R449" s="724"/>
      <c r="S449" s="724"/>
      <c r="T449" s="724"/>
      <c r="U449" s="724"/>
      <c r="V449" s="724"/>
      <c r="W449" s="724"/>
      <c r="X449" s="724"/>
      <c r="Y449" s="724"/>
      <c r="Z449" s="724"/>
    </row>
    <row r="450" spans="10:26" s="1750" customFormat="1" ht="21.75" customHeight="1">
      <c r="J450" s="724"/>
      <c r="K450" s="724"/>
      <c r="L450" s="724"/>
      <c r="M450" s="724"/>
      <c r="N450" s="724"/>
      <c r="O450" s="724"/>
      <c r="P450" s="724"/>
      <c r="Q450" s="724"/>
      <c r="R450" s="724"/>
      <c r="S450" s="724"/>
      <c r="T450" s="724"/>
      <c r="U450" s="724"/>
      <c r="V450" s="724"/>
      <c r="W450" s="724"/>
      <c r="X450" s="724"/>
      <c r="Y450" s="724"/>
      <c r="Z450" s="724"/>
    </row>
    <row r="451" spans="10:26" s="1750" customFormat="1" ht="21.75" customHeight="1">
      <c r="J451" s="724"/>
      <c r="K451" s="724"/>
      <c r="L451" s="724"/>
      <c r="M451" s="724"/>
      <c r="N451" s="724"/>
      <c r="O451" s="724"/>
      <c r="P451" s="724"/>
      <c r="Q451" s="724"/>
      <c r="R451" s="724"/>
      <c r="S451" s="724"/>
      <c r="T451" s="724"/>
      <c r="U451" s="724"/>
      <c r="V451" s="724"/>
      <c r="W451" s="724"/>
      <c r="X451" s="724"/>
      <c r="Y451" s="724"/>
      <c r="Z451" s="724"/>
    </row>
    <row r="452" spans="10:26" s="1750" customFormat="1" ht="21.75" customHeight="1">
      <c r="J452" s="724"/>
      <c r="K452" s="724"/>
      <c r="L452" s="724"/>
      <c r="M452" s="724"/>
      <c r="N452" s="724"/>
      <c r="O452" s="724"/>
      <c r="P452" s="724"/>
      <c r="Q452" s="724"/>
      <c r="R452" s="724"/>
      <c r="S452" s="724"/>
      <c r="T452" s="724"/>
      <c r="U452" s="724"/>
      <c r="V452" s="724"/>
      <c r="W452" s="724"/>
      <c r="X452" s="724"/>
      <c r="Y452" s="724"/>
      <c r="Z452" s="724"/>
    </row>
    <row r="453" spans="10:26" s="1750" customFormat="1" ht="21.75" customHeight="1">
      <c r="J453" s="724"/>
      <c r="K453" s="724"/>
      <c r="L453" s="724"/>
      <c r="M453" s="724"/>
      <c r="N453" s="724"/>
      <c r="O453" s="724"/>
      <c r="P453" s="724"/>
      <c r="Q453" s="724"/>
      <c r="R453" s="724"/>
      <c r="S453" s="724"/>
      <c r="T453" s="724"/>
      <c r="U453" s="724"/>
      <c r="V453" s="724"/>
      <c r="W453" s="724"/>
      <c r="X453" s="724"/>
      <c r="Y453" s="724"/>
      <c r="Z453" s="724"/>
    </row>
    <row r="454" spans="10:26" s="1750" customFormat="1" ht="21.75" customHeight="1">
      <c r="J454" s="724"/>
      <c r="K454" s="724"/>
      <c r="L454" s="724"/>
      <c r="M454" s="724"/>
      <c r="N454" s="724"/>
      <c r="O454" s="724"/>
      <c r="P454" s="724"/>
      <c r="Q454" s="724"/>
      <c r="R454" s="724"/>
      <c r="S454" s="724"/>
      <c r="T454" s="724"/>
      <c r="U454" s="724"/>
      <c r="V454" s="724"/>
      <c r="W454" s="724"/>
      <c r="X454" s="724"/>
      <c r="Y454" s="724"/>
      <c r="Z454" s="724"/>
    </row>
    <row r="455" spans="10:26" s="1750" customFormat="1" ht="21.75" customHeight="1">
      <c r="J455" s="724"/>
      <c r="K455" s="724"/>
      <c r="L455" s="724"/>
      <c r="M455" s="724"/>
      <c r="N455" s="724"/>
      <c r="O455" s="724"/>
      <c r="P455" s="724"/>
      <c r="Q455" s="724"/>
      <c r="R455" s="724"/>
      <c r="S455" s="724"/>
      <c r="T455" s="724"/>
      <c r="U455" s="724"/>
      <c r="V455" s="724"/>
      <c r="W455" s="724"/>
      <c r="X455" s="724"/>
      <c r="Y455" s="724"/>
      <c r="Z455" s="724"/>
    </row>
    <row r="456" spans="10:26" s="1750" customFormat="1" ht="21.75" customHeight="1">
      <c r="J456" s="724"/>
      <c r="K456" s="724"/>
      <c r="L456" s="724"/>
      <c r="M456" s="724"/>
      <c r="N456" s="724"/>
      <c r="O456" s="724"/>
      <c r="P456" s="724"/>
      <c r="Q456" s="724"/>
      <c r="R456" s="724"/>
      <c r="S456" s="724"/>
      <c r="T456" s="724"/>
      <c r="U456" s="724"/>
      <c r="V456" s="724"/>
      <c r="W456" s="724"/>
      <c r="X456" s="724"/>
      <c r="Y456" s="724"/>
      <c r="Z456" s="724"/>
    </row>
    <row r="457" spans="10:26" s="1750" customFormat="1" ht="21.75" customHeight="1">
      <c r="J457" s="724"/>
      <c r="K457" s="724"/>
      <c r="L457" s="724"/>
      <c r="M457" s="724"/>
      <c r="N457" s="724"/>
      <c r="O457" s="724"/>
      <c r="P457" s="724"/>
      <c r="Q457" s="724"/>
      <c r="R457" s="724"/>
      <c r="S457" s="724"/>
      <c r="T457" s="724"/>
      <c r="U457" s="724"/>
      <c r="V457" s="724"/>
      <c r="W457" s="724"/>
      <c r="X457" s="724"/>
      <c r="Y457" s="724"/>
      <c r="Z457" s="724"/>
    </row>
    <row r="458" spans="10:26" s="1750" customFormat="1" ht="21.75" customHeight="1">
      <c r="J458" s="724"/>
      <c r="K458" s="724"/>
      <c r="L458" s="724"/>
      <c r="M458" s="724"/>
      <c r="N458" s="724"/>
      <c r="O458" s="724"/>
      <c r="P458" s="724"/>
      <c r="Q458" s="724"/>
      <c r="R458" s="724"/>
      <c r="S458" s="724"/>
      <c r="T458" s="724"/>
      <c r="U458" s="724"/>
      <c r="V458" s="724"/>
      <c r="W458" s="724"/>
      <c r="X458" s="724"/>
      <c r="Y458" s="724"/>
      <c r="Z458" s="724"/>
    </row>
    <row r="459" spans="10:26" s="1750" customFormat="1" ht="21.75" customHeight="1">
      <c r="J459" s="724"/>
      <c r="K459" s="724"/>
      <c r="L459" s="724"/>
      <c r="M459" s="724"/>
      <c r="N459" s="724"/>
      <c r="O459" s="724"/>
      <c r="P459" s="724"/>
      <c r="Q459" s="724"/>
      <c r="R459" s="724"/>
      <c r="S459" s="724"/>
      <c r="T459" s="724"/>
      <c r="U459" s="724"/>
      <c r="V459" s="724"/>
      <c r="W459" s="724"/>
      <c r="X459" s="724"/>
      <c r="Y459" s="724"/>
      <c r="Z459" s="724"/>
    </row>
    <row r="460" spans="10:26" s="1750" customFormat="1" ht="21.75" customHeight="1">
      <c r="J460" s="724"/>
      <c r="K460" s="724"/>
      <c r="L460" s="724"/>
      <c r="M460" s="724"/>
      <c r="N460" s="724"/>
      <c r="O460" s="724"/>
      <c r="P460" s="724"/>
      <c r="Q460" s="724"/>
      <c r="R460" s="724"/>
      <c r="S460" s="724"/>
      <c r="T460" s="724"/>
      <c r="U460" s="724"/>
      <c r="V460" s="724"/>
      <c r="W460" s="724"/>
      <c r="X460" s="724"/>
      <c r="Y460" s="724"/>
      <c r="Z460" s="724"/>
    </row>
    <row r="461" spans="10:26" s="1750" customFormat="1" ht="21.75" customHeight="1">
      <c r="J461" s="724"/>
      <c r="K461" s="724"/>
      <c r="L461" s="724"/>
      <c r="M461" s="724"/>
      <c r="N461" s="724"/>
      <c r="O461" s="724"/>
      <c r="P461" s="724"/>
      <c r="Q461" s="724"/>
      <c r="R461" s="724"/>
      <c r="S461" s="724"/>
      <c r="T461" s="724"/>
      <c r="U461" s="724"/>
      <c r="V461" s="724"/>
      <c r="W461" s="724"/>
      <c r="X461" s="724"/>
      <c r="Y461" s="724"/>
      <c r="Z461" s="724"/>
    </row>
    <row r="462" spans="10:26" s="1750" customFormat="1" ht="21.75" customHeight="1">
      <c r="J462" s="724"/>
      <c r="K462" s="724"/>
      <c r="L462" s="724"/>
      <c r="M462" s="724"/>
      <c r="N462" s="724"/>
      <c r="O462" s="724"/>
      <c r="P462" s="724"/>
      <c r="Q462" s="724"/>
      <c r="R462" s="724"/>
      <c r="S462" s="724"/>
      <c r="T462" s="724"/>
      <c r="U462" s="724"/>
      <c r="V462" s="724"/>
      <c r="W462" s="724"/>
      <c r="X462" s="724"/>
      <c r="Y462" s="724"/>
      <c r="Z462" s="724"/>
    </row>
    <row r="463" spans="10:26" s="1750" customFormat="1" ht="21.75" customHeight="1">
      <c r="J463" s="724"/>
      <c r="K463" s="724"/>
      <c r="L463" s="724"/>
      <c r="M463" s="724"/>
      <c r="N463" s="724"/>
      <c r="O463" s="724"/>
      <c r="P463" s="724"/>
      <c r="Q463" s="724"/>
      <c r="R463" s="724"/>
      <c r="S463" s="724"/>
      <c r="T463" s="724"/>
      <c r="U463" s="724"/>
      <c r="V463" s="724"/>
      <c r="W463" s="724"/>
      <c r="X463" s="724"/>
      <c r="Y463" s="724"/>
      <c r="Z463" s="724"/>
    </row>
    <row r="464" spans="10:26" s="1750" customFormat="1" ht="21.75" customHeight="1">
      <c r="J464" s="724"/>
      <c r="K464" s="724"/>
      <c r="L464" s="724"/>
      <c r="M464" s="724"/>
      <c r="N464" s="724"/>
      <c r="O464" s="724"/>
      <c r="P464" s="724"/>
      <c r="Q464" s="724"/>
      <c r="R464" s="724"/>
      <c r="S464" s="724"/>
      <c r="T464" s="724"/>
      <c r="U464" s="724"/>
      <c r="V464" s="724"/>
      <c r="W464" s="724"/>
      <c r="X464" s="724"/>
      <c r="Y464" s="724"/>
      <c r="Z464" s="724"/>
    </row>
    <row r="465" spans="10:26" s="1750" customFormat="1" ht="21.75" customHeight="1">
      <c r="J465" s="724"/>
      <c r="K465" s="724"/>
      <c r="L465" s="724"/>
      <c r="M465" s="724"/>
      <c r="N465" s="724"/>
      <c r="O465" s="724"/>
      <c r="P465" s="724"/>
      <c r="Q465" s="724"/>
      <c r="R465" s="724"/>
      <c r="S465" s="724"/>
      <c r="T465" s="724"/>
      <c r="U465" s="724"/>
      <c r="V465" s="724"/>
      <c r="W465" s="724"/>
      <c r="X465" s="724"/>
      <c r="Y465" s="724"/>
      <c r="Z465" s="724"/>
    </row>
    <row r="466" spans="10:26" s="1750" customFormat="1" ht="21.75" customHeight="1">
      <c r="J466" s="724"/>
      <c r="K466" s="724"/>
      <c r="L466" s="724"/>
      <c r="M466" s="724"/>
      <c r="N466" s="724"/>
      <c r="O466" s="724"/>
      <c r="P466" s="724"/>
      <c r="Q466" s="724"/>
      <c r="R466" s="724"/>
      <c r="S466" s="724"/>
      <c r="T466" s="724"/>
      <c r="U466" s="724"/>
      <c r="V466" s="724"/>
      <c r="W466" s="724"/>
      <c r="X466" s="724"/>
      <c r="Y466" s="724"/>
      <c r="Z466" s="724"/>
    </row>
    <row r="467" spans="10:26" s="1750" customFormat="1" ht="21.75" customHeight="1">
      <c r="J467" s="724"/>
      <c r="K467" s="724"/>
      <c r="L467" s="724"/>
      <c r="M467" s="724"/>
      <c r="N467" s="724"/>
      <c r="O467" s="724"/>
      <c r="P467" s="724"/>
      <c r="Q467" s="724"/>
      <c r="R467" s="724"/>
      <c r="S467" s="724"/>
      <c r="T467" s="724"/>
      <c r="U467" s="724"/>
      <c r="V467" s="724"/>
      <c r="W467" s="724"/>
      <c r="X467" s="724"/>
      <c r="Y467" s="724"/>
      <c r="Z467" s="724"/>
    </row>
    <row r="468" spans="10:26" s="1750" customFormat="1" ht="21.75" customHeight="1">
      <c r="J468" s="724"/>
      <c r="K468" s="724"/>
      <c r="L468" s="724"/>
      <c r="M468" s="724"/>
      <c r="N468" s="724"/>
      <c r="O468" s="724"/>
      <c r="P468" s="724"/>
      <c r="Q468" s="724"/>
      <c r="R468" s="724"/>
      <c r="S468" s="724"/>
      <c r="T468" s="724"/>
      <c r="U468" s="724"/>
      <c r="V468" s="724"/>
      <c r="W468" s="724"/>
      <c r="X468" s="724"/>
      <c r="Y468" s="724"/>
      <c r="Z468" s="724"/>
    </row>
    <row r="469" spans="10:26" s="1750" customFormat="1" ht="21.75" customHeight="1">
      <c r="J469" s="724"/>
      <c r="K469" s="724"/>
      <c r="L469" s="724"/>
      <c r="M469" s="724"/>
      <c r="N469" s="724"/>
      <c r="O469" s="724"/>
      <c r="P469" s="724"/>
      <c r="Q469" s="724"/>
      <c r="R469" s="724"/>
      <c r="S469" s="724"/>
      <c r="T469" s="724"/>
      <c r="U469" s="724"/>
      <c r="V469" s="724"/>
      <c r="W469" s="724"/>
      <c r="X469" s="724"/>
      <c r="Y469" s="724"/>
      <c r="Z469" s="724"/>
    </row>
    <row r="470" spans="10:26" s="1750" customFormat="1" ht="21.75" customHeight="1">
      <c r="J470" s="724"/>
      <c r="K470" s="724"/>
      <c r="L470" s="724"/>
      <c r="M470" s="724"/>
      <c r="N470" s="724"/>
      <c r="O470" s="724"/>
      <c r="P470" s="724"/>
      <c r="Q470" s="724"/>
      <c r="R470" s="724"/>
      <c r="S470" s="724"/>
      <c r="T470" s="724"/>
      <c r="U470" s="724"/>
      <c r="V470" s="724"/>
      <c r="W470" s="724"/>
      <c r="X470" s="724"/>
      <c r="Y470" s="724"/>
      <c r="Z470" s="724"/>
    </row>
    <row r="471" spans="10:26" s="1750" customFormat="1" ht="21.75" customHeight="1">
      <c r="J471" s="724"/>
      <c r="K471" s="724"/>
      <c r="L471" s="724"/>
      <c r="M471" s="724"/>
      <c r="N471" s="724"/>
      <c r="O471" s="724"/>
      <c r="P471" s="724"/>
      <c r="Q471" s="724"/>
      <c r="R471" s="724"/>
      <c r="S471" s="724"/>
      <c r="T471" s="724"/>
      <c r="U471" s="724"/>
      <c r="V471" s="724"/>
      <c r="W471" s="724"/>
      <c r="X471" s="724"/>
      <c r="Y471" s="724"/>
      <c r="Z471" s="724"/>
    </row>
    <row r="472" spans="10:26" s="1750" customFormat="1" ht="21.75" customHeight="1">
      <c r="J472" s="724"/>
      <c r="K472" s="724"/>
      <c r="L472" s="724"/>
      <c r="M472" s="724"/>
      <c r="N472" s="724"/>
      <c r="O472" s="724"/>
      <c r="P472" s="724"/>
      <c r="Q472" s="724"/>
      <c r="R472" s="724"/>
      <c r="S472" s="724"/>
      <c r="T472" s="724"/>
      <c r="U472" s="724"/>
      <c r="V472" s="724"/>
      <c r="W472" s="724"/>
      <c r="X472" s="724"/>
      <c r="Y472" s="724"/>
      <c r="Z472" s="724"/>
    </row>
    <row r="473" spans="10:26" s="1750" customFormat="1" ht="21.75" customHeight="1">
      <c r="J473" s="724"/>
      <c r="K473" s="724"/>
      <c r="L473" s="724"/>
      <c r="M473" s="724"/>
      <c r="N473" s="724"/>
      <c r="O473" s="724"/>
      <c r="P473" s="724"/>
      <c r="Q473" s="724"/>
      <c r="R473" s="724"/>
      <c r="S473" s="724"/>
      <c r="T473" s="724"/>
      <c r="U473" s="724"/>
      <c r="V473" s="724"/>
      <c r="W473" s="724"/>
      <c r="X473" s="724"/>
      <c r="Y473" s="724"/>
      <c r="Z473" s="724"/>
    </row>
    <row r="474" spans="10:26" s="1750" customFormat="1" ht="21.75" customHeight="1">
      <c r="J474" s="724"/>
      <c r="K474" s="724"/>
      <c r="L474" s="724"/>
      <c r="M474" s="724"/>
      <c r="N474" s="724"/>
      <c r="O474" s="724"/>
      <c r="P474" s="724"/>
      <c r="Q474" s="724"/>
      <c r="R474" s="724"/>
      <c r="S474" s="724"/>
      <c r="T474" s="724"/>
      <c r="U474" s="724"/>
      <c r="V474" s="724"/>
      <c r="W474" s="724"/>
      <c r="X474" s="724"/>
      <c r="Y474" s="724"/>
      <c r="Z474" s="724"/>
    </row>
    <row r="475" spans="10:26" s="1750" customFormat="1" ht="21.75" customHeight="1">
      <c r="J475" s="724"/>
      <c r="K475" s="724"/>
      <c r="L475" s="724"/>
      <c r="M475" s="724"/>
      <c r="N475" s="724"/>
      <c r="O475" s="724"/>
      <c r="P475" s="724"/>
      <c r="Q475" s="724"/>
      <c r="R475" s="724"/>
      <c r="S475" s="724"/>
      <c r="T475" s="724"/>
      <c r="U475" s="724"/>
      <c r="V475" s="724"/>
      <c r="W475" s="724"/>
      <c r="X475" s="724"/>
      <c r="Y475" s="724"/>
      <c r="Z475" s="724"/>
    </row>
    <row r="476" spans="10:26" s="1750" customFormat="1" ht="21.75" customHeight="1">
      <c r="J476" s="724"/>
      <c r="K476" s="724"/>
      <c r="L476" s="724"/>
      <c r="M476" s="724"/>
      <c r="N476" s="724"/>
      <c r="O476" s="724"/>
      <c r="P476" s="724"/>
      <c r="Q476" s="724"/>
      <c r="R476" s="724"/>
      <c r="S476" s="724"/>
      <c r="T476" s="724"/>
      <c r="U476" s="724"/>
      <c r="V476" s="724"/>
      <c r="W476" s="724"/>
      <c r="X476" s="724"/>
      <c r="Y476" s="724"/>
      <c r="Z476" s="724"/>
    </row>
    <row r="477" spans="10:26" s="1750" customFormat="1" ht="21.75" customHeight="1">
      <c r="J477" s="724"/>
      <c r="K477" s="724"/>
      <c r="L477" s="724"/>
      <c r="M477" s="724"/>
      <c r="N477" s="724"/>
      <c r="O477" s="724"/>
      <c r="P477" s="724"/>
      <c r="Q477" s="724"/>
      <c r="R477" s="724"/>
      <c r="S477" s="724"/>
      <c r="T477" s="724"/>
      <c r="U477" s="724"/>
      <c r="V477" s="724"/>
      <c r="W477" s="724"/>
      <c r="X477" s="724"/>
      <c r="Y477" s="724"/>
      <c r="Z477" s="724"/>
    </row>
    <row r="478" spans="10:26" s="1750" customFormat="1" ht="21.75" customHeight="1">
      <c r="J478" s="724"/>
      <c r="K478" s="724"/>
      <c r="L478" s="724"/>
      <c r="M478" s="724"/>
      <c r="N478" s="724"/>
      <c r="O478" s="724"/>
      <c r="P478" s="724"/>
      <c r="Q478" s="724"/>
      <c r="R478" s="724"/>
      <c r="S478" s="724"/>
      <c r="T478" s="724"/>
      <c r="U478" s="724"/>
      <c r="V478" s="724"/>
      <c r="W478" s="724"/>
      <c r="X478" s="724"/>
      <c r="Y478" s="724"/>
      <c r="Z478" s="724"/>
    </row>
    <row r="479" spans="10:26" s="1750" customFormat="1" ht="21.75" customHeight="1">
      <c r="J479" s="724"/>
      <c r="K479" s="724"/>
      <c r="L479" s="724"/>
      <c r="M479" s="724"/>
      <c r="N479" s="724"/>
      <c r="O479" s="724"/>
      <c r="P479" s="724"/>
      <c r="Q479" s="724"/>
      <c r="R479" s="724"/>
      <c r="S479" s="724"/>
      <c r="T479" s="724"/>
      <c r="U479" s="724"/>
      <c r="V479" s="724"/>
      <c r="W479" s="724"/>
      <c r="X479" s="724"/>
      <c r="Y479" s="724"/>
      <c r="Z479" s="724"/>
    </row>
    <row r="480" spans="10:26" s="1750" customFormat="1" ht="21.75" customHeight="1">
      <c r="J480" s="724"/>
      <c r="K480" s="724"/>
      <c r="L480" s="724"/>
      <c r="M480" s="724"/>
      <c r="N480" s="724"/>
      <c r="O480" s="724"/>
      <c r="P480" s="724"/>
      <c r="Q480" s="724"/>
      <c r="R480" s="724"/>
      <c r="S480" s="724"/>
      <c r="T480" s="724"/>
      <c r="U480" s="724"/>
      <c r="V480" s="724"/>
      <c r="W480" s="724"/>
      <c r="X480" s="724"/>
      <c r="Y480" s="724"/>
      <c r="Z480" s="724"/>
    </row>
    <row r="481" spans="10:26" s="1750" customFormat="1" ht="21.75" customHeight="1">
      <c r="J481" s="724"/>
      <c r="K481" s="724"/>
      <c r="L481" s="724"/>
      <c r="M481" s="724"/>
      <c r="N481" s="724"/>
      <c r="O481" s="724"/>
      <c r="P481" s="724"/>
      <c r="Q481" s="724"/>
      <c r="R481" s="724"/>
      <c r="S481" s="724"/>
      <c r="T481" s="724"/>
      <c r="U481" s="724"/>
      <c r="V481" s="724"/>
      <c r="W481" s="724"/>
      <c r="X481" s="724"/>
      <c r="Y481" s="724"/>
      <c r="Z481" s="724"/>
    </row>
    <row r="482" spans="10:26" s="1750" customFormat="1" ht="21.75" customHeight="1">
      <c r="J482" s="724"/>
      <c r="K482" s="724"/>
      <c r="L482" s="724"/>
      <c r="M482" s="724"/>
      <c r="N482" s="724"/>
      <c r="O482" s="724"/>
      <c r="P482" s="724"/>
      <c r="Q482" s="724"/>
      <c r="R482" s="724"/>
      <c r="S482" s="724"/>
      <c r="T482" s="724"/>
      <c r="U482" s="724"/>
      <c r="V482" s="724"/>
      <c r="W482" s="724"/>
      <c r="X482" s="724"/>
      <c r="Y482" s="724"/>
      <c r="Z482" s="724"/>
    </row>
    <row r="483" spans="10:26" s="1750" customFormat="1" ht="21.75" customHeight="1">
      <c r="J483" s="724"/>
      <c r="K483" s="724"/>
      <c r="L483" s="724"/>
      <c r="M483" s="724"/>
      <c r="N483" s="724"/>
      <c r="O483" s="724"/>
      <c r="P483" s="724"/>
      <c r="Q483" s="724"/>
      <c r="R483" s="724"/>
      <c r="S483" s="724"/>
      <c r="T483" s="724"/>
      <c r="U483" s="724"/>
      <c r="V483" s="724"/>
      <c r="W483" s="724"/>
      <c r="X483" s="724"/>
      <c r="Y483" s="724"/>
      <c r="Z483" s="724"/>
    </row>
    <row r="484" spans="10:26" s="1750" customFormat="1" ht="21.75" customHeight="1">
      <c r="J484" s="724"/>
      <c r="K484" s="724"/>
      <c r="L484" s="724"/>
      <c r="M484" s="724"/>
      <c r="N484" s="724"/>
      <c r="O484" s="724"/>
      <c r="P484" s="724"/>
      <c r="Q484" s="724"/>
      <c r="R484" s="724"/>
      <c r="S484" s="724"/>
      <c r="T484" s="724"/>
      <c r="U484" s="724"/>
      <c r="V484" s="724"/>
      <c r="W484" s="724"/>
      <c r="X484" s="724"/>
      <c r="Y484" s="724"/>
      <c r="Z484" s="724"/>
    </row>
    <row r="485" spans="10:26" s="1750" customFormat="1" ht="21.75" customHeight="1">
      <c r="J485" s="724"/>
      <c r="K485" s="724"/>
      <c r="L485" s="724"/>
      <c r="M485" s="724"/>
      <c r="N485" s="724"/>
      <c r="O485" s="724"/>
      <c r="P485" s="724"/>
      <c r="Q485" s="724"/>
      <c r="R485" s="724"/>
      <c r="S485" s="724"/>
      <c r="T485" s="724"/>
      <c r="U485" s="724"/>
      <c r="V485" s="724"/>
      <c r="W485" s="724"/>
      <c r="X485" s="724"/>
      <c r="Y485" s="724"/>
      <c r="Z485" s="724"/>
    </row>
    <row r="486" spans="10:26" s="1750" customFormat="1" ht="21.75" customHeight="1">
      <c r="J486" s="724"/>
      <c r="K486" s="724"/>
      <c r="L486" s="724"/>
      <c r="M486" s="724"/>
      <c r="N486" s="724"/>
      <c r="O486" s="724"/>
      <c r="P486" s="724"/>
      <c r="Q486" s="724"/>
      <c r="R486" s="724"/>
      <c r="S486" s="724"/>
      <c r="T486" s="724"/>
      <c r="U486" s="724"/>
      <c r="V486" s="724"/>
      <c r="W486" s="724"/>
      <c r="X486" s="724"/>
      <c r="Y486" s="724"/>
      <c r="Z486" s="724"/>
    </row>
    <row r="487" spans="10:26" s="1750" customFormat="1" ht="21.75" customHeight="1">
      <c r="J487" s="724"/>
      <c r="K487" s="724"/>
      <c r="L487" s="724"/>
      <c r="M487" s="724"/>
      <c r="N487" s="724"/>
      <c r="O487" s="724"/>
      <c r="P487" s="724"/>
      <c r="Q487" s="724"/>
      <c r="R487" s="724"/>
      <c r="S487" s="724"/>
      <c r="T487" s="724"/>
      <c r="U487" s="724"/>
      <c r="V487" s="724"/>
      <c r="W487" s="724"/>
      <c r="X487" s="724"/>
      <c r="Y487" s="724"/>
      <c r="Z487" s="724"/>
    </row>
    <row r="488" spans="10:26" s="1750" customFormat="1" ht="21.75" customHeight="1">
      <c r="J488" s="724"/>
      <c r="K488" s="724"/>
      <c r="L488" s="724"/>
      <c r="M488" s="724"/>
      <c r="N488" s="724"/>
      <c r="O488" s="724"/>
      <c r="P488" s="724"/>
      <c r="Q488" s="724"/>
      <c r="R488" s="724"/>
      <c r="S488" s="724"/>
      <c r="T488" s="724"/>
      <c r="U488" s="724"/>
      <c r="V488" s="724"/>
      <c r="W488" s="724"/>
      <c r="X488" s="724"/>
      <c r="Y488" s="724"/>
      <c r="Z488" s="724"/>
    </row>
    <row r="489" spans="10:26" s="1750" customFormat="1" ht="21.75" customHeight="1">
      <c r="J489" s="724"/>
      <c r="K489" s="724"/>
      <c r="L489" s="724"/>
      <c r="M489" s="724"/>
      <c r="N489" s="724"/>
      <c r="O489" s="724"/>
      <c r="P489" s="724"/>
      <c r="Q489" s="724"/>
      <c r="R489" s="724"/>
      <c r="S489" s="724"/>
      <c r="T489" s="724"/>
      <c r="U489" s="724"/>
      <c r="V489" s="724"/>
      <c r="W489" s="724"/>
      <c r="X489" s="724"/>
      <c r="Y489" s="724"/>
      <c r="Z489" s="724"/>
    </row>
    <row r="490" spans="10:26" s="1750" customFormat="1" ht="21.75" customHeight="1">
      <c r="J490" s="724"/>
      <c r="K490" s="724"/>
      <c r="L490" s="724"/>
      <c r="M490" s="724"/>
      <c r="N490" s="724"/>
      <c r="O490" s="724"/>
      <c r="P490" s="724"/>
      <c r="Q490" s="724"/>
      <c r="R490" s="724"/>
      <c r="S490" s="724"/>
      <c r="T490" s="724"/>
      <c r="U490" s="724"/>
      <c r="V490" s="724"/>
      <c r="W490" s="724"/>
      <c r="X490" s="724"/>
      <c r="Y490" s="724"/>
      <c r="Z490" s="724"/>
    </row>
    <row r="491" spans="10:26" s="1750" customFormat="1" ht="21.75" customHeight="1">
      <c r="J491" s="724"/>
      <c r="K491" s="724"/>
      <c r="L491" s="724"/>
      <c r="M491" s="724"/>
      <c r="N491" s="724"/>
      <c r="O491" s="724"/>
      <c r="P491" s="724"/>
      <c r="Q491" s="724"/>
      <c r="R491" s="724"/>
      <c r="S491" s="724"/>
      <c r="T491" s="724"/>
      <c r="U491" s="724"/>
      <c r="V491" s="724"/>
      <c r="W491" s="724"/>
      <c r="X491" s="724"/>
      <c r="Y491" s="724"/>
      <c r="Z491" s="724"/>
    </row>
    <row r="492" spans="10:26" s="1750" customFormat="1" ht="21.75" customHeight="1">
      <c r="J492" s="724"/>
      <c r="K492" s="724"/>
      <c r="L492" s="724"/>
      <c r="M492" s="724"/>
      <c r="N492" s="724"/>
      <c r="O492" s="724"/>
      <c r="P492" s="724"/>
      <c r="Q492" s="724"/>
      <c r="R492" s="724"/>
      <c r="S492" s="724"/>
      <c r="T492" s="724"/>
      <c r="U492" s="724"/>
      <c r="V492" s="724"/>
      <c r="W492" s="724"/>
      <c r="X492" s="724"/>
      <c r="Y492" s="724"/>
      <c r="Z492" s="724"/>
    </row>
    <row r="493" spans="10:26" s="1750" customFormat="1" ht="21.75" customHeight="1">
      <c r="J493" s="724"/>
      <c r="K493" s="724"/>
      <c r="L493" s="724"/>
      <c r="M493" s="724"/>
      <c r="N493" s="724"/>
      <c r="O493" s="724"/>
      <c r="P493" s="724"/>
      <c r="Q493" s="724"/>
      <c r="R493" s="724"/>
      <c r="S493" s="724"/>
      <c r="T493" s="724"/>
      <c r="U493" s="724"/>
      <c r="V493" s="724"/>
      <c r="W493" s="724"/>
      <c r="X493" s="724"/>
      <c r="Y493" s="724"/>
      <c r="Z493" s="724"/>
    </row>
    <row r="494" spans="10:26" s="1750" customFormat="1" ht="21.75" customHeight="1">
      <c r="J494" s="724"/>
      <c r="K494" s="724"/>
      <c r="L494" s="724"/>
      <c r="M494" s="724"/>
      <c r="N494" s="724"/>
      <c r="O494" s="724"/>
      <c r="P494" s="724"/>
      <c r="Q494" s="724"/>
      <c r="R494" s="724"/>
      <c r="S494" s="724"/>
      <c r="T494" s="724"/>
      <c r="U494" s="724"/>
      <c r="V494" s="724"/>
      <c r="W494" s="724"/>
      <c r="X494" s="724"/>
      <c r="Y494" s="724"/>
      <c r="Z494" s="724"/>
    </row>
    <row r="495" spans="10:26" s="1750" customFormat="1" ht="21.75" customHeight="1">
      <c r="J495" s="724"/>
      <c r="K495" s="724"/>
      <c r="L495" s="724"/>
      <c r="M495" s="724"/>
      <c r="N495" s="724"/>
      <c r="O495" s="724"/>
      <c r="P495" s="724"/>
      <c r="Q495" s="724"/>
      <c r="R495" s="724"/>
      <c r="S495" s="724"/>
      <c r="T495" s="724"/>
      <c r="U495" s="724"/>
      <c r="V495" s="724"/>
      <c r="W495" s="724"/>
      <c r="X495" s="724"/>
      <c r="Y495" s="724"/>
      <c r="Z495" s="724"/>
    </row>
    <row r="496" spans="10:26" s="1750" customFormat="1" ht="21.75" customHeight="1">
      <c r="J496" s="724"/>
      <c r="K496" s="724"/>
      <c r="L496" s="724"/>
      <c r="M496" s="724"/>
      <c r="N496" s="724"/>
      <c r="O496" s="724"/>
      <c r="P496" s="724"/>
      <c r="Q496" s="724"/>
      <c r="R496" s="724"/>
      <c r="S496" s="724"/>
      <c r="T496" s="724"/>
      <c r="U496" s="724"/>
      <c r="V496" s="724"/>
      <c r="W496" s="724"/>
      <c r="X496" s="724"/>
      <c r="Y496" s="724"/>
      <c r="Z496" s="724"/>
    </row>
    <row r="497" spans="10:26" s="1750" customFormat="1" ht="21.75" customHeight="1">
      <c r="J497" s="724"/>
      <c r="K497" s="724"/>
      <c r="L497" s="724"/>
      <c r="M497" s="724"/>
      <c r="N497" s="724"/>
      <c r="O497" s="724"/>
      <c r="P497" s="724"/>
      <c r="Q497" s="724"/>
      <c r="R497" s="724"/>
      <c r="S497" s="724"/>
      <c r="T497" s="724"/>
      <c r="U497" s="724"/>
      <c r="V497" s="724"/>
      <c r="W497" s="724"/>
      <c r="X497" s="724"/>
      <c r="Y497" s="724"/>
      <c r="Z497" s="724"/>
    </row>
    <row r="498" spans="10:26" s="1750" customFormat="1" ht="21.75" customHeight="1">
      <c r="J498" s="724"/>
      <c r="K498" s="724"/>
      <c r="L498" s="724"/>
      <c r="M498" s="724"/>
      <c r="N498" s="724"/>
      <c r="O498" s="724"/>
      <c r="P498" s="724"/>
      <c r="Q498" s="724"/>
      <c r="R498" s="724"/>
      <c r="S498" s="724"/>
      <c r="T498" s="724"/>
      <c r="U498" s="724"/>
      <c r="V498" s="724"/>
      <c r="W498" s="724"/>
      <c r="X498" s="724"/>
      <c r="Y498" s="724"/>
      <c r="Z498" s="724"/>
    </row>
    <row r="499" spans="10:26" s="1750" customFormat="1" ht="21.75" customHeight="1">
      <c r="J499" s="724"/>
      <c r="K499" s="724"/>
      <c r="L499" s="724"/>
      <c r="M499" s="724"/>
      <c r="N499" s="724"/>
      <c r="O499" s="724"/>
      <c r="P499" s="724"/>
      <c r="Q499" s="724"/>
      <c r="R499" s="724"/>
      <c r="S499" s="724"/>
      <c r="T499" s="724"/>
      <c r="U499" s="724"/>
      <c r="V499" s="724"/>
      <c r="W499" s="724"/>
      <c r="X499" s="724"/>
      <c r="Y499" s="724"/>
      <c r="Z499" s="724"/>
    </row>
    <row r="500" spans="10:26" s="1750" customFormat="1" ht="21.75" customHeight="1">
      <c r="J500" s="724"/>
      <c r="K500" s="724"/>
      <c r="L500" s="724"/>
      <c r="M500" s="724"/>
      <c r="N500" s="724"/>
      <c r="O500" s="724"/>
      <c r="P500" s="724"/>
      <c r="Q500" s="724"/>
      <c r="R500" s="724"/>
      <c r="S500" s="724"/>
      <c r="T500" s="724"/>
      <c r="U500" s="724"/>
      <c r="V500" s="724"/>
      <c r="W500" s="724"/>
      <c r="X500" s="724"/>
      <c r="Y500" s="724"/>
      <c r="Z500" s="724"/>
    </row>
    <row r="501" spans="10:26" s="1750" customFormat="1" ht="21.75" customHeight="1">
      <c r="J501" s="724"/>
      <c r="K501" s="724"/>
      <c r="L501" s="724"/>
      <c r="M501" s="724"/>
      <c r="N501" s="724"/>
      <c r="O501" s="724"/>
      <c r="P501" s="724"/>
      <c r="Q501" s="724"/>
      <c r="R501" s="724"/>
      <c r="S501" s="724"/>
      <c r="T501" s="724"/>
      <c r="U501" s="724"/>
      <c r="V501" s="724"/>
      <c r="W501" s="724"/>
      <c r="X501" s="724"/>
      <c r="Y501" s="724"/>
      <c r="Z501" s="724"/>
    </row>
    <row r="502" spans="10:26" s="1750" customFormat="1" ht="21.75" customHeight="1">
      <c r="J502" s="724"/>
      <c r="K502" s="724"/>
      <c r="L502" s="724"/>
      <c r="M502" s="724"/>
      <c r="N502" s="724"/>
      <c r="O502" s="724"/>
      <c r="P502" s="724"/>
      <c r="Q502" s="724"/>
      <c r="R502" s="724"/>
      <c r="S502" s="724"/>
      <c r="T502" s="724"/>
      <c r="U502" s="724"/>
      <c r="V502" s="724"/>
      <c r="W502" s="724"/>
      <c r="X502" s="724"/>
      <c r="Y502" s="724"/>
      <c r="Z502" s="724"/>
    </row>
    <row r="503" spans="10:26" s="1750" customFormat="1" ht="21.75" customHeight="1">
      <c r="J503" s="724"/>
      <c r="K503" s="724"/>
      <c r="L503" s="724"/>
      <c r="M503" s="724"/>
      <c r="N503" s="724"/>
      <c r="O503" s="724"/>
      <c r="P503" s="724"/>
      <c r="Q503" s="724"/>
      <c r="R503" s="724"/>
      <c r="S503" s="724"/>
      <c r="T503" s="724"/>
      <c r="U503" s="724"/>
      <c r="V503" s="724"/>
      <c r="W503" s="724"/>
      <c r="X503" s="724"/>
      <c r="Y503" s="724"/>
      <c r="Z503" s="724"/>
    </row>
    <row r="504" spans="10:26" s="1750" customFormat="1" ht="21.75" customHeight="1">
      <c r="J504" s="724"/>
      <c r="K504" s="724"/>
      <c r="L504" s="724"/>
      <c r="M504" s="724"/>
      <c r="N504" s="724"/>
      <c r="O504" s="724"/>
      <c r="P504" s="724"/>
      <c r="Q504" s="724"/>
      <c r="R504" s="724"/>
      <c r="S504" s="724"/>
      <c r="T504" s="724"/>
      <c r="U504" s="724"/>
      <c r="V504" s="724"/>
      <c r="W504" s="724"/>
      <c r="X504" s="724"/>
      <c r="Y504" s="724"/>
      <c r="Z504" s="724"/>
    </row>
    <row r="505" spans="10:26" s="1750" customFormat="1" ht="21.75" customHeight="1">
      <c r="J505" s="724"/>
      <c r="K505" s="724"/>
      <c r="L505" s="724"/>
      <c r="M505" s="724"/>
      <c r="N505" s="724"/>
      <c r="O505" s="724"/>
      <c r="P505" s="724"/>
      <c r="Q505" s="724"/>
      <c r="R505" s="724"/>
      <c r="S505" s="724"/>
      <c r="T505" s="724"/>
      <c r="U505" s="724"/>
      <c r="V505" s="724"/>
      <c r="W505" s="724"/>
      <c r="X505" s="724"/>
      <c r="Y505" s="724"/>
      <c r="Z505" s="724"/>
    </row>
    <row r="506" spans="10:26" s="1750" customFormat="1" ht="21.75" customHeight="1">
      <c r="J506" s="724"/>
      <c r="K506" s="724"/>
      <c r="L506" s="724"/>
      <c r="M506" s="724"/>
      <c r="N506" s="724"/>
      <c r="O506" s="724"/>
      <c r="P506" s="724"/>
      <c r="Q506" s="724"/>
      <c r="R506" s="724"/>
      <c r="S506" s="724"/>
      <c r="T506" s="724"/>
      <c r="U506" s="724"/>
      <c r="V506" s="724"/>
      <c r="W506" s="724"/>
      <c r="X506" s="724"/>
      <c r="Y506" s="724"/>
      <c r="Z506" s="724"/>
    </row>
    <row r="507" spans="10:26" s="1750" customFormat="1" ht="21.75" customHeight="1">
      <c r="J507" s="724"/>
      <c r="K507" s="724"/>
      <c r="L507" s="724"/>
      <c r="M507" s="724"/>
      <c r="N507" s="724"/>
      <c r="O507" s="724"/>
      <c r="P507" s="724"/>
      <c r="Q507" s="724"/>
      <c r="R507" s="724"/>
      <c r="S507" s="724"/>
      <c r="T507" s="724"/>
      <c r="U507" s="724"/>
      <c r="V507" s="724"/>
      <c r="W507" s="724"/>
      <c r="X507" s="724"/>
      <c r="Y507" s="724"/>
      <c r="Z507" s="724"/>
    </row>
    <row r="508" spans="10:26" s="1750" customFormat="1" ht="21.75" customHeight="1">
      <c r="J508" s="724"/>
      <c r="K508" s="724"/>
      <c r="L508" s="724"/>
      <c r="M508" s="724"/>
      <c r="N508" s="724"/>
      <c r="O508" s="724"/>
      <c r="P508" s="724"/>
      <c r="Q508" s="724"/>
      <c r="R508" s="724"/>
      <c r="S508" s="724"/>
      <c r="T508" s="724"/>
      <c r="U508" s="724"/>
      <c r="V508" s="724"/>
      <c r="W508" s="724"/>
      <c r="X508" s="724"/>
      <c r="Y508" s="724"/>
      <c r="Z508" s="724"/>
    </row>
    <row r="509" spans="10:26" s="1750" customFormat="1" ht="21.75" customHeight="1">
      <c r="J509" s="724"/>
      <c r="K509" s="724"/>
      <c r="L509" s="724"/>
      <c r="M509" s="724"/>
      <c r="N509" s="724"/>
      <c r="O509" s="724"/>
      <c r="P509" s="724"/>
      <c r="Q509" s="724"/>
      <c r="R509" s="724"/>
      <c r="S509" s="724"/>
      <c r="T509" s="724"/>
      <c r="U509" s="724"/>
      <c r="V509" s="724"/>
      <c r="W509" s="724"/>
      <c r="X509" s="724"/>
      <c r="Y509" s="724"/>
      <c r="Z509" s="724"/>
    </row>
    <row r="510" spans="10:26" s="1750" customFormat="1" ht="21.75" customHeight="1">
      <c r="J510" s="724"/>
      <c r="K510" s="724"/>
      <c r="L510" s="724"/>
      <c r="M510" s="724"/>
      <c r="N510" s="724"/>
      <c r="O510" s="724"/>
      <c r="P510" s="724"/>
      <c r="Q510" s="724"/>
      <c r="R510" s="724"/>
      <c r="S510" s="724"/>
      <c r="T510" s="724"/>
      <c r="U510" s="724"/>
      <c r="V510" s="724"/>
      <c r="W510" s="724"/>
      <c r="X510" s="724"/>
      <c r="Y510" s="724"/>
      <c r="Z510" s="724"/>
    </row>
    <row r="511" spans="10:26" s="1750" customFormat="1" ht="21.75" customHeight="1">
      <c r="J511" s="724"/>
      <c r="K511" s="724"/>
      <c r="L511" s="724"/>
      <c r="M511" s="724"/>
      <c r="N511" s="724"/>
      <c r="O511" s="724"/>
      <c r="P511" s="724"/>
      <c r="Q511" s="724"/>
      <c r="R511" s="724"/>
      <c r="S511" s="724"/>
      <c r="T511" s="724"/>
      <c r="U511" s="724"/>
      <c r="V511" s="724"/>
      <c r="W511" s="724"/>
      <c r="X511" s="724"/>
      <c r="Y511" s="724"/>
      <c r="Z511" s="724"/>
    </row>
    <row r="512" spans="10:26" s="1750" customFormat="1" ht="21.75" customHeight="1">
      <c r="J512" s="724"/>
      <c r="K512" s="724"/>
      <c r="L512" s="724"/>
      <c r="M512" s="724"/>
      <c r="N512" s="724"/>
      <c r="O512" s="724"/>
      <c r="P512" s="724"/>
      <c r="Q512" s="724"/>
      <c r="R512" s="724"/>
      <c r="S512" s="724"/>
      <c r="T512" s="724"/>
      <c r="U512" s="724"/>
      <c r="V512" s="724"/>
      <c r="W512" s="724"/>
      <c r="X512" s="724"/>
      <c r="Y512" s="724"/>
      <c r="Z512" s="72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6" priority="21" stopIfTrue="1" operator="equal">
      <formula>25</formula>
    </cfRule>
  </conditionalFormatting>
  <conditionalFormatting sqref="C8:C9">
    <cfRule type="cellIs" dxfId="185" priority="19" stopIfTrue="1" operator="equal">
      <formula>15</formula>
    </cfRule>
  </conditionalFormatting>
  <conditionalFormatting sqref="C14:C16">
    <cfRule type="cellIs" dxfId="184" priority="13" stopIfTrue="1" operator="equal">
      <formula>30</formula>
    </cfRule>
  </conditionalFormatting>
  <conditionalFormatting sqref="D5:D7">
    <cfRule type="cellIs" dxfId="183" priority="10" stopIfTrue="1" operator="equal">
      <formula>25</formula>
    </cfRule>
  </conditionalFormatting>
  <conditionalFormatting sqref="D8:D9">
    <cfRule type="cellIs" dxfId="182" priority="9" stopIfTrue="1" operator="equal">
      <formula>15</formula>
    </cfRule>
  </conditionalFormatting>
  <conditionalFormatting sqref="C10:D13">
    <cfRule type="cellIs" dxfId="181" priority="8" stopIfTrue="1" operator="equal">
      <formula>15</formula>
    </cfRule>
  </conditionalFormatting>
  <conditionalFormatting sqref="D14:D16">
    <cfRule type="cellIs" dxfId="180" priority="6" stopIfTrue="1" operator="equal">
      <formula>30</formula>
    </cfRule>
  </conditionalFormatting>
  <conditionalFormatting sqref="C90">
    <cfRule type="expression" dxfId="179" priority="3" stopIfTrue="1">
      <formula>$H$88&lt;&gt;"仅含出让金"</formula>
    </cfRule>
  </conditionalFormatting>
  <conditionalFormatting sqref="C91">
    <cfRule type="expression" dxfId="178" priority="2" stopIfTrue="1">
      <formula>$H$91="由企业提供"</formula>
    </cfRule>
  </conditionalFormatting>
  <conditionalFormatting sqref="E36">
    <cfRule type="expression" dxfId="17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F131"/>
  <sheetViews>
    <sheetView view="pageBreakPreview" zoomScale="60" zoomScaleNormal="70" workbookViewId="0">
      <selection activeCell="N19" sqref="N19"/>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1766</v>
      </c>
      <c r="C1" s="1236" t="s">
        <v>1662</v>
      </c>
      <c r="D1" s="1223"/>
      <c r="E1" s="3422" t="s">
        <v>3465</v>
      </c>
      <c r="F1" s="1877" t="s">
        <v>3466</v>
      </c>
      <c r="G1" s="1233" t="s">
        <v>1767</v>
      </c>
      <c r="H1" s="1232"/>
      <c r="I1" s="1232"/>
      <c r="J1" s="1232"/>
      <c r="K1" s="1234"/>
      <c r="L1" s="1235"/>
      <c r="M1" s="1236"/>
      <c r="N1" s="1236"/>
      <c r="O1" s="1236"/>
      <c r="P1" s="1947"/>
      <c r="Q1" s="1948"/>
      <c r="R1" s="1948"/>
      <c r="S1" s="1948"/>
      <c r="T1" s="1948"/>
      <c r="U1" s="1948"/>
      <c r="V1" s="1948"/>
      <c r="W1" s="1948"/>
      <c r="X1" s="1948"/>
      <c r="Y1" s="1948"/>
      <c r="Z1" s="1948"/>
      <c r="AA1" s="1948"/>
      <c r="AB1" s="1948"/>
      <c r="AC1" s="1949"/>
    </row>
    <row r="2" spans="1:29" s="352" customFormat="1" ht="28.5" customHeight="1" thickTop="1">
      <c r="A2" s="1219" t="s">
        <v>1462</v>
      </c>
      <c r="B2" s="1163">
        <f>IF(E1="项目模式",IF(C2="——",ROUND(C49*D3/10000,0),ROUND(C49*D3/10000,0)-D2),IF(E1="单套模式",IF(C2="——",ROUND(C49*D3/10000,4),ROUND(C49*D3/10000,4)-D2)))</f>
        <v>38926</v>
      </c>
      <c r="C2" s="1879" t="s">
        <v>43</v>
      </c>
      <c r="D2" s="1114" t="e">
        <f ca="1">IF(E1="项目模式",SUMIF(INDIRECT("'"&amp;F2&amp;"'"&amp;"!A:A"),"承租人权益价值",INDIRECT("'"&amp;F2&amp;"'"&amp;"!c:c")),SUMIF(INDIRECT("'"&amp;F2&amp;"'"&amp;"!A:A"),"承租人权益价值（单套）",INDIRECT("'"&amp;F2&amp;"'"&amp;"!c:c")))</f>
        <v>#REF!</v>
      </c>
      <c r="E2" s="1880" t="s">
        <v>1463</v>
      </c>
      <c r="F2" s="1881"/>
      <c r="G2" s="907"/>
      <c r="H2" s="907"/>
      <c r="I2" s="907"/>
      <c r="J2" s="907"/>
      <c r="K2" s="907"/>
      <c r="L2" s="2731"/>
      <c r="M2" s="2732"/>
      <c r="N2" s="2732"/>
      <c r="O2" s="2732"/>
      <c r="P2" s="1950"/>
      <c r="Q2" s="911"/>
      <c r="R2" s="911"/>
      <c r="S2" s="911"/>
      <c r="T2" s="911"/>
      <c r="U2" s="911"/>
      <c r="V2" s="911"/>
      <c r="W2" s="911"/>
      <c r="X2" s="911"/>
      <c r="Y2" s="911"/>
      <c r="Z2" s="911"/>
      <c r="AA2" s="911"/>
      <c r="AB2" s="911"/>
      <c r="AC2" s="1951"/>
    </row>
    <row r="3" spans="1:29" s="352" customFormat="1" ht="28.5" customHeight="1" thickBot="1">
      <c r="A3" s="203" t="s">
        <v>1464</v>
      </c>
      <c r="B3" s="558">
        <f>(ROUND(B2*10000/'数据-汇总表'!E3,0))</f>
        <v>19402</v>
      </c>
      <c r="C3" s="354" t="s">
        <v>1768</v>
      </c>
      <c r="D3" s="3490">
        <f>'数据-汇总表'!F19+'数据-汇总表'!F20</f>
        <v>17193.62</v>
      </c>
      <c r="E3" s="1952"/>
      <c r="F3" s="908"/>
      <c r="G3" s="907"/>
      <c r="H3" s="907"/>
      <c r="I3" s="907"/>
      <c r="J3" s="907"/>
      <c r="K3" s="909"/>
      <c r="L3" s="2731"/>
      <c r="M3" s="2732"/>
      <c r="N3" s="2732"/>
      <c r="O3" s="2732"/>
      <c r="P3" s="1950"/>
      <c r="Q3" s="911"/>
      <c r="R3" s="911"/>
      <c r="S3" s="911"/>
      <c r="T3" s="911"/>
      <c r="U3" s="911"/>
      <c r="V3" s="911"/>
      <c r="W3" s="911"/>
      <c r="X3" s="911"/>
      <c r="Y3" s="911"/>
      <c r="Z3" s="911"/>
      <c r="AA3" s="911"/>
      <c r="AB3" s="911"/>
      <c r="AC3" s="1952"/>
    </row>
    <row r="4" spans="1:29" ht="15">
      <c r="A4" s="355" t="s">
        <v>1769</v>
      </c>
      <c r="B4" s="356"/>
      <c r="C4" s="3730" t="s">
        <v>1770</v>
      </c>
      <c r="D4" s="3731"/>
      <c r="E4" s="3732" t="s">
        <v>1771</v>
      </c>
      <c r="F4" s="3733"/>
      <c r="G4" s="3730" t="s">
        <v>1772</v>
      </c>
      <c r="H4" s="3731"/>
      <c r="I4" s="3730" t="s">
        <v>1773</v>
      </c>
      <c r="J4" s="3731"/>
      <c r="K4" s="559" t="s">
        <v>1774</v>
      </c>
      <c r="L4" s="2712"/>
      <c r="M4" s="2713"/>
      <c r="N4" s="2713"/>
      <c r="O4" s="2713"/>
      <c r="P4" s="3734" t="s">
        <v>1775</v>
      </c>
      <c r="Q4" s="3735"/>
      <c r="R4" s="3716" t="s">
        <v>1771</v>
      </c>
      <c r="S4" s="3717"/>
      <c r="T4" s="3716" t="s">
        <v>1772</v>
      </c>
      <c r="U4" s="3717"/>
      <c r="V4" s="3713" t="s">
        <v>1773</v>
      </c>
      <c r="W4" s="3713"/>
      <c r="X4" s="1353"/>
      <c r="Y4" s="3716" t="s">
        <v>1775</v>
      </c>
      <c r="Z4" s="3717"/>
      <c r="AA4" s="3710" t="s">
        <v>1771</v>
      </c>
      <c r="AB4" s="3713" t="s">
        <v>1772</v>
      </c>
      <c r="AC4" s="3710" t="s">
        <v>1773</v>
      </c>
    </row>
    <row r="5" spans="1:29" ht="15">
      <c r="A5" s="358"/>
      <c r="B5" s="359"/>
      <c r="C5" s="3722" t="s">
        <v>1673</v>
      </c>
      <c r="D5" s="3723"/>
      <c r="E5" s="3720" t="s">
        <v>3510</v>
      </c>
      <c r="F5" s="3721"/>
      <c r="G5" s="3726" t="s">
        <v>3511</v>
      </c>
      <c r="H5" s="3723"/>
      <c r="I5" s="3726" t="s">
        <v>3512</v>
      </c>
      <c r="J5" s="3723"/>
      <c r="K5" s="559"/>
      <c r="L5" s="2712"/>
      <c r="M5" s="2713"/>
      <c r="N5" s="2713"/>
      <c r="O5" s="2713"/>
      <c r="P5" s="3736"/>
      <c r="Q5" s="3737"/>
      <c r="R5" s="3718"/>
      <c r="S5" s="3719"/>
      <c r="T5" s="3718"/>
      <c r="U5" s="3719"/>
      <c r="V5" s="3713"/>
      <c r="W5" s="3713"/>
      <c r="X5" s="1353"/>
      <c r="Y5" s="3718"/>
      <c r="Z5" s="3719"/>
      <c r="AA5" s="3711"/>
      <c r="AB5" s="3713"/>
      <c r="AC5" s="3711"/>
    </row>
    <row r="6" spans="1:29" ht="15.75" thickBot="1">
      <c r="A6" s="360"/>
      <c r="B6" s="361"/>
      <c r="C6" s="3724" t="s">
        <v>1677</v>
      </c>
      <c r="D6" s="3725"/>
      <c r="E6" s="3727" t="s">
        <v>1677</v>
      </c>
      <c r="F6" s="3728"/>
      <c r="G6" s="3724" t="s">
        <v>1677</v>
      </c>
      <c r="H6" s="3725"/>
      <c r="I6" s="3724" t="s">
        <v>1677</v>
      </c>
      <c r="J6" s="3725"/>
      <c r="K6" s="559" t="s">
        <v>1678</v>
      </c>
      <c r="L6" s="2712"/>
      <c r="M6" s="2713"/>
      <c r="N6" s="2713"/>
      <c r="O6" s="2713"/>
      <c r="P6" s="3738"/>
      <c r="Q6" s="3739"/>
      <c r="R6" s="3718"/>
      <c r="S6" s="3719"/>
      <c r="T6" s="3740"/>
      <c r="U6" s="3741"/>
      <c r="V6" s="3713"/>
      <c r="W6" s="3713"/>
      <c r="X6" s="1353"/>
      <c r="Y6" s="3740"/>
      <c r="Z6" s="3741"/>
      <c r="AA6" s="3712"/>
      <c r="AB6" s="3713"/>
      <c r="AC6" s="3712"/>
    </row>
    <row r="7" spans="1:29" s="108" customFormat="1" ht="15.75" thickBot="1">
      <c r="A7" s="362" t="s">
        <v>1679</v>
      </c>
      <c r="B7" s="363"/>
      <c r="C7" s="364">
        <f>'数据-取费表'!B2</f>
        <v>45068</v>
      </c>
      <c r="D7" s="365">
        <v>100</v>
      </c>
      <c r="E7" s="366">
        <f>C7</f>
        <v>45068</v>
      </c>
      <c r="F7" s="367">
        <f>SUMIF(58:58,YEAR(E7)&amp;"-"&amp;MONTH(E7),59:59)</f>
        <v>100</v>
      </c>
      <c r="G7" s="366">
        <f>C7</f>
        <v>45068</v>
      </c>
      <c r="H7" s="365">
        <f>SUMIF(58:58,YEAR(G7)&amp;"-"&amp;MONTH(G7),59:59)</f>
        <v>100</v>
      </c>
      <c r="I7" s="366">
        <f>C7</f>
        <v>45068</v>
      </c>
      <c r="J7" s="365">
        <f>SUMIF(58:58,YEAR(I7)&amp;"-"&amp;MONTH(I7),59:59)</f>
        <v>100</v>
      </c>
      <c r="K7" s="560"/>
      <c r="L7" s="2714"/>
      <c r="M7" s="2715"/>
      <c r="N7" s="2715"/>
      <c r="O7" s="2715"/>
      <c r="P7" s="3714" t="s">
        <v>1680</v>
      </c>
      <c r="Q7" s="3742"/>
      <c r="R7" s="700" t="s">
        <v>14</v>
      </c>
      <c r="S7" s="701">
        <f t="shared" ref="S7:S15" si="0">F7</f>
        <v>100</v>
      </c>
      <c r="T7" s="700" t="s">
        <v>14</v>
      </c>
      <c r="U7" s="701">
        <f t="shared" ref="U7:U15" si="1">H7</f>
        <v>100</v>
      </c>
      <c r="V7" s="700" t="s">
        <v>14</v>
      </c>
      <c r="W7" s="701">
        <f t="shared" ref="W7:W15" si="2">J7</f>
        <v>100</v>
      </c>
      <c r="X7" s="702"/>
      <c r="Y7" s="3714" t="s">
        <v>1680</v>
      </c>
      <c r="Z7" s="3715"/>
      <c r="AA7" s="703">
        <f>D7/F7</f>
        <v>1</v>
      </c>
      <c r="AB7" s="703">
        <f>D7/H7</f>
        <v>1</v>
      </c>
      <c r="AC7" s="703">
        <f>D7/J7</f>
        <v>1</v>
      </c>
    </row>
    <row r="8" spans="1:29" s="108" customFormat="1" ht="15.75" thickBot="1">
      <c r="A8" s="362" t="s">
        <v>1681</v>
      </c>
      <c r="B8" s="363"/>
      <c r="C8" s="3460" t="s">
        <v>3452</v>
      </c>
      <c r="D8" s="365">
        <v>100</v>
      </c>
      <c r="E8" s="3460" t="s">
        <v>3452</v>
      </c>
      <c r="F8" s="367">
        <f>SUMIF(61:61,E8,62:62)-SUMIF(61:61,C8,62:62)+100</f>
        <v>100</v>
      </c>
      <c r="G8" s="3460" t="s">
        <v>3452</v>
      </c>
      <c r="H8" s="365">
        <f>SUMIF(61:61,G8,62:62)-SUMIF(61:61,C8,62:62)+100</f>
        <v>100</v>
      </c>
      <c r="I8" s="3460" t="s">
        <v>3452</v>
      </c>
      <c r="J8" s="365">
        <f>SUMIF(61:61,I8,62:62)-SUMIF(61:61,C8,62:62)+100</f>
        <v>100</v>
      </c>
      <c r="K8" s="560"/>
      <c r="L8" s="2714"/>
      <c r="M8" s="2715"/>
      <c r="N8" s="2715"/>
      <c r="O8" s="2715"/>
      <c r="P8" s="3714" t="s">
        <v>1683</v>
      </c>
      <c r="Q8" s="3715"/>
      <c r="R8" s="700" t="s">
        <v>14</v>
      </c>
      <c r="S8" s="701">
        <f t="shared" si="0"/>
        <v>100</v>
      </c>
      <c r="T8" s="700" t="s">
        <v>14</v>
      </c>
      <c r="U8" s="701">
        <f t="shared" si="1"/>
        <v>100</v>
      </c>
      <c r="V8" s="700" t="s">
        <v>14</v>
      </c>
      <c r="W8" s="701">
        <f t="shared" si="2"/>
        <v>100</v>
      </c>
      <c r="X8" s="702"/>
      <c r="Y8" s="3714" t="s">
        <v>1683</v>
      </c>
      <c r="Z8" s="3715"/>
      <c r="AA8" s="703">
        <f t="shared" ref="AA8:AA46" si="3">D8/F8</f>
        <v>1</v>
      </c>
      <c r="AB8" s="703">
        <f t="shared" ref="AB8:AB46" si="4">D8/H8</f>
        <v>1</v>
      </c>
      <c r="AC8" s="703">
        <f t="shared" ref="AC8:AC46" si="5">D8/J8</f>
        <v>1</v>
      </c>
    </row>
    <row r="9" spans="1:29" s="108" customFormat="1">
      <c r="A9" s="369" t="s">
        <v>1684</v>
      </c>
      <c r="B9" s="63" t="s">
        <v>1685</v>
      </c>
      <c r="C9" s="3493" t="s">
        <v>3493</v>
      </c>
      <c r="D9" s="126">
        <v>100</v>
      </c>
      <c r="E9" s="3494" t="s">
        <v>3513</v>
      </c>
      <c r="F9" s="372">
        <f>SUMIF(63:63,E9,64:64)-SUMIF(63:63,C9,64:64)+100</f>
        <v>100</v>
      </c>
      <c r="G9" s="3494" t="s">
        <v>3513</v>
      </c>
      <c r="H9" s="126">
        <f>SUMIF(63:63,G9,64:64)-SUMIF(63:63,C9,64:64)+100</f>
        <v>100</v>
      </c>
      <c r="I9" s="3494" t="s">
        <v>3513</v>
      </c>
      <c r="J9" s="126">
        <f>SUMIF(63:63,I9,64:64)-SUMIF(63:63,C9,64:64)+100</f>
        <v>100</v>
      </c>
      <c r="K9" s="560"/>
      <c r="L9" s="2714"/>
      <c r="M9" s="2715"/>
      <c r="N9" s="2715"/>
      <c r="O9" s="2715"/>
      <c r="P9" s="3729" t="s">
        <v>1686</v>
      </c>
      <c r="Q9" s="1341" t="str">
        <f t="shared" ref="Q9:Q15" si="6">B9</f>
        <v>用途</v>
      </c>
      <c r="R9" s="700" t="s">
        <v>14</v>
      </c>
      <c r="S9" s="701">
        <f t="shared" si="0"/>
        <v>100</v>
      </c>
      <c r="T9" s="700" t="s">
        <v>14</v>
      </c>
      <c r="U9" s="701">
        <f t="shared" si="1"/>
        <v>100</v>
      </c>
      <c r="V9" s="700" t="s">
        <v>14</v>
      </c>
      <c r="W9" s="701">
        <f t="shared" si="2"/>
        <v>100</v>
      </c>
      <c r="X9" s="702"/>
      <c r="Y9" s="3686" t="s">
        <v>1687</v>
      </c>
      <c r="Z9" s="52" t="str">
        <f t="shared" ref="Z9:Z15" si="7">Q9</f>
        <v>用途</v>
      </c>
      <c r="AA9" s="703">
        <f t="shared" si="3"/>
        <v>1</v>
      </c>
      <c r="AB9" s="703">
        <f t="shared" si="4"/>
        <v>1</v>
      </c>
      <c r="AC9" s="703">
        <f t="shared" si="5"/>
        <v>1</v>
      </c>
    </row>
    <row r="10" spans="1:29" s="378" customFormat="1" ht="27">
      <c r="A10" s="374"/>
      <c r="B10" s="375" t="s">
        <v>1688</v>
      </c>
      <c r="C10" s="3430" t="s">
        <v>3505</v>
      </c>
      <c r="D10" s="127">
        <v>100</v>
      </c>
      <c r="E10" s="3431" t="s">
        <v>3514</v>
      </c>
      <c r="F10" s="376">
        <f>SUMIF(65:65,E10,66:66)-SUMIF(65:65,C10,66:66)+100</f>
        <v>100</v>
      </c>
      <c r="G10" s="3430" t="s">
        <v>3514</v>
      </c>
      <c r="H10" s="127">
        <f>SUMIF(65:65,G10,66:66)-SUMIF(65:65,C10,66:66)+100</f>
        <v>100</v>
      </c>
      <c r="I10" s="3430" t="s">
        <v>3514</v>
      </c>
      <c r="J10" s="127">
        <f>SUMIF(65:65,I10,66:66)-SUMIF(65:65,C10,66:66)+100</f>
        <v>100</v>
      </c>
      <c r="K10" s="560"/>
      <c r="L10" s="2716"/>
      <c r="M10" s="2717"/>
      <c r="N10" s="2717"/>
      <c r="O10" s="2717"/>
      <c r="P10" s="3729"/>
      <c r="Q10" s="1341" t="str">
        <f t="shared" si="6"/>
        <v>土地使用年限（年）</v>
      </c>
      <c r="R10" s="700" t="s">
        <v>14</v>
      </c>
      <c r="S10" s="701">
        <f t="shared" si="0"/>
        <v>100</v>
      </c>
      <c r="T10" s="700" t="s">
        <v>14</v>
      </c>
      <c r="U10" s="701">
        <f t="shared" si="1"/>
        <v>100</v>
      </c>
      <c r="V10" s="700" t="s">
        <v>14</v>
      </c>
      <c r="W10" s="701">
        <f t="shared" si="2"/>
        <v>100</v>
      </c>
      <c r="X10" s="702"/>
      <c r="Y10" s="3686"/>
      <c r="Z10" s="52" t="str">
        <f t="shared" si="7"/>
        <v>土地使用年限（年）</v>
      </c>
      <c r="AA10" s="703">
        <f t="shared" si="3"/>
        <v>1</v>
      </c>
      <c r="AB10" s="703">
        <f t="shared" si="4"/>
        <v>1</v>
      </c>
      <c r="AC10" s="703">
        <f t="shared" si="5"/>
        <v>1</v>
      </c>
    </row>
    <row r="11" spans="1:29" ht="15">
      <c r="A11" s="379"/>
      <c r="B11" s="375" t="s">
        <v>1689</v>
      </c>
      <c r="C11" s="380"/>
      <c r="D11" s="127">
        <v>100</v>
      </c>
      <c r="E11" s="381"/>
      <c r="F11" s="376">
        <f>LOOKUP(E11,68:68,69:69)-LOOKUP(C11,68:68,69:69)+100</f>
        <v>100</v>
      </c>
      <c r="G11" s="380"/>
      <c r="H11" s="127">
        <f>LOOKUP(G11,68:68,69:69)-LOOKUP(C11,68:68,69:69)+100</f>
        <v>100</v>
      </c>
      <c r="I11" s="380"/>
      <c r="J11" s="127">
        <f>LOOKUP(I11,68:68,69:69)-LOOKUP(C11,68:68,69:69)+100</f>
        <v>100</v>
      </c>
      <c r="K11" s="561"/>
      <c r="L11" s="2718"/>
      <c r="M11" s="2713"/>
      <c r="N11" s="2713"/>
      <c r="O11" s="2713"/>
      <c r="P11" s="3729"/>
      <c r="Q11" s="1341" t="str">
        <f t="shared" si="6"/>
        <v>容积率</v>
      </c>
      <c r="R11" s="700" t="s">
        <v>14</v>
      </c>
      <c r="S11" s="701">
        <f t="shared" si="0"/>
        <v>100</v>
      </c>
      <c r="T11" s="700" t="s">
        <v>14</v>
      </c>
      <c r="U11" s="701">
        <f t="shared" si="1"/>
        <v>100</v>
      </c>
      <c r="V11" s="700" t="s">
        <v>14</v>
      </c>
      <c r="W11" s="701">
        <f t="shared" si="2"/>
        <v>100</v>
      </c>
      <c r="X11" s="702"/>
      <c r="Y11" s="3686"/>
      <c r="Z11" s="52" t="str">
        <f t="shared" si="7"/>
        <v>容积率</v>
      </c>
      <c r="AA11" s="703">
        <f t="shared" si="3"/>
        <v>1</v>
      </c>
      <c r="AB11" s="703">
        <f t="shared" si="4"/>
        <v>1</v>
      </c>
      <c r="AC11" s="703">
        <f t="shared" si="5"/>
        <v>1</v>
      </c>
    </row>
    <row r="12" spans="1:29" s="108" customFormat="1" ht="15">
      <c r="A12" s="382"/>
      <c r="B12" s="1891">
        <v>111</v>
      </c>
      <c r="C12" s="383"/>
      <c r="D12" s="384">
        <v>100</v>
      </c>
      <c r="E12" s="385"/>
      <c r="F12" s="376">
        <f>SUMIF(70:70,E12,71:71)-SUMIF(70:70,C12,71:71)+100</f>
        <v>100</v>
      </c>
      <c r="G12" s="385"/>
      <c r="H12" s="127">
        <f>SUMIF(70:70,G12,71:71)-SUMIF(70:70,C12,71:71)+100</f>
        <v>100</v>
      </c>
      <c r="I12" s="385"/>
      <c r="J12" s="127">
        <f>SUMIF(70:70,I12,71:71)-SUMIF(70:70,C12,71:71)+100</f>
        <v>100</v>
      </c>
      <c r="K12" s="562"/>
      <c r="L12" s="2714"/>
      <c r="M12" s="2715"/>
      <c r="N12" s="2715"/>
      <c r="O12" s="2715"/>
      <c r="P12" s="3729"/>
      <c r="Q12" s="1341">
        <f t="shared" si="6"/>
        <v>111</v>
      </c>
      <c r="R12" s="700" t="s">
        <v>14</v>
      </c>
      <c r="S12" s="701">
        <f t="shared" si="0"/>
        <v>100</v>
      </c>
      <c r="T12" s="700" t="s">
        <v>14</v>
      </c>
      <c r="U12" s="701">
        <f t="shared" si="1"/>
        <v>100</v>
      </c>
      <c r="V12" s="700" t="s">
        <v>14</v>
      </c>
      <c r="W12" s="701">
        <f t="shared" si="2"/>
        <v>100</v>
      </c>
      <c r="X12" s="702"/>
      <c r="Y12" s="3686"/>
      <c r="Z12" s="52">
        <f t="shared" si="7"/>
        <v>111</v>
      </c>
      <c r="AA12" s="703">
        <f>D12/F12</f>
        <v>1</v>
      </c>
      <c r="AB12" s="703">
        <f>D12/H12</f>
        <v>1</v>
      </c>
      <c r="AC12" s="703">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562"/>
      <c r="L13" s="2719"/>
      <c r="M13" s="2713"/>
      <c r="N13" s="2713"/>
      <c r="O13" s="2713"/>
      <c r="P13" s="3729"/>
      <c r="Q13" s="1341">
        <f t="shared" si="6"/>
        <v>111</v>
      </c>
      <c r="R13" s="700" t="s">
        <v>14</v>
      </c>
      <c r="S13" s="701">
        <f t="shared" si="0"/>
        <v>100</v>
      </c>
      <c r="T13" s="700" t="s">
        <v>14</v>
      </c>
      <c r="U13" s="701">
        <f t="shared" si="1"/>
        <v>100</v>
      </c>
      <c r="V13" s="700" t="s">
        <v>14</v>
      </c>
      <c r="W13" s="701">
        <f t="shared" si="2"/>
        <v>100</v>
      </c>
      <c r="X13" s="702"/>
      <c r="Y13" s="3686"/>
      <c r="Z13" s="52">
        <f t="shared" si="7"/>
        <v>111</v>
      </c>
      <c r="AA13" s="703">
        <f t="shared" si="3"/>
        <v>1</v>
      </c>
      <c r="AB13" s="703">
        <f t="shared" si="4"/>
        <v>1</v>
      </c>
      <c r="AC13" s="703">
        <f t="shared" si="5"/>
        <v>1</v>
      </c>
    </row>
    <row r="14" spans="1:29" ht="15.75" thickBot="1">
      <c r="A14" s="387"/>
      <c r="B14" s="1893">
        <v>111</v>
      </c>
      <c r="C14" s="388"/>
      <c r="D14" s="389">
        <v>100</v>
      </c>
      <c r="E14" s="385"/>
      <c r="F14" s="390">
        <f>SUMIF(74:74,E14,75:75)-SUMIF(74:74,C14,75:75)+100</f>
        <v>100</v>
      </c>
      <c r="G14" s="385"/>
      <c r="H14" s="389">
        <f>SUMIF(74:74,G14,75:75)-SUMIF(74:74,C14,75:75)+100</f>
        <v>100</v>
      </c>
      <c r="I14" s="385"/>
      <c r="J14" s="389">
        <f>SUMIF(74:74,I14,75:75)-SUMIF(74:74,C14,75:75)+100</f>
        <v>100</v>
      </c>
      <c r="K14" s="562"/>
      <c r="L14" s="2719"/>
      <c r="M14" s="2713"/>
      <c r="N14" s="2713"/>
      <c r="O14" s="2713"/>
      <c r="P14" s="3729"/>
      <c r="Q14" s="1341">
        <f t="shared" si="6"/>
        <v>111</v>
      </c>
      <c r="R14" s="700" t="s">
        <v>14</v>
      </c>
      <c r="S14" s="701">
        <f t="shared" si="0"/>
        <v>100</v>
      </c>
      <c r="T14" s="700" t="s">
        <v>14</v>
      </c>
      <c r="U14" s="701">
        <f t="shared" si="1"/>
        <v>100</v>
      </c>
      <c r="V14" s="700" t="s">
        <v>14</v>
      </c>
      <c r="W14" s="701">
        <f t="shared" si="2"/>
        <v>100</v>
      </c>
      <c r="X14" s="702"/>
      <c r="Y14" s="3686"/>
      <c r="Z14" s="52">
        <f t="shared" si="7"/>
        <v>111</v>
      </c>
      <c r="AA14" s="703">
        <f t="shared" si="3"/>
        <v>1</v>
      </c>
      <c r="AB14" s="703">
        <f t="shared" si="4"/>
        <v>1</v>
      </c>
      <c r="AC14" s="703">
        <f t="shared" si="5"/>
        <v>1</v>
      </c>
    </row>
    <row r="15" spans="1:29" ht="71.25">
      <c r="A15" s="391" t="s">
        <v>1690</v>
      </c>
      <c r="B15" s="61" t="s">
        <v>1777</v>
      </c>
      <c r="C15" s="1894" t="str">
        <f>估价对象房地状况!C4</f>
        <v>估价对象位于XX商圈，周边商业氛围成熟，人流量大，商业繁华度好</v>
      </c>
      <c r="D15" s="392">
        <v>100</v>
      </c>
      <c r="E15" s="393"/>
      <c r="F15" s="394">
        <f>SUMIF(76:76,E16,77:77)-SUMIF(76:76,C16,77:77)+100</f>
        <v>102</v>
      </c>
      <c r="G15" s="395"/>
      <c r="H15" s="392">
        <f>SUMIF(76:76,G16,77:77)-SUMIF(76:76,C16,77:77)+100</f>
        <v>102</v>
      </c>
      <c r="I15" s="393"/>
      <c r="J15" s="392">
        <f>SUMIF(76:76,I16,77:77)-SUMIF(76:76,C16,77:77)+100</f>
        <v>102</v>
      </c>
      <c r="K15" s="563">
        <v>2</v>
      </c>
      <c r="L15" s="2719"/>
      <c r="M15" s="2713"/>
      <c r="N15" s="2713"/>
      <c r="O15" s="2713"/>
      <c r="P15" s="3743" t="s">
        <v>1691</v>
      </c>
      <c r="Q15" s="1350" t="str">
        <f t="shared" si="6"/>
        <v>商业繁华度</v>
      </c>
      <c r="R15" s="704" t="s">
        <v>14</v>
      </c>
      <c r="S15" s="705">
        <f t="shared" si="0"/>
        <v>102</v>
      </c>
      <c r="T15" s="704" t="s">
        <v>14</v>
      </c>
      <c r="U15" s="705">
        <f t="shared" si="1"/>
        <v>102</v>
      </c>
      <c r="V15" s="704" t="s">
        <v>14</v>
      </c>
      <c r="W15" s="705">
        <f t="shared" si="2"/>
        <v>102</v>
      </c>
      <c r="X15" s="1353"/>
      <c r="Y15" s="3745" t="s">
        <v>1691</v>
      </c>
      <c r="Z15" s="1354" t="str">
        <f t="shared" si="7"/>
        <v>商业繁华度</v>
      </c>
      <c r="AA15" s="1351">
        <f t="shared" si="3"/>
        <v>0.98039215686274506</v>
      </c>
      <c r="AB15" s="1351">
        <f t="shared" si="4"/>
        <v>0.98039215686274506</v>
      </c>
      <c r="AC15" s="1351">
        <f t="shared" si="5"/>
        <v>0.98039215686274506</v>
      </c>
    </row>
    <row r="16" spans="1:29" ht="15">
      <c r="A16" s="379"/>
      <c r="B16" s="397"/>
      <c r="C16" s="3465" t="s">
        <v>3516</v>
      </c>
      <c r="D16" s="399"/>
      <c r="E16" s="3465" t="s">
        <v>3462</v>
      </c>
      <c r="F16" s="400"/>
      <c r="G16" s="3465" t="s">
        <v>3462</v>
      </c>
      <c r="H16" s="401"/>
      <c r="I16" s="3465" t="s">
        <v>3462</v>
      </c>
      <c r="J16" s="399"/>
      <c r="K16" s="564"/>
      <c r="L16" s="2719"/>
      <c r="M16" s="2713"/>
      <c r="N16" s="2713"/>
      <c r="O16" s="2713"/>
      <c r="P16" s="3744"/>
      <c r="Q16" s="1350"/>
      <c r="R16" s="704"/>
      <c r="S16" s="705"/>
      <c r="T16" s="704"/>
      <c r="U16" s="705"/>
      <c r="V16" s="704"/>
      <c r="W16" s="705"/>
      <c r="X16" s="1353"/>
      <c r="Y16" s="3746"/>
      <c r="Z16" s="1354"/>
      <c r="AA16" s="1351">
        <v>1</v>
      </c>
      <c r="AB16" s="1351">
        <v>1</v>
      </c>
      <c r="AC16" s="1351">
        <v>1</v>
      </c>
    </row>
    <row r="17" spans="1:29" ht="85.5">
      <c r="A17" s="379"/>
      <c r="B17" s="402" t="s">
        <v>1259</v>
      </c>
      <c r="C17" s="1898"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v>2</v>
      </c>
      <c r="L17" s="2719"/>
      <c r="M17" s="2713"/>
      <c r="N17" s="2713"/>
      <c r="O17" s="2713"/>
      <c r="P17" s="3744"/>
      <c r="Q17" s="1350" t="str">
        <f>B17</f>
        <v>交通便捷度</v>
      </c>
      <c r="R17" s="704" t="s">
        <v>14</v>
      </c>
      <c r="S17" s="705">
        <f>F17</f>
        <v>100</v>
      </c>
      <c r="T17" s="704" t="s">
        <v>14</v>
      </c>
      <c r="U17" s="705">
        <f>H17</f>
        <v>100</v>
      </c>
      <c r="V17" s="704" t="s">
        <v>14</v>
      </c>
      <c r="W17" s="705">
        <f>J17</f>
        <v>100</v>
      </c>
      <c r="X17" s="1353"/>
      <c r="Y17" s="3746"/>
      <c r="Z17" s="1354" t="str">
        <f>Q17</f>
        <v>交通便捷度</v>
      </c>
      <c r="AA17" s="1351">
        <f t="shared" si="3"/>
        <v>1</v>
      </c>
      <c r="AB17" s="1351">
        <f t="shared" si="4"/>
        <v>1</v>
      </c>
      <c r="AC17" s="1351">
        <f t="shared" si="5"/>
        <v>1</v>
      </c>
    </row>
    <row r="18" spans="1:29" ht="15">
      <c r="A18" s="379"/>
      <c r="B18" s="407"/>
      <c r="C18" s="3462" t="s">
        <v>3461</v>
      </c>
      <c r="D18" s="401"/>
      <c r="E18" s="3463" t="s">
        <v>3515</v>
      </c>
      <c r="F18" s="404"/>
      <c r="G18" s="3464" t="s">
        <v>3515</v>
      </c>
      <c r="H18" s="399"/>
      <c r="I18" s="3463" t="s">
        <v>3515</v>
      </c>
      <c r="J18" s="399"/>
      <c r="K18" s="564"/>
      <c r="L18" s="2719"/>
      <c r="M18" s="2713"/>
      <c r="N18" s="2713"/>
      <c r="O18" s="2713"/>
      <c r="P18" s="3744"/>
      <c r="Q18" s="1350"/>
      <c r="R18" s="704"/>
      <c r="S18" s="705"/>
      <c r="T18" s="704"/>
      <c r="U18" s="705"/>
      <c r="V18" s="704"/>
      <c r="W18" s="705"/>
      <c r="X18" s="1353"/>
      <c r="Y18" s="3746"/>
      <c r="Z18" s="1354"/>
      <c r="AA18" s="1351">
        <v>1</v>
      </c>
      <c r="AB18" s="1351">
        <v>1</v>
      </c>
      <c r="AC18" s="1351">
        <v>1</v>
      </c>
    </row>
    <row r="19" spans="1:29" ht="42.75">
      <c r="A19" s="379"/>
      <c r="B19" s="402" t="s">
        <v>1778</v>
      </c>
      <c r="C19" s="1898"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v>2</v>
      </c>
      <c r="L19" s="2719"/>
      <c r="M19" s="2713"/>
      <c r="N19" s="2713"/>
      <c r="O19" s="2713"/>
      <c r="P19" s="3744"/>
      <c r="Q19" s="1350" t="str">
        <f>B19</f>
        <v>公共配套设施</v>
      </c>
      <c r="R19" s="704" t="s">
        <v>14</v>
      </c>
      <c r="S19" s="705">
        <f>F19</f>
        <v>100</v>
      </c>
      <c r="T19" s="704" t="s">
        <v>14</v>
      </c>
      <c r="U19" s="705">
        <f>H19</f>
        <v>100</v>
      </c>
      <c r="V19" s="704" t="s">
        <v>14</v>
      </c>
      <c r="W19" s="705">
        <f>J19</f>
        <v>100</v>
      </c>
      <c r="X19" s="1353"/>
      <c r="Y19" s="3746"/>
      <c r="Z19" s="1354" t="str">
        <f>Q19</f>
        <v>公共配套设施</v>
      </c>
      <c r="AA19" s="1351">
        <f t="shared" si="3"/>
        <v>1</v>
      </c>
      <c r="AB19" s="1351">
        <f t="shared" si="4"/>
        <v>1</v>
      </c>
      <c r="AC19" s="1351">
        <f t="shared" si="5"/>
        <v>1</v>
      </c>
    </row>
    <row r="20" spans="1:29" ht="15">
      <c r="A20" s="379"/>
      <c r="B20" s="407"/>
      <c r="C20" s="3465" t="s">
        <v>3462</v>
      </c>
      <c r="D20" s="399"/>
      <c r="E20" s="3466" t="s">
        <v>3462</v>
      </c>
      <c r="F20" s="400"/>
      <c r="G20" s="3467" t="s">
        <v>3462</v>
      </c>
      <c r="H20" s="399"/>
      <c r="I20" s="3466" t="s">
        <v>3462</v>
      </c>
      <c r="J20" s="399"/>
      <c r="K20" s="564"/>
      <c r="L20" s="2719"/>
      <c r="M20" s="2713"/>
      <c r="N20" s="2713"/>
      <c r="O20" s="2713"/>
      <c r="P20" s="3744"/>
      <c r="Q20" s="1350"/>
      <c r="R20" s="704"/>
      <c r="S20" s="705"/>
      <c r="T20" s="704"/>
      <c r="U20" s="705"/>
      <c r="V20" s="704"/>
      <c r="W20" s="705"/>
      <c r="X20" s="1353"/>
      <c r="Y20" s="3746"/>
      <c r="Z20" s="1354"/>
      <c r="AA20" s="1351">
        <v>1</v>
      </c>
      <c r="AB20" s="1351">
        <v>1</v>
      </c>
      <c r="AC20" s="1351">
        <v>1</v>
      </c>
    </row>
    <row r="21" spans="1:29" ht="28.5">
      <c r="A21" s="379"/>
      <c r="B21" s="1130" t="s">
        <v>1779</v>
      </c>
      <c r="C21" s="1898"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v>2</v>
      </c>
      <c r="L21" s="2719"/>
      <c r="M21" s="2713"/>
      <c r="N21" s="2713"/>
      <c r="O21" s="2713"/>
      <c r="P21" s="3744"/>
      <c r="Q21" s="1350" t="str">
        <f>B21</f>
        <v>基础设施水平</v>
      </c>
      <c r="R21" s="704" t="s">
        <v>14</v>
      </c>
      <c r="S21" s="705">
        <f>F21</f>
        <v>100</v>
      </c>
      <c r="T21" s="704" t="s">
        <v>14</v>
      </c>
      <c r="U21" s="705">
        <f>H21</f>
        <v>100</v>
      </c>
      <c r="V21" s="704" t="s">
        <v>14</v>
      </c>
      <c r="W21" s="705">
        <f>J21</f>
        <v>100</v>
      </c>
      <c r="X21" s="1353"/>
      <c r="Y21" s="3746"/>
      <c r="Z21" s="1354" t="str">
        <f>Q21</f>
        <v>基础设施水平</v>
      </c>
      <c r="AA21" s="1351">
        <f t="shared" ref="AA21" si="8">D21/F21</f>
        <v>1</v>
      </c>
      <c r="AB21" s="1351">
        <f t="shared" ref="AB21" si="9">D21/H21</f>
        <v>1</v>
      </c>
      <c r="AC21" s="1351">
        <f t="shared" ref="AC21" si="10">D21/J21</f>
        <v>1</v>
      </c>
    </row>
    <row r="22" spans="1:29" ht="15">
      <c r="A22" s="379"/>
      <c r="B22" s="1130"/>
      <c r="C22" s="3462" t="s">
        <v>3463</v>
      </c>
      <c r="D22" s="399"/>
      <c r="E22" s="3465" t="s">
        <v>3463</v>
      </c>
      <c r="F22" s="400"/>
      <c r="G22" s="3465" t="s">
        <v>3463</v>
      </c>
      <c r="H22" s="399"/>
      <c r="I22" s="3465" t="s">
        <v>3464</v>
      </c>
      <c r="J22" s="399"/>
      <c r="K22" s="1129"/>
      <c r="L22" s="2719"/>
      <c r="M22" s="2713"/>
      <c r="N22" s="2713"/>
      <c r="O22" s="2713"/>
      <c r="P22" s="3744"/>
      <c r="Q22" s="1350"/>
      <c r="R22" s="704"/>
      <c r="S22" s="705"/>
      <c r="T22" s="704"/>
      <c r="U22" s="705"/>
      <c r="V22" s="704"/>
      <c r="W22" s="705"/>
      <c r="X22" s="1353"/>
      <c r="Y22" s="3746"/>
      <c r="Z22" s="1354"/>
      <c r="AA22" s="1351">
        <v>1</v>
      </c>
      <c r="AB22" s="1351">
        <v>1</v>
      </c>
      <c r="AC22" s="1351">
        <v>1</v>
      </c>
    </row>
    <row r="23" spans="1:29" ht="57">
      <c r="A23" s="379"/>
      <c r="B23" s="402" t="s">
        <v>1261</v>
      </c>
      <c r="C23" s="1953"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103</v>
      </c>
      <c r="K23" s="563">
        <v>3</v>
      </c>
      <c r="L23" s="2719"/>
      <c r="M23" s="2713"/>
      <c r="N23" s="2713"/>
      <c r="O23" s="2713"/>
      <c r="P23" s="3744"/>
      <c r="Q23" s="1350" t="str">
        <f>B23</f>
        <v>自然及人文环境</v>
      </c>
      <c r="R23" s="704" t="s">
        <v>14</v>
      </c>
      <c r="S23" s="705">
        <f>F23</f>
        <v>100</v>
      </c>
      <c r="T23" s="704" t="s">
        <v>14</v>
      </c>
      <c r="U23" s="705">
        <f>H23</f>
        <v>100</v>
      </c>
      <c r="V23" s="704" t="s">
        <v>14</v>
      </c>
      <c r="W23" s="705">
        <f>J23</f>
        <v>103</v>
      </c>
      <c r="X23" s="1353"/>
      <c r="Y23" s="3746"/>
      <c r="Z23" s="1354" t="str">
        <f>Q23</f>
        <v>自然及人文环境</v>
      </c>
      <c r="AA23" s="1351">
        <f t="shared" si="3"/>
        <v>1</v>
      </c>
      <c r="AB23" s="1351">
        <f t="shared" si="4"/>
        <v>1</v>
      </c>
      <c r="AC23" s="1351">
        <f t="shared" si="5"/>
        <v>0.970873786407767</v>
      </c>
    </row>
    <row r="24" spans="1:29" ht="15">
      <c r="A24" s="379"/>
      <c r="B24" s="407"/>
      <c r="C24" s="3465" t="s">
        <v>3461</v>
      </c>
      <c r="D24" s="399"/>
      <c r="E24" s="3466" t="s">
        <v>3515</v>
      </c>
      <c r="F24" s="400"/>
      <c r="G24" s="3467" t="s">
        <v>3515</v>
      </c>
      <c r="H24" s="399"/>
      <c r="I24" s="3466" t="s">
        <v>3462</v>
      </c>
      <c r="J24" s="399"/>
      <c r="K24" s="564"/>
      <c r="L24" s="2719"/>
      <c r="M24" s="2713"/>
      <c r="N24" s="2713"/>
      <c r="O24" s="2713"/>
      <c r="P24" s="3744"/>
      <c r="Q24" s="1350"/>
      <c r="R24" s="704"/>
      <c r="S24" s="705"/>
      <c r="T24" s="704"/>
      <c r="U24" s="705"/>
      <c r="V24" s="704"/>
      <c r="W24" s="705"/>
      <c r="X24" s="1353"/>
      <c r="Y24" s="3746"/>
      <c r="Z24" s="1354"/>
      <c r="AA24" s="1351">
        <v>1</v>
      </c>
      <c r="AB24" s="1351">
        <v>1</v>
      </c>
      <c r="AC24" s="1351">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v>2</v>
      </c>
      <c r="L25" s="2719"/>
      <c r="M25" s="2713"/>
      <c r="N25" s="2713"/>
      <c r="O25" s="2713"/>
      <c r="P25" s="3744"/>
      <c r="Q25" s="1350" t="str">
        <f t="shared" ref="Q25:Q46" si="11">B25</f>
        <v>临街状况</v>
      </c>
      <c r="R25" s="704" t="s">
        <v>14</v>
      </c>
      <c r="S25" s="705">
        <f>F25</f>
        <v>100</v>
      </c>
      <c r="T25" s="704" t="s">
        <v>14</v>
      </c>
      <c r="U25" s="705">
        <f>H25</f>
        <v>100</v>
      </c>
      <c r="V25" s="704" t="s">
        <v>14</v>
      </c>
      <c r="W25" s="705">
        <f>J25</f>
        <v>100</v>
      </c>
      <c r="X25" s="1353"/>
      <c r="Y25" s="3746"/>
      <c r="Z25" s="1354" t="str">
        <f>Q25</f>
        <v>临街状况</v>
      </c>
      <c r="AA25" s="1351">
        <f t="shared" si="3"/>
        <v>1</v>
      </c>
      <c r="AB25" s="1351">
        <f t="shared" si="4"/>
        <v>1</v>
      </c>
      <c r="AC25" s="1351">
        <f t="shared" si="5"/>
        <v>1</v>
      </c>
    </row>
    <row r="26" spans="1:29" ht="15">
      <c r="A26" s="379"/>
      <c r="B26" s="1132" t="s">
        <v>1781</v>
      </c>
      <c r="C26" s="385"/>
      <c r="D26" s="386">
        <v>100</v>
      </c>
      <c r="E26" s="385"/>
      <c r="F26" s="412">
        <f>SUMIF(88:88,E26,89:89)-SUMIF(88:88,C26,89:89)+100</f>
        <v>100</v>
      </c>
      <c r="G26" s="385"/>
      <c r="H26" s="386">
        <f>SUMIF(88:88,G26,89:89)-SUMIF(88:88,C26,89:89)+100</f>
        <v>100</v>
      </c>
      <c r="I26" s="385"/>
      <c r="J26" s="386">
        <f>SUMIF(88:88,I26,89:89)-SUMIF(88:88,C26,89:89)+100</f>
        <v>100</v>
      </c>
      <c r="K26" s="562"/>
      <c r="L26" s="2719"/>
      <c r="M26" s="2713"/>
      <c r="N26" s="2713"/>
      <c r="O26" s="2713"/>
      <c r="P26" s="3744"/>
      <c r="Q26" s="1350" t="str">
        <f t="shared" si="11"/>
        <v>平面位置/可视性</v>
      </c>
      <c r="R26" s="704" t="s">
        <v>14</v>
      </c>
      <c r="S26" s="705">
        <f>F26</f>
        <v>100</v>
      </c>
      <c r="T26" s="704" t="s">
        <v>14</v>
      </c>
      <c r="U26" s="705">
        <f>H26</f>
        <v>100</v>
      </c>
      <c r="V26" s="704" t="s">
        <v>14</v>
      </c>
      <c r="W26" s="705">
        <f>J26</f>
        <v>100</v>
      </c>
      <c r="X26" s="1353"/>
      <c r="Y26" s="3746"/>
      <c r="Z26" s="1354" t="str">
        <f>Q26</f>
        <v>平面位置/可视性</v>
      </c>
      <c r="AA26" s="1351">
        <f t="shared" si="3"/>
        <v>1</v>
      </c>
      <c r="AB26" s="1351">
        <f t="shared" si="4"/>
        <v>1</v>
      </c>
      <c r="AC26" s="1351">
        <f t="shared" si="5"/>
        <v>1</v>
      </c>
    </row>
    <row r="27" spans="1:29" s="108" customFormat="1" ht="15">
      <c r="A27" s="382"/>
      <c r="B27" s="402" t="s">
        <v>1782</v>
      </c>
      <c r="C27" s="3505" t="s">
        <v>3534</v>
      </c>
      <c r="D27" s="413">
        <v>100</v>
      </c>
      <c r="E27" s="3505" t="s">
        <v>3529</v>
      </c>
      <c r="F27" s="415">
        <f>SUMIF(90:90,E27,91:91)-SUMIF(90:90,C27,91:91)+100</f>
        <v>109</v>
      </c>
      <c r="G27" s="3505" t="s">
        <v>3529</v>
      </c>
      <c r="H27" s="413">
        <f>SUMIF(90:90,G27,91:91)-SUMIF(90:90,C27,91:91)+100</f>
        <v>109</v>
      </c>
      <c r="I27" s="3505" t="s">
        <v>3531</v>
      </c>
      <c r="J27" s="413">
        <f>SUMIF(90:90,I27,91:91)-SUMIF(90:90,C27,91:91)+100</f>
        <v>106</v>
      </c>
      <c r="K27" s="561">
        <v>3</v>
      </c>
      <c r="L27" s="2714"/>
      <c r="M27" s="2715"/>
      <c r="N27" s="2715"/>
      <c r="O27" s="2715"/>
      <c r="P27" s="3744"/>
      <c r="Q27" s="1341" t="str">
        <f t="shared" si="11"/>
        <v>人流量</v>
      </c>
      <c r="R27" s="700" t="s">
        <v>14</v>
      </c>
      <c r="S27" s="701">
        <f>F27</f>
        <v>109</v>
      </c>
      <c r="T27" s="700" t="s">
        <v>14</v>
      </c>
      <c r="U27" s="701">
        <f>H27</f>
        <v>109</v>
      </c>
      <c r="V27" s="700" t="s">
        <v>14</v>
      </c>
      <c r="W27" s="701">
        <f>J27</f>
        <v>106</v>
      </c>
      <c r="X27" s="702"/>
      <c r="Y27" s="3746"/>
      <c r="Z27" s="52" t="str">
        <f>Q27</f>
        <v>人流量</v>
      </c>
      <c r="AA27" s="1351">
        <f>D27/F27</f>
        <v>0.91743119266055051</v>
      </c>
      <c r="AB27" s="1351">
        <f>D27/H27</f>
        <v>0.91743119266055051</v>
      </c>
      <c r="AC27" s="1351">
        <f>D27/J27</f>
        <v>0.94339622641509435</v>
      </c>
    </row>
    <row r="28" spans="1:29" ht="15">
      <c r="A28" s="379"/>
      <c r="B28" s="375" t="s">
        <v>1783</v>
      </c>
      <c r="C28" s="565">
        <v>1</v>
      </c>
      <c r="D28" s="386">
        <v>100</v>
      </c>
      <c r="E28" s="565">
        <v>1</v>
      </c>
      <c r="F28" s="412">
        <f>SUMIF(92:92,E28,93:93)-SUMIF(92:92,C28,93:93)+100</f>
        <v>100</v>
      </c>
      <c r="G28" s="565">
        <v>1</v>
      </c>
      <c r="H28" s="386">
        <f>SUMIF(92:92,G28,93:93)-SUMIF(92:92,C28,93:93)+100</f>
        <v>100</v>
      </c>
      <c r="I28" s="565">
        <v>1</v>
      </c>
      <c r="J28" s="386">
        <f>SUMIF(92:92,I28,93:93)-SUMIF(92:92,C28,93:93)+100</f>
        <v>100</v>
      </c>
      <c r="K28" s="562"/>
      <c r="L28" s="2719"/>
      <c r="M28" s="2713"/>
      <c r="N28" s="2713"/>
      <c r="O28" s="2713"/>
      <c r="P28" s="3744"/>
      <c r="Q28" s="1350" t="str">
        <f t="shared" si="11"/>
        <v>楼层</v>
      </c>
      <c r="R28" s="704" t="s">
        <v>14</v>
      </c>
      <c r="S28" s="705">
        <f t="shared" ref="S28:S46" si="12">F28</f>
        <v>100</v>
      </c>
      <c r="T28" s="704" t="s">
        <v>14</v>
      </c>
      <c r="U28" s="705">
        <f t="shared" ref="U28:U46" si="13">H28</f>
        <v>100</v>
      </c>
      <c r="V28" s="704" t="s">
        <v>14</v>
      </c>
      <c r="W28" s="705">
        <f t="shared" ref="W28:W46" si="14">J28</f>
        <v>100</v>
      </c>
      <c r="X28" s="1353"/>
      <c r="Y28" s="3746"/>
      <c r="Z28" s="1354" t="str">
        <f t="shared" ref="Z28:Z46" si="15">Q28</f>
        <v>楼层</v>
      </c>
      <c r="AA28" s="1351">
        <f t="shared" si="3"/>
        <v>1</v>
      </c>
      <c r="AB28" s="1351">
        <f t="shared" si="4"/>
        <v>1</v>
      </c>
      <c r="AC28" s="1351">
        <f t="shared" si="5"/>
        <v>1</v>
      </c>
    </row>
    <row r="29" spans="1:29" ht="15">
      <c r="A29" s="379"/>
      <c r="B29" s="1132">
        <v>111</v>
      </c>
      <c r="C29" s="385"/>
      <c r="D29" s="386">
        <v>100</v>
      </c>
      <c r="E29" s="385"/>
      <c r="F29" s="412">
        <f>SUMIF(94:94,E29,95:95)-SUMIF(94:94,C29,95:95)+100</f>
        <v>100</v>
      </c>
      <c r="G29" s="385"/>
      <c r="H29" s="386">
        <f>SUMIF(94:94,G29,95:95)-SUMIF(94:94,C29,95:95)+100</f>
        <v>100</v>
      </c>
      <c r="I29" s="385"/>
      <c r="J29" s="386">
        <f>SUMIF(94:94,I29,95:95)-SUMIF(94:94,C29,95:95)+100</f>
        <v>100</v>
      </c>
      <c r="K29" s="562"/>
      <c r="L29" s="2719"/>
      <c r="M29" s="2713"/>
      <c r="N29" s="2713"/>
      <c r="O29" s="2713"/>
      <c r="P29" s="3744"/>
      <c r="Q29" s="1350">
        <f t="shared" si="11"/>
        <v>111</v>
      </c>
      <c r="R29" s="704" t="s">
        <v>14</v>
      </c>
      <c r="S29" s="705">
        <f t="shared" si="12"/>
        <v>100</v>
      </c>
      <c r="T29" s="704" t="s">
        <v>14</v>
      </c>
      <c r="U29" s="705">
        <f t="shared" si="13"/>
        <v>100</v>
      </c>
      <c r="V29" s="704" t="s">
        <v>14</v>
      </c>
      <c r="W29" s="705">
        <f t="shared" si="14"/>
        <v>100</v>
      </c>
      <c r="X29" s="1353"/>
      <c r="Y29" s="3746"/>
      <c r="Z29" s="1354">
        <f t="shared" si="15"/>
        <v>111</v>
      </c>
      <c r="AA29" s="1351">
        <f t="shared" si="3"/>
        <v>1</v>
      </c>
      <c r="AB29" s="1351">
        <f t="shared" si="4"/>
        <v>1</v>
      </c>
      <c r="AC29" s="1351">
        <f t="shared" si="5"/>
        <v>1</v>
      </c>
    </row>
    <row r="30" spans="1:29" ht="15">
      <c r="A30" s="379"/>
      <c r="B30" s="1132">
        <v>111</v>
      </c>
      <c r="C30" s="385"/>
      <c r="D30" s="386">
        <v>100</v>
      </c>
      <c r="E30" s="385"/>
      <c r="F30" s="412">
        <f>SUMIF(96:96,E30,97:97)-SUMIF(96:96,C30,97:97)+100</f>
        <v>100</v>
      </c>
      <c r="G30" s="385"/>
      <c r="H30" s="386">
        <f>SUMIF(96:96,G30,97:97)-SUMIF(96:96,C30,97:97)+100</f>
        <v>100</v>
      </c>
      <c r="I30" s="385"/>
      <c r="J30" s="386">
        <f>SUMIF(96:96,I30,97:97)-SUMIF(96:96,C30,97:97)+100</f>
        <v>100</v>
      </c>
      <c r="K30" s="562"/>
      <c r="L30" s="2719"/>
      <c r="M30" s="2713"/>
      <c r="N30" s="2713"/>
      <c r="O30" s="2713"/>
      <c r="P30" s="3744"/>
      <c r="Q30" s="1350">
        <f t="shared" si="11"/>
        <v>111</v>
      </c>
      <c r="R30" s="704" t="s">
        <v>14</v>
      </c>
      <c r="S30" s="705">
        <f t="shared" si="12"/>
        <v>100</v>
      </c>
      <c r="T30" s="704" t="s">
        <v>14</v>
      </c>
      <c r="U30" s="705">
        <f t="shared" si="13"/>
        <v>100</v>
      </c>
      <c r="V30" s="704" t="s">
        <v>14</v>
      </c>
      <c r="W30" s="705">
        <f t="shared" si="14"/>
        <v>100</v>
      </c>
      <c r="X30" s="1353"/>
      <c r="Y30" s="3746"/>
      <c r="Z30" s="1354">
        <f t="shared" si="15"/>
        <v>111</v>
      </c>
      <c r="AA30" s="1351">
        <f t="shared" si="3"/>
        <v>1</v>
      </c>
      <c r="AB30" s="1351">
        <f t="shared" si="4"/>
        <v>1</v>
      </c>
      <c r="AC30" s="1351">
        <f t="shared" si="5"/>
        <v>1</v>
      </c>
    </row>
    <row r="31" spans="1:29" ht="15.75" thickBot="1">
      <c r="A31" s="387"/>
      <c r="B31" s="1132">
        <v>111</v>
      </c>
      <c r="C31" s="388"/>
      <c r="D31" s="389">
        <v>100</v>
      </c>
      <c r="E31" s="385"/>
      <c r="F31" s="390">
        <f>SUMIF(98:98,E31,99:99)-SUMIF(98:98,C31,99:99)+100</f>
        <v>100</v>
      </c>
      <c r="G31" s="385"/>
      <c r="H31" s="389">
        <f>SUMIF(98:98,G31,99:99)-SUMIF(98:98,C31,99:99)+100</f>
        <v>100</v>
      </c>
      <c r="I31" s="385"/>
      <c r="J31" s="389">
        <f>SUMIF(98:98,I31,99:99)-SUMIF(98:98,C31,99:99)+100</f>
        <v>100</v>
      </c>
      <c r="K31" s="562"/>
      <c r="L31" s="2719"/>
      <c r="M31" s="2713"/>
      <c r="N31" s="2713"/>
      <c r="O31" s="2713"/>
      <c r="P31" s="3744"/>
      <c r="Q31" s="1350">
        <f t="shared" si="11"/>
        <v>111</v>
      </c>
      <c r="R31" s="704" t="s">
        <v>14</v>
      </c>
      <c r="S31" s="705">
        <f t="shared" si="12"/>
        <v>100</v>
      </c>
      <c r="T31" s="704" t="s">
        <v>14</v>
      </c>
      <c r="U31" s="705">
        <f t="shared" si="13"/>
        <v>100</v>
      </c>
      <c r="V31" s="704" t="s">
        <v>14</v>
      </c>
      <c r="W31" s="705">
        <f t="shared" si="14"/>
        <v>100</v>
      </c>
      <c r="X31" s="1353"/>
      <c r="Y31" s="3746"/>
      <c r="Z31" s="1354">
        <f t="shared" si="15"/>
        <v>111</v>
      </c>
      <c r="AA31" s="1351">
        <f t="shared" si="3"/>
        <v>1</v>
      </c>
      <c r="AB31" s="1351">
        <f t="shared" si="4"/>
        <v>1</v>
      </c>
      <c r="AC31" s="1351">
        <f t="shared" si="5"/>
        <v>1</v>
      </c>
    </row>
    <row r="32" spans="1:29" ht="15">
      <c r="A32" s="391" t="s">
        <v>1694</v>
      </c>
      <c r="B32" s="63" t="s">
        <v>1784</v>
      </c>
      <c r="C32" s="3506" t="s">
        <v>3524</v>
      </c>
      <c r="D32" s="418">
        <v>100</v>
      </c>
      <c r="E32" s="3506" t="s">
        <v>3525</v>
      </c>
      <c r="F32" s="412">
        <f>SUMIF(100:100,E32,101:101)-SUMIF(100:100,C32,101:101)+100</f>
        <v>98</v>
      </c>
      <c r="G32" s="3506" t="s">
        <v>3526</v>
      </c>
      <c r="H32" s="386">
        <f>SUMIF(100:100,G32,101:101)-SUMIF(100:100,C32,101:101)+100</f>
        <v>98</v>
      </c>
      <c r="I32" s="3506" t="s">
        <v>3527</v>
      </c>
      <c r="J32" s="418">
        <f>SUMIF(100:100,I32,101:101)-SUMIF(100:100,C32,101:101)+100</f>
        <v>98</v>
      </c>
      <c r="K32" s="561">
        <v>2</v>
      </c>
      <c r="L32" s="2719"/>
      <c r="M32" s="2713"/>
      <c r="N32" s="2713"/>
      <c r="O32" s="2713"/>
      <c r="P32" s="3747" t="s">
        <v>1696</v>
      </c>
      <c r="Q32" s="1350" t="str">
        <f t="shared" si="11"/>
        <v>商业类型</v>
      </c>
      <c r="R32" s="704" t="s">
        <v>14</v>
      </c>
      <c r="S32" s="705">
        <f t="shared" si="12"/>
        <v>98</v>
      </c>
      <c r="T32" s="704" t="s">
        <v>14</v>
      </c>
      <c r="U32" s="705">
        <f t="shared" si="13"/>
        <v>98</v>
      </c>
      <c r="V32" s="704" t="s">
        <v>14</v>
      </c>
      <c r="W32" s="705">
        <f t="shared" si="14"/>
        <v>98</v>
      </c>
      <c r="X32" s="1353"/>
      <c r="Y32" s="3750" t="s">
        <v>1696</v>
      </c>
      <c r="Z32" s="1354" t="str">
        <f t="shared" si="15"/>
        <v>商业类型</v>
      </c>
      <c r="AA32" s="1351">
        <f t="shared" si="3"/>
        <v>1.0204081632653061</v>
      </c>
      <c r="AB32" s="1351">
        <f t="shared" si="4"/>
        <v>1.0204081632653061</v>
      </c>
      <c r="AC32" s="1351">
        <f t="shared" si="5"/>
        <v>1.0204081632653061</v>
      </c>
    </row>
    <row r="33" spans="1:29" s="422" customFormat="1" ht="15">
      <c r="A33" s="419"/>
      <c r="B33" s="375" t="s">
        <v>1697</v>
      </c>
      <c r="C33" s="420">
        <f>'数据-取费表'!V23</f>
        <v>5637.5</v>
      </c>
      <c r="D33" s="127">
        <v>100</v>
      </c>
      <c r="E33" s="381">
        <v>51</v>
      </c>
      <c r="F33" s="376">
        <f>LOOKUP(E33,103:103,104:104)-LOOKUP(C33,103:103,104:104)+100</f>
        <v>115</v>
      </c>
      <c r="G33" s="380">
        <v>56</v>
      </c>
      <c r="H33" s="127">
        <f>LOOKUP(G33,103:103,104:104)-LOOKUP(C33,103:103,104:104)+100</f>
        <v>115</v>
      </c>
      <c r="I33" s="380">
        <v>40</v>
      </c>
      <c r="J33" s="127">
        <f>LOOKUP(I33,103:103,104:104)-LOOKUP(C33,103:103,104:104)+100</f>
        <v>115</v>
      </c>
      <c r="K33" s="562"/>
      <c r="L33" s="2718"/>
      <c r="M33" s="2720"/>
      <c r="N33" s="2720"/>
      <c r="O33" s="2720"/>
      <c r="P33" s="3748"/>
      <c r="Q33" s="706" t="str">
        <f t="shared" si="11"/>
        <v>项目建筑规模</v>
      </c>
      <c r="R33" s="707" t="s">
        <v>14</v>
      </c>
      <c r="S33" s="708">
        <f t="shared" si="12"/>
        <v>115</v>
      </c>
      <c r="T33" s="707" t="s">
        <v>14</v>
      </c>
      <c r="U33" s="708">
        <f t="shared" si="13"/>
        <v>115</v>
      </c>
      <c r="V33" s="707" t="s">
        <v>14</v>
      </c>
      <c r="W33" s="708">
        <f t="shared" si="14"/>
        <v>115</v>
      </c>
      <c r="X33" s="709"/>
      <c r="Y33" s="3750"/>
      <c r="Z33" s="710" t="str">
        <f t="shared" si="15"/>
        <v>项目建筑规模</v>
      </c>
      <c r="AA33" s="1351">
        <f t="shared" si="3"/>
        <v>0.86956521739130432</v>
      </c>
      <c r="AB33" s="1351">
        <f t="shared" si="4"/>
        <v>0.86956521739130432</v>
      </c>
      <c r="AC33" s="1351">
        <f t="shared" si="5"/>
        <v>0.86956521739130432</v>
      </c>
    </row>
    <row r="34" spans="1:29" ht="15">
      <c r="A34" s="423"/>
      <c r="B34" s="375" t="s">
        <v>1698</v>
      </c>
      <c r="C34" s="3497" t="s">
        <v>3495</v>
      </c>
      <c r="D34" s="386">
        <v>100</v>
      </c>
      <c r="E34" s="3497" t="s">
        <v>3495</v>
      </c>
      <c r="F34" s="412">
        <f>SUMIF(105:105,E34,106:106)-SUMIF(105:105,C34,106:106)+100</f>
        <v>100</v>
      </c>
      <c r="G34" s="3497" t="s">
        <v>3495</v>
      </c>
      <c r="H34" s="386">
        <f>SUMIF(105:105,G34,106:106)-SUMIF(105:105,C34,106:106)+100</f>
        <v>100</v>
      </c>
      <c r="I34" s="3497" t="s">
        <v>3495</v>
      </c>
      <c r="J34" s="386">
        <f>SUMIF(105:105,I34,106:106)-SUMIF(105:105,C34,106:106)+100</f>
        <v>100</v>
      </c>
      <c r="K34" s="561"/>
      <c r="L34" s="2719"/>
      <c r="M34" s="2713"/>
      <c r="N34" s="2713"/>
      <c r="O34" s="2713"/>
      <c r="P34" s="3748"/>
      <c r="Q34" s="1350" t="str">
        <f t="shared" si="11"/>
        <v>建筑结构</v>
      </c>
      <c r="R34" s="704" t="s">
        <v>14</v>
      </c>
      <c r="S34" s="705">
        <f t="shared" si="12"/>
        <v>100</v>
      </c>
      <c r="T34" s="704" t="s">
        <v>14</v>
      </c>
      <c r="U34" s="705">
        <f t="shared" si="13"/>
        <v>100</v>
      </c>
      <c r="V34" s="704" t="s">
        <v>14</v>
      </c>
      <c r="W34" s="705">
        <f t="shared" si="14"/>
        <v>100</v>
      </c>
      <c r="X34" s="1353"/>
      <c r="Y34" s="3750"/>
      <c r="Z34" s="1354" t="str">
        <f t="shared" si="15"/>
        <v>建筑结构</v>
      </c>
      <c r="AA34" s="1351">
        <f t="shared" si="3"/>
        <v>1</v>
      </c>
      <c r="AB34" s="1351">
        <f t="shared" si="4"/>
        <v>1</v>
      </c>
      <c r="AC34" s="1351">
        <f t="shared" si="5"/>
        <v>1</v>
      </c>
    </row>
    <row r="35" spans="1:29" ht="15">
      <c r="A35" s="423"/>
      <c r="B35" s="375" t="s">
        <v>1785</v>
      </c>
      <c r="C35" s="1904"/>
      <c r="D35" s="386">
        <v>100</v>
      </c>
      <c r="E35" s="1904"/>
      <c r="F35" s="412">
        <f>SUMIF(107:107,E35,108:108)-SUMIF(107:107,C35,108:108)+100</f>
        <v>100</v>
      </c>
      <c r="G35" s="1904"/>
      <c r="H35" s="386">
        <f>SUMIF(107:107,G35,108:108)-SUMIF(107:107,C35,108:108)+100</f>
        <v>100</v>
      </c>
      <c r="I35" s="1904"/>
      <c r="J35" s="386">
        <f>SUMIF(107:107,I35,108:108)-SUMIF(107:107,C35,108:108)+100</f>
        <v>100</v>
      </c>
      <c r="K35" s="561"/>
      <c r="L35" s="2719"/>
      <c r="M35" s="2713"/>
      <c r="N35" s="2713"/>
      <c r="O35" s="2713"/>
      <c r="P35" s="3748"/>
      <c r="Q35" s="1350" t="str">
        <f t="shared" si="11"/>
        <v>公共部分装修</v>
      </c>
      <c r="R35" s="704" t="s">
        <v>14</v>
      </c>
      <c r="S35" s="705">
        <f t="shared" si="12"/>
        <v>100</v>
      </c>
      <c r="T35" s="704" t="s">
        <v>14</v>
      </c>
      <c r="U35" s="705">
        <f t="shared" si="13"/>
        <v>100</v>
      </c>
      <c r="V35" s="704" t="s">
        <v>14</v>
      </c>
      <c r="W35" s="705">
        <f t="shared" si="14"/>
        <v>100</v>
      </c>
      <c r="X35" s="1353"/>
      <c r="Y35" s="3750"/>
      <c r="Z35" s="1354" t="str">
        <f t="shared" si="15"/>
        <v>公共部分装修</v>
      </c>
      <c r="AA35" s="1351">
        <f t="shared" si="3"/>
        <v>1</v>
      </c>
      <c r="AB35" s="1351">
        <f t="shared" si="4"/>
        <v>1</v>
      </c>
      <c r="AC35" s="1351">
        <f t="shared" si="5"/>
        <v>1</v>
      </c>
    </row>
    <row r="36" spans="1:29" ht="15">
      <c r="A36" s="423"/>
      <c r="B36" s="375" t="s">
        <v>1786</v>
      </c>
      <c r="C36" s="425">
        <v>0.75</v>
      </c>
      <c r="D36" s="386">
        <v>100</v>
      </c>
      <c r="E36" s="425">
        <v>0.75</v>
      </c>
      <c r="F36" s="412">
        <f>LOOKUP(E36,110:110,111:111)-LOOKUP(C36,110:110,111:111)+100</f>
        <v>100</v>
      </c>
      <c r="G36" s="425">
        <v>0.75</v>
      </c>
      <c r="H36" s="412">
        <f>LOOKUP(G36,110:110,111:111)-LOOKUP(C36,110:110,111:111)+100</f>
        <v>100</v>
      </c>
      <c r="I36" s="425">
        <v>0.75</v>
      </c>
      <c r="J36" s="386">
        <f>LOOKUP(I36,110:110,111:111)-LOOKUP(C36,110:110,111:111)+100</f>
        <v>100</v>
      </c>
      <c r="K36" s="561">
        <v>2</v>
      </c>
      <c r="L36" s="2719"/>
      <c r="M36" s="2713"/>
      <c r="N36" s="2713"/>
      <c r="O36" s="2713"/>
      <c r="P36" s="3748"/>
      <c r="Q36" s="1350" t="str">
        <f t="shared" si="11"/>
        <v>成新度</v>
      </c>
      <c r="R36" s="704" t="s">
        <v>14</v>
      </c>
      <c r="S36" s="705">
        <f t="shared" si="12"/>
        <v>100</v>
      </c>
      <c r="T36" s="704" t="s">
        <v>14</v>
      </c>
      <c r="U36" s="705">
        <f t="shared" si="13"/>
        <v>100</v>
      </c>
      <c r="V36" s="704" t="s">
        <v>14</v>
      </c>
      <c r="W36" s="705">
        <f t="shared" si="14"/>
        <v>100</v>
      </c>
      <c r="X36" s="1353"/>
      <c r="Y36" s="3750"/>
      <c r="Z36" s="1354" t="str">
        <f t="shared" si="15"/>
        <v>成新度</v>
      </c>
      <c r="AA36" s="1351">
        <f t="shared" si="3"/>
        <v>1</v>
      </c>
      <c r="AB36" s="1351">
        <f t="shared" si="4"/>
        <v>1</v>
      </c>
      <c r="AC36" s="1351">
        <f t="shared" si="5"/>
        <v>1</v>
      </c>
    </row>
    <row r="37" spans="1:29" s="108" customFormat="1" ht="15">
      <c r="A37" s="424"/>
      <c r="B37" s="375" t="s">
        <v>1787</v>
      </c>
      <c r="C37" s="1904"/>
      <c r="D37" s="127">
        <v>100</v>
      </c>
      <c r="E37" s="1904"/>
      <c r="F37" s="412">
        <f>SUMIF(112:112,E37,113:113)-SUMIF(112:112,C37,113:113)+100</f>
        <v>100</v>
      </c>
      <c r="G37" s="1904"/>
      <c r="H37" s="386">
        <f>SUMIF(112:112,G37,113:113)-SUMIF(112:112,C37,113:113)+100</f>
        <v>100</v>
      </c>
      <c r="I37" s="1904"/>
      <c r="J37" s="386">
        <f>SUMIF(112:112,I37,113:113)-SUMIF(112:112,C37,113:113)+100</f>
        <v>100</v>
      </c>
      <c r="K37" s="561"/>
      <c r="L37" s="2714"/>
      <c r="M37" s="2715"/>
      <c r="N37" s="2715"/>
      <c r="O37" s="2715"/>
      <c r="P37" s="3748"/>
      <c r="Q37" s="1341" t="str">
        <f t="shared" si="11"/>
        <v>市政基础设施</v>
      </c>
      <c r="R37" s="700" t="s">
        <v>14</v>
      </c>
      <c r="S37" s="701">
        <f t="shared" si="12"/>
        <v>100</v>
      </c>
      <c r="T37" s="700" t="s">
        <v>14</v>
      </c>
      <c r="U37" s="701">
        <f t="shared" si="13"/>
        <v>100</v>
      </c>
      <c r="V37" s="700" t="s">
        <v>14</v>
      </c>
      <c r="W37" s="701">
        <f t="shared" si="14"/>
        <v>100</v>
      </c>
      <c r="X37" s="702"/>
      <c r="Y37" s="3750"/>
      <c r="Z37" s="52" t="str">
        <f t="shared" si="15"/>
        <v>市政基础设施</v>
      </c>
      <c r="AA37" s="703">
        <f t="shared" si="3"/>
        <v>1</v>
      </c>
      <c r="AB37" s="703">
        <f t="shared" si="4"/>
        <v>1</v>
      </c>
      <c r="AC37" s="703">
        <f t="shared" si="5"/>
        <v>1</v>
      </c>
    </row>
    <row r="38" spans="1:29" ht="15">
      <c r="A38" s="423"/>
      <c r="B38" s="375" t="s">
        <v>1788</v>
      </c>
      <c r="C38" s="1904"/>
      <c r="D38" s="386">
        <v>100</v>
      </c>
      <c r="E38" s="1904"/>
      <c r="F38" s="412">
        <f>SUMIF(114:114,E38,115:115)-SUMIF(114:114,C38,115:115)+100</f>
        <v>100</v>
      </c>
      <c r="G38" s="1904"/>
      <c r="H38" s="386">
        <f>SUMIF(114:114,G38,115:115)-SUMIF(114:114,C38,115:115)+100</f>
        <v>100</v>
      </c>
      <c r="I38" s="1904"/>
      <c r="J38" s="386">
        <f>SUMIF(114:114,I38,115:115)-SUMIF(114:114,C38,115:115)+100</f>
        <v>100</v>
      </c>
      <c r="K38" s="561"/>
      <c r="L38" s="2719"/>
      <c r="M38" s="2713"/>
      <c r="N38" s="2713"/>
      <c r="O38" s="2713"/>
      <c r="P38" s="3748" t="s">
        <v>1696</v>
      </c>
      <c r="Q38" s="1350" t="str">
        <f t="shared" si="11"/>
        <v>业态</v>
      </c>
      <c r="R38" s="704" t="s">
        <v>14</v>
      </c>
      <c r="S38" s="705">
        <f t="shared" si="12"/>
        <v>100</v>
      </c>
      <c r="T38" s="704" t="s">
        <v>14</v>
      </c>
      <c r="U38" s="705">
        <f t="shared" si="13"/>
        <v>100</v>
      </c>
      <c r="V38" s="704" t="s">
        <v>14</v>
      </c>
      <c r="W38" s="705">
        <f t="shared" si="14"/>
        <v>100</v>
      </c>
      <c r="X38" s="1353"/>
      <c r="Y38" s="3750" t="s">
        <v>1696</v>
      </c>
      <c r="Z38" s="1354" t="str">
        <f t="shared" si="15"/>
        <v>业态</v>
      </c>
      <c r="AA38" s="1351">
        <f t="shared" si="3"/>
        <v>1</v>
      </c>
      <c r="AB38" s="1351">
        <f t="shared" si="4"/>
        <v>1</v>
      </c>
      <c r="AC38" s="1351">
        <f t="shared" si="5"/>
        <v>1</v>
      </c>
    </row>
    <row r="39" spans="1:29" ht="15">
      <c r="A39" s="423"/>
      <c r="B39" s="375" t="s">
        <v>1789</v>
      </c>
      <c r="C39" s="1904"/>
      <c r="D39" s="386">
        <v>100</v>
      </c>
      <c r="E39" s="1904"/>
      <c r="F39" s="412">
        <f>SUMIF(116:116,E39,117:117)-SUMIF(116:116,C39,117:117)+100</f>
        <v>100</v>
      </c>
      <c r="G39" s="1904"/>
      <c r="H39" s="386">
        <f>SUMIF(116:116,G39,117:117)-SUMIF(116:116,C39,117:117)+100</f>
        <v>100</v>
      </c>
      <c r="I39" s="1904"/>
      <c r="J39" s="386">
        <f>SUMIF(116:116,I39,117:117)-SUMIF(116:116,C39,117:117)+100</f>
        <v>100</v>
      </c>
      <c r="K39" s="561"/>
      <c r="L39" s="2719"/>
      <c r="M39" s="2713"/>
      <c r="N39" s="2713"/>
      <c r="O39" s="2713"/>
      <c r="P39" s="3748"/>
      <c r="Q39" s="1350" t="str">
        <f t="shared" si="11"/>
        <v>层高</v>
      </c>
      <c r="R39" s="704" t="s">
        <v>14</v>
      </c>
      <c r="S39" s="705">
        <f t="shared" si="12"/>
        <v>100</v>
      </c>
      <c r="T39" s="704" t="s">
        <v>14</v>
      </c>
      <c r="U39" s="705">
        <f t="shared" si="13"/>
        <v>100</v>
      </c>
      <c r="V39" s="704" t="s">
        <v>14</v>
      </c>
      <c r="W39" s="705">
        <f t="shared" si="14"/>
        <v>100</v>
      </c>
      <c r="X39" s="1353"/>
      <c r="Y39" s="3750"/>
      <c r="Z39" s="1354" t="str">
        <f t="shared" si="15"/>
        <v>层高</v>
      </c>
      <c r="AA39" s="1351">
        <f t="shared" si="3"/>
        <v>1</v>
      </c>
      <c r="AB39" s="1351">
        <f t="shared" si="4"/>
        <v>1</v>
      </c>
      <c r="AC39" s="1351">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19"/>
      <c r="M40" s="2713"/>
      <c r="N40" s="2713"/>
      <c r="O40" s="2713"/>
      <c r="P40" s="3748"/>
      <c r="Q40" s="1350" t="str">
        <f t="shared" si="11"/>
        <v>单套建筑面积</v>
      </c>
      <c r="R40" s="704" t="s">
        <v>14</v>
      </c>
      <c r="S40" s="705">
        <f t="shared" si="12"/>
        <v>100</v>
      </c>
      <c r="T40" s="704" t="s">
        <v>14</v>
      </c>
      <c r="U40" s="705">
        <f t="shared" si="13"/>
        <v>100</v>
      </c>
      <c r="V40" s="704" t="s">
        <v>14</v>
      </c>
      <c r="W40" s="705">
        <f t="shared" si="14"/>
        <v>100</v>
      </c>
      <c r="X40" s="1353"/>
      <c r="Y40" s="3750"/>
      <c r="Z40" s="1354" t="str">
        <f t="shared" si="15"/>
        <v>单套建筑面积</v>
      </c>
      <c r="AA40" s="1351">
        <f t="shared" si="3"/>
        <v>1</v>
      </c>
      <c r="AB40" s="1351">
        <f t="shared" si="4"/>
        <v>1</v>
      </c>
      <c r="AC40" s="1351">
        <f t="shared" si="5"/>
        <v>1</v>
      </c>
    </row>
    <row r="41" spans="1:29" s="422" customFormat="1" ht="15">
      <c r="A41" s="419"/>
      <c r="B41" s="1352"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18"/>
      <c r="M41" s="2720"/>
      <c r="N41" s="2720"/>
      <c r="O41" s="2720"/>
      <c r="P41" s="3748"/>
      <c r="Q41" s="706" t="str">
        <f t="shared" si="11"/>
        <v>进深比</v>
      </c>
      <c r="R41" s="707" t="s">
        <v>14</v>
      </c>
      <c r="S41" s="708">
        <f t="shared" si="12"/>
        <v>100</v>
      </c>
      <c r="T41" s="707" t="s">
        <v>14</v>
      </c>
      <c r="U41" s="708">
        <f t="shared" si="13"/>
        <v>100</v>
      </c>
      <c r="V41" s="707" t="s">
        <v>14</v>
      </c>
      <c r="W41" s="708">
        <f t="shared" si="14"/>
        <v>100</v>
      </c>
      <c r="X41" s="709"/>
      <c r="Y41" s="3750"/>
      <c r="Z41" s="710" t="str">
        <f t="shared" si="15"/>
        <v>进深比</v>
      </c>
      <c r="AA41" s="1351">
        <f t="shared" si="3"/>
        <v>1</v>
      </c>
      <c r="AB41" s="1351">
        <f t="shared" si="4"/>
        <v>1</v>
      </c>
      <c r="AC41" s="1351">
        <f t="shared" si="5"/>
        <v>1</v>
      </c>
    </row>
    <row r="42" spans="1:29" ht="15">
      <c r="A42" s="423"/>
      <c r="B42" s="375" t="s">
        <v>1792</v>
      </c>
      <c r="C42" s="1904"/>
      <c r="D42" s="386">
        <v>100</v>
      </c>
      <c r="E42" s="1904"/>
      <c r="F42" s="412">
        <f>SUMIF(122:122,E42,123:123)-SUMIF(122:122,C42,123:123)+100</f>
        <v>100</v>
      </c>
      <c r="G42" s="1904"/>
      <c r="H42" s="386">
        <f>SUMIF(122:122,G42,123:123)-SUMIF(122:122,C42,123:123)+100</f>
        <v>100</v>
      </c>
      <c r="I42" s="1904"/>
      <c r="J42" s="386">
        <f>SUMIF(122:122,I42,123:123)-SUMIF(122:122,C42,123:123)+100</f>
        <v>100</v>
      </c>
      <c r="K42" s="561"/>
      <c r="L42" s="2719"/>
      <c r="M42" s="2713"/>
      <c r="N42" s="2713"/>
      <c r="O42" s="2713"/>
      <c r="P42" s="3748"/>
      <c r="Q42" s="1350" t="str">
        <f t="shared" si="11"/>
        <v>内部装修</v>
      </c>
      <c r="R42" s="704" t="s">
        <v>14</v>
      </c>
      <c r="S42" s="705">
        <f t="shared" si="12"/>
        <v>100</v>
      </c>
      <c r="T42" s="704" t="s">
        <v>14</v>
      </c>
      <c r="U42" s="705">
        <f t="shared" si="13"/>
        <v>100</v>
      </c>
      <c r="V42" s="704" t="s">
        <v>14</v>
      </c>
      <c r="W42" s="705">
        <f t="shared" si="14"/>
        <v>100</v>
      </c>
      <c r="X42" s="1353"/>
      <c r="Y42" s="3750"/>
      <c r="Z42" s="1354" t="str">
        <f t="shared" si="15"/>
        <v>内部装修</v>
      </c>
      <c r="AA42" s="1351">
        <f t="shared" si="3"/>
        <v>1</v>
      </c>
      <c r="AB42" s="1351">
        <f t="shared" si="4"/>
        <v>1</v>
      </c>
      <c r="AC42" s="1351">
        <f t="shared" si="5"/>
        <v>1</v>
      </c>
    </row>
    <row r="43" spans="1:29" ht="15">
      <c r="A43" s="423"/>
      <c r="B43" s="375" t="s">
        <v>1707</v>
      </c>
      <c r="C43" s="1904"/>
      <c r="D43" s="386">
        <v>100</v>
      </c>
      <c r="E43" s="1904"/>
      <c r="F43" s="412">
        <f>SUMIF(124:124,E43,125:125)-SUMIF(124:124,C43,125:125)+100</f>
        <v>100</v>
      </c>
      <c r="G43" s="1904"/>
      <c r="H43" s="386">
        <f>SUMIF(124:124,G43,125:125)-SUMIF(124:124,C43,125:125)+100</f>
        <v>100</v>
      </c>
      <c r="I43" s="1904"/>
      <c r="J43" s="386">
        <f>SUMIF(124:124,I43,125:125)-SUMIF(124:124,C43,125:125)+100</f>
        <v>100</v>
      </c>
      <c r="K43" s="561"/>
      <c r="L43" s="2719"/>
      <c r="M43" s="2713"/>
      <c r="N43" s="2713"/>
      <c r="O43" s="2713"/>
      <c r="P43" s="3748"/>
      <c r="Q43" s="1350" t="str">
        <f t="shared" si="11"/>
        <v>内部装修维护情况</v>
      </c>
      <c r="R43" s="704" t="s">
        <v>14</v>
      </c>
      <c r="S43" s="705">
        <f t="shared" si="12"/>
        <v>100</v>
      </c>
      <c r="T43" s="704" t="s">
        <v>14</v>
      </c>
      <c r="U43" s="705">
        <f t="shared" si="13"/>
        <v>100</v>
      </c>
      <c r="V43" s="704" t="s">
        <v>14</v>
      </c>
      <c r="W43" s="705">
        <f t="shared" si="14"/>
        <v>100</v>
      </c>
      <c r="X43" s="1353"/>
      <c r="Y43" s="3750"/>
      <c r="Z43" s="1354" t="str">
        <f t="shared" si="15"/>
        <v>内部装修维护情况</v>
      </c>
      <c r="AA43" s="1351">
        <f t="shared" si="3"/>
        <v>1</v>
      </c>
      <c r="AB43" s="1351">
        <f t="shared" si="4"/>
        <v>1</v>
      </c>
      <c r="AC43" s="1351">
        <f t="shared" si="5"/>
        <v>1</v>
      </c>
    </row>
    <row r="44" spans="1:29" s="108" customFormat="1" ht="15">
      <c r="A44" s="424"/>
      <c r="B44" s="1132">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4"/>
      <c r="M44" s="2715"/>
      <c r="N44" s="2715"/>
      <c r="O44" s="2715"/>
      <c r="P44" s="3748"/>
      <c r="Q44" s="1341">
        <f t="shared" si="11"/>
        <v>111</v>
      </c>
      <c r="R44" s="700" t="s">
        <v>14</v>
      </c>
      <c r="S44" s="701">
        <f t="shared" si="12"/>
        <v>100</v>
      </c>
      <c r="T44" s="700" t="s">
        <v>14</v>
      </c>
      <c r="U44" s="701">
        <f t="shared" si="13"/>
        <v>100</v>
      </c>
      <c r="V44" s="700" t="s">
        <v>14</v>
      </c>
      <c r="W44" s="701">
        <f t="shared" si="14"/>
        <v>100</v>
      </c>
      <c r="X44" s="702"/>
      <c r="Y44" s="3750"/>
      <c r="Z44" s="52">
        <f t="shared" si="15"/>
        <v>111</v>
      </c>
      <c r="AA44" s="703">
        <f t="shared" si="3"/>
        <v>1</v>
      </c>
      <c r="AB44" s="703">
        <f t="shared" si="4"/>
        <v>1</v>
      </c>
      <c r="AC44" s="703">
        <f t="shared" si="5"/>
        <v>1</v>
      </c>
    </row>
    <row r="45" spans="1:29" ht="15">
      <c r="A45" s="423"/>
      <c r="B45" s="1132">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19"/>
      <c r="M45" s="2713"/>
      <c r="N45" s="2713"/>
      <c r="O45" s="2713"/>
      <c r="P45" s="3748"/>
      <c r="Q45" s="1350">
        <f t="shared" si="11"/>
        <v>111</v>
      </c>
      <c r="R45" s="704" t="s">
        <v>14</v>
      </c>
      <c r="S45" s="705">
        <f t="shared" si="12"/>
        <v>100</v>
      </c>
      <c r="T45" s="704" t="s">
        <v>14</v>
      </c>
      <c r="U45" s="705">
        <f t="shared" si="13"/>
        <v>100</v>
      </c>
      <c r="V45" s="704" t="s">
        <v>14</v>
      </c>
      <c r="W45" s="705">
        <f t="shared" si="14"/>
        <v>100</v>
      </c>
      <c r="X45" s="1353"/>
      <c r="Y45" s="3750"/>
      <c r="Z45" s="1354">
        <f t="shared" si="15"/>
        <v>111</v>
      </c>
      <c r="AA45" s="1351">
        <f t="shared" si="3"/>
        <v>1</v>
      </c>
      <c r="AB45" s="1351">
        <f t="shared" si="4"/>
        <v>1</v>
      </c>
      <c r="AC45" s="1351">
        <f t="shared" si="5"/>
        <v>1</v>
      </c>
    </row>
    <row r="46" spans="1:29" ht="15.75" thickBot="1">
      <c r="A46" s="429"/>
      <c r="B46" s="1893">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19"/>
      <c r="M46" s="2713"/>
      <c r="N46" s="2713"/>
      <c r="O46" s="2713"/>
      <c r="P46" s="3749"/>
      <c r="Q46" s="1350">
        <f t="shared" si="11"/>
        <v>111</v>
      </c>
      <c r="R46" s="704" t="s">
        <v>14</v>
      </c>
      <c r="S46" s="705">
        <f t="shared" si="12"/>
        <v>100</v>
      </c>
      <c r="T46" s="704" t="s">
        <v>14</v>
      </c>
      <c r="U46" s="705">
        <f t="shared" si="13"/>
        <v>100</v>
      </c>
      <c r="V46" s="704" t="s">
        <v>14</v>
      </c>
      <c r="W46" s="705">
        <f t="shared" si="14"/>
        <v>100</v>
      </c>
      <c r="X46" s="1353"/>
      <c r="Y46" s="3751"/>
      <c r="Z46" s="1354">
        <f t="shared" si="15"/>
        <v>111</v>
      </c>
      <c r="AA46" s="1351">
        <f t="shared" si="3"/>
        <v>1</v>
      </c>
      <c r="AB46" s="1351">
        <f t="shared" si="4"/>
        <v>1</v>
      </c>
      <c r="AC46" s="1351">
        <f t="shared" si="5"/>
        <v>1</v>
      </c>
    </row>
    <row r="47" spans="1:29" ht="15">
      <c r="A47" s="430" t="s">
        <v>1708</v>
      </c>
      <c r="B47" s="431"/>
      <c r="C47" s="1153" t="s">
        <v>0</v>
      </c>
      <c r="D47" s="1154"/>
      <c r="E47" s="1155">
        <v>28400</v>
      </c>
      <c r="F47" s="1156"/>
      <c r="G47" s="1157">
        <v>28000</v>
      </c>
      <c r="H47" s="1158"/>
      <c r="I47" s="1155">
        <v>28750</v>
      </c>
      <c r="J47" s="1158"/>
      <c r="K47" s="713"/>
      <c r="L47" s="2721"/>
      <c r="M47" s="2722"/>
      <c r="N47" s="2713"/>
      <c r="O47" s="2722"/>
      <c r="P47" s="3752" t="str">
        <f>A47</f>
        <v>成交单价（元/平方米）</v>
      </c>
      <c r="Q47" s="3752"/>
      <c r="R47" s="3713">
        <f>E47</f>
        <v>28400</v>
      </c>
      <c r="S47" s="3713"/>
      <c r="T47" s="3713">
        <f>G47</f>
        <v>28000</v>
      </c>
      <c r="U47" s="3713"/>
      <c r="V47" s="3713">
        <f>I47</f>
        <v>28750</v>
      </c>
      <c r="W47" s="3713"/>
      <c r="X47" s="689"/>
      <c r="Y47" s="711"/>
      <c r="Z47" s="689"/>
      <c r="AA47" s="689"/>
      <c r="AB47" s="689"/>
      <c r="AC47" s="689"/>
    </row>
    <row r="48" spans="1:29" ht="15.75" thickBot="1">
      <c r="A48" s="437" t="s">
        <v>1793</v>
      </c>
      <c r="B48" s="438"/>
      <c r="C48" s="1159">
        <f>R49</f>
        <v>22640</v>
      </c>
      <c r="D48" s="2314" t="s">
        <v>2136</v>
      </c>
      <c r="E48" s="1160">
        <f>R48</f>
        <v>22666</v>
      </c>
      <c r="F48" s="2315"/>
      <c r="G48" s="1159">
        <f>T48</f>
        <v>22346</v>
      </c>
      <c r="H48" s="2315"/>
      <c r="I48" s="1160">
        <f>V48</f>
        <v>22907</v>
      </c>
      <c r="J48" s="2315"/>
      <c r="K48" s="2317">
        <f>F48+H48+J48</f>
        <v>0</v>
      </c>
      <c r="L48" s="2721"/>
      <c r="M48" s="2722"/>
      <c r="N48" s="2713"/>
      <c r="O48" s="2722"/>
      <c r="P48" s="3752" t="str">
        <f>A48</f>
        <v>比较价值（元/平方米）</v>
      </c>
      <c r="Q48" s="3752"/>
      <c r="R48" s="3753">
        <f>IF(F1="售价",ROUND(PRODUCT(R47,AA7:AA46),0),ROUND(PRODUCT(R47,AA7:AA46),1))</f>
        <v>22666</v>
      </c>
      <c r="S48" s="3753"/>
      <c r="T48" s="3753">
        <f>IF(F1="售价",ROUND(PRODUCT(T47,AB7:AB46),0),ROUND(PRODUCT(T47,AB7:AB46),1))</f>
        <v>22346</v>
      </c>
      <c r="U48" s="3753"/>
      <c r="V48" s="3753">
        <f>IF(F1="售价",ROUND(PRODUCT(V47,AC7:AC46),0),ROUND(PRODUCT(V47,AC7:AC46),1))</f>
        <v>22907</v>
      </c>
      <c r="W48" s="3753"/>
      <c r="X48" s="689"/>
      <c r="Y48" s="689"/>
      <c r="Z48" s="689"/>
      <c r="AA48" s="689"/>
      <c r="AB48" s="689"/>
      <c r="AC48" s="689"/>
    </row>
    <row r="49" spans="1:32" ht="15.75" thickBot="1">
      <c r="A49" s="441" t="s">
        <v>1794</v>
      </c>
      <c r="B49" s="442"/>
      <c r="C49" s="1162">
        <f>R49</f>
        <v>22640</v>
      </c>
      <c r="D49" s="1162"/>
      <c r="E49" s="1162"/>
      <c r="F49" s="1162"/>
      <c r="G49" s="1162"/>
      <c r="H49" s="1162"/>
      <c r="I49" s="1162"/>
      <c r="J49" s="1162"/>
      <c r="K49" s="714"/>
      <c r="L49" s="2721"/>
      <c r="M49" s="2722"/>
      <c r="N49" s="2713"/>
      <c r="O49" s="2722"/>
      <c r="P49" s="3754" t="str">
        <f>A49</f>
        <v>估价对象XX用房的比较价值（楼面单价，元/平方米）</v>
      </c>
      <c r="Q49" s="3755"/>
      <c r="R49" s="3756">
        <f>IF(F1="售价",ROUND(IF(D48="简单平均",AVERAGE(R48:V48),R48*F48+T48*H48+V48*J48),0),ROUND(IF(D48="简单平均",AVERAGE(R48:V48),R48*F48+T48*H48+V48*J48),1))</f>
        <v>22640</v>
      </c>
      <c r="S49" s="3756"/>
      <c r="T49" s="3756"/>
      <c r="U49" s="3756"/>
      <c r="V49" s="3756"/>
      <c r="W49" s="3756"/>
      <c r="X49" s="689"/>
      <c r="Y49" s="689"/>
      <c r="Z49" s="689"/>
      <c r="AA49" s="689"/>
      <c r="AB49" s="689"/>
      <c r="AC49" s="689"/>
    </row>
    <row r="50" spans="1:32">
      <c r="A50" s="2722"/>
      <c r="B50" s="2722"/>
      <c r="C50" s="2722"/>
      <c r="D50" s="2722"/>
      <c r="E50" s="2722"/>
      <c r="F50" s="2722"/>
      <c r="G50" s="3496"/>
      <c r="H50" s="2722"/>
      <c r="I50" s="2722"/>
      <c r="J50" s="2722"/>
      <c r="K50" s="2727"/>
      <c r="L50" s="2723"/>
      <c r="M50" s="2722"/>
      <c r="N50" s="2722"/>
      <c r="O50" s="2722"/>
      <c r="P50" s="2733"/>
      <c r="Q50" s="2722"/>
      <c r="R50" s="2722"/>
      <c r="S50" s="2722"/>
      <c r="T50" s="2722"/>
      <c r="U50" s="2722"/>
      <c r="V50" s="2722"/>
      <c r="W50" s="2722"/>
      <c r="X50" s="2722"/>
      <c r="Y50" s="2722"/>
      <c r="Z50" s="2722"/>
      <c r="AA50" s="2722"/>
      <c r="AB50" s="2722"/>
      <c r="AC50" s="2722"/>
    </row>
    <row r="51" spans="1:32">
      <c r="A51" s="2722"/>
      <c r="B51" s="2722"/>
      <c r="C51" s="2722"/>
      <c r="D51" s="2722"/>
      <c r="E51" s="2722"/>
      <c r="F51" s="2722"/>
      <c r="G51" s="2722"/>
      <c r="H51" s="2722"/>
      <c r="I51" s="2722"/>
      <c r="J51" s="2722"/>
      <c r="K51" s="2727"/>
      <c r="L51" s="2723"/>
      <c r="M51" s="2722"/>
      <c r="N51" s="2722"/>
      <c r="O51" s="2722"/>
      <c r="P51" s="2733"/>
      <c r="Q51" s="2722"/>
      <c r="R51" s="2722"/>
      <c r="S51" s="2722"/>
      <c r="T51" s="2722"/>
      <c r="U51" s="2722"/>
      <c r="V51" s="2722"/>
      <c r="W51" s="2722"/>
      <c r="X51" s="2722"/>
      <c r="Y51" s="2722"/>
      <c r="Z51" s="2722"/>
      <c r="AA51" s="2722"/>
      <c r="AB51" s="2722"/>
      <c r="AC51" s="2722"/>
    </row>
    <row r="52" spans="1:32" ht="13.5" customHeight="1">
      <c r="A52" s="2722"/>
      <c r="B52" s="2722"/>
      <c r="C52" s="446" t="s">
        <v>1795</v>
      </c>
      <c r="D52" s="447"/>
      <c r="E52" s="448">
        <f>IF(E47&lt;E48,E48/E47-1,E47/E48-1)</f>
        <v>0.25297802876555187</v>
      </c>
      <c r="F52" s="449" t="str">
        <f>IF(OR(E52&gt;=0.3,E52&lt;=-0.3),"超过30%","")</f>
        <v/>
      </c>
      <c r="G52" s="448">
        <f>IF(G47&lt;G48,G48/G47-1,G47/G48-1)</f>
        <v>0.25302067484113477</v>
      </c>
      <c r="H52" s="449" t="str">
        <f>IF(OR(G52&gt;=0.3,G52&lt;=-0.3),"超过30%","")</f>
        <v/>
      </c>
      <c r="I52" s="448">
        <f>IF(I47&lt;I48,I48/I47-1,I47/I48-1)</f>
        <v>0.25507486794429646</v>
      </c>
      <c r="J52" s="449" t="str">
        <f>IF(OR(I52&gt;=0.3,I52&lt;=-0.3),"超过30%","")</f>
        <v/>
      </c>
      <c r="K52" s="2727"/>
      <c r="L52" s="2723"/>
      <c r="M52" s="2722"/>
      <c r="N52" s="2722"/>
      <c r="O52" s="2722"/>
      <c r="P52" s="2733"/>
      <c r="Q52" s="2722"/>
      <c r="R52" s="2722"/>
      <c r="S52" s="2722"/>
      <c r="T52" s="2722"/>
      <c r="U52" s="2722"/>
      <c r="V52" s="2722"/>
      <c r="W52" s="2722"/>
      <c r="X52" s="2722"/>
      <c r="Y52" s="2722"/>
      <c r="Z52" s="2722"/>
      <c r="AA52" s="2722"/>
      <c r="AB52" s="2722"/>
      <c r="AC52" s="2722"/>
    </row>
    <row r="53" spans="1:32" ht="13.5" customHeight="1">
      <c r="A53" s="2722"/>
      <c r="B53" s="2722"/>
      <c r="C53" s="446" t="s">
        <v>1796</v>
      </c>
      <c r="D53" s="450"/>
      <c r="E53" s="448">
        <f>IF(E48&lt;G48,G48/E48-1,E48/G48-1)</f>
        <v>1.432023628389878E-2</v>
      </c>
      <c r="F53" s="449" t="str">
        <f>IF(OR(E53&gt;=0.2,E53&lt;=-0.2),"超过20%","")</f>
        <v/>
      </c>
      <c r="G53" s="448">
        <f>IF(G48&lt;I48,I48/G48-1,G48/I48-1)</f>
        <v>2.5105164235209809E-2</v>
      </c>
      <c r="H53" s="449" t="str">
        <f>IF(OR(G53&gt;=0.2,G53&lt;=-0.2),"超过20%","")</f>
        <v/>
      </c>
      <c r="I53" s="448">
        <f>IF(I48&lt;E48,E48/I48-1,I48/E48-1)</f>
        <v>1.0632665666637342E-2</v>
      </c>
      <c r="J53" s="449" t="str">
        <f>IF(OR(I53&gt;=0.2,I53&lt;=-0.2),"超过20%","")</f>
        <v/>
      </c>
      <c r="K53" s="2727"/>
      <c r="L53" s="2723"/>
      <c r="M53" s="2722"/>
      <c r="N53" s="2722"/>
      <c r="O53" s="2722"/>
      <c r="P53" s="2733"/>
      <c r="Q53" s="2722"/>
      <c r="R53" s="2722"/>
      <c r="S53" s="2722"/>
      <c r="T53" s="2722"/>
      <c r="U53" s="2722"/>
      <c r="V53" s="2722"/>
      <c r="W53" s="2722"/>
      <c r="X53" s="2722"/>
      <c r="Y53" s="2722"/>
      <c r="Z53" s="2722"/>
      <c r="AA53" s="2722"/>
      <c r="AB53" s="2722"/>
      <c r="AC53" s="2722"/>
    </row>
    <row r="54" spans="1:32" s="451" customFormat="1" ht="13.5" customHeight="1">
      <c r="A54" s="2725"/>
      <c r="B54" s="2725"/>
      <c r="C54" s="446" t="s">
        <v>1797</v>
      </c>
      <c r="D54" s="450"/>
      <c r="E54" s="448">
        <f>IF(E47&lt;G47,G47/E47-1,E47/G47-1)</f>
        <v>1.4285714285714235E-2</v>
      </c>
      <c r="F54" s="449" t="str">
        <f>IF(OR(E54&gt;=0.3,E54&lt;=-0.3),"超过30%","")</f>
        <v/>
      </c>
      <c r="G54" s="448">
        <f>IF(G47&lt;I47,I47/G47-1,G47/I47-1)</f>
        <v>2.6785714285714191E-2</v>
      </c>
      <c r="H54" s="449" t="str">
        <f>IF(OR(G54&gt;=0.3,G54&lt;=-0.3),"超过30%","")</f>
        <v/>
      </c>
      <c r="I54" s="448">
        <f>IF(I47&lt;E47,E47/I47-1,I47/E47-1)</f>
        <v>1.2323943661971759E-2</v>
      </c>
      <c r="J54" s="449" t="str">
        <f>IF(OR(I54&gt;=0.3,I54&lt;=-0.3),"超过30%","")</f>
        <v/>
      </c>
      <c r="K54" s="2730"/>
      <c r="L54" s="2724"/>
      <c r="M54" s="2725"/>
      <c r="N54" s="2725"/>
      <c r="O54" s="2725"/>
      <c r="P54" s="2734"/>
      <c r="Q54" s="2725"/>
      <c r="R54" s="2725"/>
      <c r="S54" s="2725"/>
      <c r="T54" s="2725"/>
      <c r="U54" s="2725"/>
      <c r="V54" s="2725"/>
      <c r="W54" s="2725"/>
      <c r="X54" s="2725"/>
      <c r="Y54" s="2725"/>
      <c r="Z54" s="2725"/>
      <c r="AA54" s="2725"/>
      <c r="AB54" s="2725"/>
      <c r="AC54" s="2725"/>
    </row>
    <row r="55" spans="1:32" s="451" customFormat="1">
      <c r="A55" s="2725"/>
      <c r="B55" s="2728"/>
      <c r="C55" s="2729"/>
      <c r="D55" s="2725"/>
      <c r="E55" s="2725"/>
      <c r="F55" s="2725"/>
      <c r="G55" s="2725"/>
      <c r="H55" s="2725"/>
      <c r="I55" s="2725"/>
      <c r="J55" s="2725"/>
      <c r="K55" s="2730"/>
      <c r="L55" s="2724"/>
      <c r="M55" s="2725"/>
      <c r="N55" s="2725"/>
      <c r="O55" s="2725"/>
      <c r="P55" s="2734"/>
      <c r="Q55" s="2725"/>
      <c r="R55" s="2725"/>
      <c r="S55" s="2725"/>
      <c r="T55" s="2725"/>
      <c r="U55" s="2725"/>
      <c r="V55" s="2725"/>
      <c r="W55" s="2725"/>
      <c r="X55" s="2725"/>
      <c r="Y55" s="2725"/>
      <c r="Z55" s="2725"/>
      <c r="AA55" s="2725"/>
      <c r="AB55" s="2725"/>
      <c r="AC55" s="2725"/>
    </row>
    <row r="56" spans="1:32">
      <c r="A56" s="2722"/>
      <c r="B56" s="2728"/>
      <c r="C56" s="2729"/>
      <c r="D56" s="2722"/>
      <c r="E56" s="2722"/>
      <c r="F56" s="2722"/>
      <c r="G56" s="2722"/>
      <c r="H56" s="2722"/>
      <c r="I56" s="2722"/>
      <c r="J56" s="2722"/>
      <c r="K56" s="2727"/>
      <c r="L56" s="2723"/>
      <c r="M56" s="2722"/>
      <c r="N56" s="2722"/>
      <c r="O56" s="2722"/>
      <c r="P56" s="2733"/>
      <c r="Q56" s="2722"/>
      <c r="R56" s="2722"/>
      <c r="S56" s="2722"/>
      <c r="T56" s="2722"/>
      <c r="U56" s="2722"/>
      <c r="V56" s="2722"/>
      <c r="W56" s="2722"/>
      <c r="X56" s="2722"/>
      <c r="Y56" s="2722"/>
      <c r="Z56" s="2722"/>
      <c r="AA56" s="2722"/>
      <c r="AB56" s="2722"/>
      <c r="AC56" s="2722"/>
    </row>
    <row r="57" spans="1:32" ht="21.75" thickBot="1">
      <c r="A57" s="693" t="s">
        <v>1798</v>
      </c>
      <c r="B57" s="689"/>
      <c r="C57" s="694"/>
      <c r="D57" s="694"/>
      <c r="E57" s="694"/>
      <c r="F57" s="695"/>
      <c r="G57" s="695"/>
      <c r="H57" s="694"/>
      <c r="I57" s="694"/>
      <c r="J57" s="694"/>
      <c r="K57" s="696"/>
      <c r="L57" s="941"/>
      <c r="M57" s="939"/>
      <c r="N57" s="939"/>
      <c r="O57" s="939"/>
      <c r="P57" s="2735"/>
      <c r="Q57" s="2736"/>
      <c r="R57" s="2722"/>
      <c r="S57" s="2722"/>
      <c r="T57" s="2722"/>
      <c r="U57" s="2722"/>
      <c r="V57" s="2722"/>
      <c r="W57" s="2722"/>
      <c r="X57" s="2722"/>
      <c r="Y57" s="2722"/>
      <c r="Z57" s="2722"/>
      <c r="AA57" s="2722"/>
      <c r="AB57" s="2722"/>
      <c r="AC57" s="2722"/>
    </row>
    <row r="58" spans="1:32" s="457" customFormat="1" ht="15">
      <c r="A58" s="454" t="s">
        <v>1679</v>
      </c>
      <c r="B58" s="455"/>
      <c r="C58" s="1182" t="str">
        <f>YEAR(C7)&amp;"-"&amp;MONTH(C7)</f>
        <v>2023-5</v>
      </c>
      <c r="D58" s="1183">
        <f>EDATE(C58,-1)</f>
        <v>45017</v>
      </c>
      <c r="E58" s="1183">
        <f t="shared" ref="E58:N58" si="16">EDATE(D58,-1)</f>
        <v>44986</v>
      </c>
      <c r="F58" s="1183">
        <f t="shared" si="16"/>
        <v>44958</v>
      </c>
      <c r="G58" s="1183">
        <f t="shared" si="16"/>
        <v>44927</v>
      </c>
      <c r="H58" s="1183">
        <f t="shared" si="16"/>
        <v>44896</v>
      </c>
      <c r="I58" s="1183">
        <f t="shared" si="16"/>
        <v>44866</v>
      </c>
      <c r="J58" s="1183">
        <f t="shared" si="16"/>
        <v>44835</v>
      </c>
      <c r="K58" s="1183">
        <f t="shared" si="16"/>
        <v>44805</v>
      </c>
      <c r="L58" s="1183">
        <f t="shared" si="16"/>
        <v>44774</v>
      </c>
      <c r="M58" s="1183">
        <f t="shared" si="16"/>
        <v>44743</v>
      </c>
      <c r="N58" s="1183">
        <f t="shared" si="16"/>
        <v>44713</v>
      </c>
      <c r="O58" s="1183">
        <f>EDATE(N58,-1)</f>
        <v>44682</v>
      </c>
      <c r="P58" s="3491">
        <f t="shared" ref="P58:Q58" si="17">EDATE(O58,-1)</f>
        <v>44652</v>
      </c>
      <c r="Q58" s="3491">
        <f t="shared" si="17"/>
        <v>44621</v>
      </c>
      <c r="R58" s="3491">
        <f t="shared" ref="R58:S58" si="18">EDATE(Q58,-1)</f>
        <v>44593</v>
      </c>
      <c r="S58" s="3491">
        <f t="shared" si="18"/>
        <v>44562</v>
      </c>
      <c r="T58" s="3491">
        <f t="shared" ref="T58:U58" si="19">EDATE(S58,-1)</f>
        <v>44531</v>
      </c>
      <c r="U58" s="3491">
        <f t="shared" si="19"/>
        <v>44501</v>
      </c>
      <c r="V58" s="3491">
        <f t="shared" ref="V58:W58" si="20">EDATE(U58,-1)</f>
        <v>44470</v>
      </c>
      <c r="W58" s="3491">
        <f t="shared" si="20"/>
        <v>44440</v>
      </c>
      <c r="X58" s="3491">
        <f t="shared" ref="X58:Y58" si="21">EDATE(W58,-1)</f>
        <v>44409</v>
      </c>
      <c r="Y58" s="3491">
        <f t="shared" si="21"/>
        <v>44378</v>
      </c>
      <c r="Z58" s="3491">
        <f t="shared" ref="Z58:AA58" si="22">EDATE(Y58,-1)</f>
        <v>44348</v>
      </c>
      <c r="AA58" s="3491">
        <f t="shared" si="22"/>
        <v>44317</v>
      </c>
      <c r="AB58" s="3491">
        <f t="shared" ref="AB58:AC58" si="23">EDATE(AA58,-1)</f>
        <v>44287</v>
      </c>
      <c r="AC58" s="3491">
        <f t="shared" si="23"/>
        <v>44256</v>
      </c>
      <c r="AD58" s="3491">
        <f t="shared" ref="AD58:AE58" si="24">EDATE(AC58,-1)</f>
        <v>44228</v>
      </c>
      <c r="AE58" s="3491">
        <f t="shared" si="24"/>
        <v>44197</v>
      </c>
      <c r="AF58" s="3491">
        <f t="shared" ref="AF58" si="25">EDATE(AE58,-1)</f>
        <v>44166</v>
      </c>
    </row>
    <row r="59" spans="1:32" s="108" customFormat="1" ht="15">
      <c r="A59" s="458"/>
      <c r="B59" s="459"/>
      <c r="C59" s="1181">
        <v>100</v>
      </c>
      <c r="D59" s="461">
        <v>100</v>
      </c>
      <c r="E59" s="461">
        <v>100</v>
      </c>
      <c r="F59" s="461">
        <v>100</v>
      </c>
      <c r="G59" s="461">
        <v>100</v>
      </c>
      <c r="H59" s="461">
        <v>100</v>
      </c>
      <c r="I59" s="461">
        <v>100</v>
      </c>
      <c r="J59" s="461">
        <v>100</v>
      </c>
      <c r="K59" s="461">
        <v>100</v>
      </c>
      <c r="L59" s="461">
        <v>100</v>
      </c>
      <c r="M59" s="462">
        <v>100</v>
      </c>
      <c r="N59" s="461">
        <v>100</v>
      </c>
      <c r="O59" s="462">
        <v>99</v>
      </c>
      <c r="P59" s="3492">
        <v>99</v>
      </c>
      <c r="Q59" s="2658">
        <v>99</v>
      </c>
      <c r="R59" s="2658">
        <v>99</v>
      </c>
      <c r="S59" s="2658">
        <v>99</v>
      </c>
      <c r="T59" s="2658">
        <v>99</v>
      </c>
      <c r="U59" s="2658">
        <v>99</v>
      </c>
      <c r="V59" s="2658">
        <v>99</v>
      </c>
      <c r="W59" s="2658">
        <v>99</v>
      </c>
      <c r="X59" s="2658">
        <v>99</v>
      </c>
      <c r="Y59" s="2658">
        <v>99</v>
      </c>
      <c r="Z59" s="2658">
        <v>99</v>
      </c>
      <c r="AA59" s="2658">
        <v>98</v>
      </c>
      <c r="AB59" s="2658">
        <v>98</v>
      </c>
      <c r="AC59" s="2658">
        <v>98</v>
      </c>
      <c r="AD59" s="108">
        <v>98</v>
      </c>
      <c r="AE59" s="108">
        <v>98</v>
      </c>
      <c r="AF59" s="108">
        <v>98</v>
      </c>
    </row>
    <row r="60" spans="1:32" s="108" customFormat="1" ht="15.75" thickBot="1">
      <c r="A60" s="464" t="s">
        <v>1716</v>
      </c>
      <c r="B60" s="465"/>
      <c r="C60" s="466"/>
      <c r="D60" s="467"/>
      <c r="E60" s="467"/>
      <c r="F60" s="467"/>
      <c r="G60" s="467"/>
      <c r="H60" s="467"/>
      <c r="I60" s="467"/>
      <c r="J60" s="467"/>
      <c r="K60" s="467"/>
      <c r="L60" s="467"/>
      <c r="M60" s="468"/>
      <c r="N60" s="467"/>
      <c r="O60" s="468"/>
      <c r="P60" s="2738"/>
      <c r="Q60" s="2736"/>
      <c r="R60" s="2658"/>
      <c r="S60" s="2658"/>
      <c r="T60" s="2658"/>
      <c r="U60" s="2658"/>
      <c r="V60" s="2658"/>
      <c r="W60" s="2658"/>
      <c r="X60" s="2658"/>
      <c r="Y60" s="2658"/>
      <c r="Z60" s="2658"/>
      <c r="AA60" s="2658"/>
      <c r="AB60" s="2658"/>
      <c r="AC60" s="2658"/>
    </row>
    <row r="61" spans="1:32" s="108" customFormat="1" ht="15">
      <c r="A61" s="470" t="s">
        <v>1681</v>
      </c>
      <c r="B61" s="459"/>
      <c r="C61" s="471" t="s">
        <v>1776</v>
      </c>
      <c r="D61" s="472"/>
      <c r="E61" s="472"/>
      <c r="F61" s="472"/>
      <c r="G61" s="472"/>
      <c r="H61" s="472"/>
      <c r="I61" s="472"/>
      <c r="J61" s="472"/>
      <c r="K61" s="472"/>
      <c r="L61" s="473"/>
      <c r="M61" s="474"/>
      <c r="N61" s="2748"/>
      <c r="O61" s="2748"/>
      <c r="P61" s="2739"/>
      <c r="Q61" s="2736"/>
      <c r="R61" s="2658"/>
      <c r="S61" s="2658"/>
      <c r="T61" s="2658"/>
      <c r="U61" s="2658"/>
      <c r="V61" s="2658"/>
      <c r="W61" s="2658"/>
      <c r="X61" s="2658"/>
      <c r="Y61" s="2658"/>
      <c r="Z61" s="2658"/>
      <c r="AA61" s="2658"/>
      <c r="AB61" s="2658"/>
      <c r="AC61" s="2658"/>
    </row>
    <row r="62" spans="1:32" s="108" customFormat="1" ht="15.75" thickBot="1">
      <c r="A62" s="470"/>
      <c r="B62" s="459"/>
      <c r="C62" s="460">
        <v>100</v>
      </c>
      <c r="D62" s="461"/>
      <c r="E62" s="461"/>
      <c r="F62" s="461"/>
      <c r="G62" s="461"/>
      <c r="H62" s="461"/>
      <c r="I62" s="461"/>
      <c r="J62" s="461"/>
      <c r="K62" s="461"/>
      <c r="L62" s="461"/>
      <c r="M62" s="463"/>
      <c r="N62" s="2748"/>
      <c r="O62" s="2748"/>
      <c r="P62" s="2738"/>
      <c r="Q62" s="2736"/>
      <c r="R62" s="2658"/>
      <c r="S62" s="2658"/>
      <c r="T62" s="2658"/>
      <c r="U62" s="2658"/>
      <c r="V62" s="2658"/>
      <c r="W62" s="2658"/>
      <c r="X62" s="2658"/>
      <c r="Y62" s="2658"/>
      <c r="Z62" s="2658"/>
      <c r="AA62" s="2658"/>
      <c r="AB62" s="2658"/>
      <c r="AC62" s="2658"/>
    </row>
    <row r="63" spans="1:32">
      <c r="A63" s="476" t="s">
        <v>1719</v>
      </c>
      <c r="B63" s="477" t="s">
        <v>1685</v>
      </c>
      <c r="C63" s="478" t="str">
        <f>C9</f>
        <v>商业</v>
      </c>
      <c r="D63" s="3495" t="s">
        <v>3494</v>
      </c>
      <c r="E63" s="479"/>
      <c r="F63" s="479"/>
      <c r="G63" s="479"/>
      <c r="H63" s="479"/>
      <c r="I63" s="479"/>
      <c r="J63" s="479"/>
      <c r="K63" s="480"/>
      <c r="L63" s="481"/>
      <c r="M63" s="482"/>
      <c r="N63" s="2749"/>
      <c r="O63" s="2749"/>
      <c r="P63" s="2740"/>
      <c r="Q63" s="2736"/>
      <c r="R63" s="2722"/>
      <c r="S63" s="2722"/>
      <c r="T63" s="2722"/>
      <c r="U63" s="2722"/>
      <c r="V63" s="2722"/>
      <c r="W63" s="2722"/>
      <c r="X63" s="2722"/>
      <c r="Y63" s="2722"/>
      <c r="Z63" s="2722"/>
      <c r="AA63" s="2722"/>
      <c r="AB63" s="2722"/>
      <c r="AC63" s="2722"/>
    </row>
    <row r="64" spans="1:32" ht="15.75" thickBot="1">
      <c r="A64" s="483"/>
      <c r="B64" s="484"/>
      <c r="C64" s="485">
        <v>100</v>
      </c>
      <c r="D64" s="485">
        <v>95</v>
      </c>
      <c r="E64" s="485"/>
      <c r="F64" s="485"/>
      <c r="G64" s="485"/>
      <c r="H64" s="485"/>
      <c r="I64" s="485"/>
      <c r="J64" s="485"/>
      <c r="K64" s="485"/>
      <c r="L64" s="485"/>
      <c r="M64" s="486"/>
      <c r="N64" s="2750"/>
      <c r="O64" s="2750"/>
      <c r="P64" s="2740"/>
      <c r="Q64" s="2736"/>
      <c r="R64" s="2722"/>
      <c r="S64" s="2722"/>
      <c r="T64" s="2722"/>
      <c r="U64" s="2722"/>
      <c r="V64" s="2722"/>
      <c r="W64" s="2722"/>
      <c r="X64" s="2722"/>
      <c r="Y64" s="2722"/>
      <c r="Z64" s="2722"/>
      <c r="AA64" s="2722"/>
      <c r="AB64" s="2722"/>
      <c r="AC64" s="2722"/>
    </row>
    <row r="65" spans="1:29" ht="27.75" thickTop="1">
      <c r="A65" s="483"/>
      <c r="B65" s="487" t="s">
        <v>1688</v>
      </c>
      <c r="C65" s="532" t="s">
        <v>3496</v>
      </c>
      <c r="D65" s="532" t="s">
        <v>3497</v>
      </c>
      <c r="E65" s="532" t="s">
        <v>3498</v>
      </c>
      <c r="F65" s="532" t="s">
        <v>3499</v>
      </c>
      <c r="G65" s="532" t="s">
        <v>3500</v>
      </c>
      <c r="H65" s="532" t="s">
        <v>3501</v>
      </c>
      <c r="I65" s="532" t="s">
        <v>3502</v>
      </c>
      <c r="J65" s="3498" t="s">
        <v>3503</v>
      </c>
      <c r="K65" s="3499" t="s">
        <v>3504</v>
      </c>
      <c r="L65" s="534"/>
      <c r="M65" s="535"/>
      <c r="N65" s="2749"/>
      <c r="O65" s="2749"/>
      <c r="P65" s="2740"/>
      <c r="Q65" s="2736"/>
      <c r="R65" s="2722"/>
      <c r="S65" s="2722"/>
      <c r="T65" s="2722"/>
      <c r="U65" s="2722"/>
      <c r="V65" s="2722"/>
      <c r="W65" s="2722"/>
      <c r="X65" s="2722"/>
      <c r="Y65" s="2722"/>
      <c r="Z65" s="2722"/>
      <c r="AA65" s="2722"/>
      <c r="AB65" s="2722"/>
      <c r="AC65" s="2722"/>
    </row>
    <row r="66" spans="1:29" ht="15.75" thickBot="1">
      <c r="A66" s="483"/>
      <c r="B66" s="492"/>
      <c r="C66" s="485">
        <v>100</v>
      </c>
      <c r="D66" s="485">
        <v>95</v>
      </c>
      <c r="E66" s="485">
        <v>90</v>
      </c>
      <c r="F66" s="485">
        <v>85</v>
      </c>
      <c r="G66" s="485">
        <v>80</v>
      </c>
      <c r="H66" s="485">
        <v>75</v>
      </c>
      <c r="I66" s="485">
        <v>70</v>
      </c>
      <c r="J66" s="485">
        <v>65</v>
      </c>
      <c r="K66" s="485">
        <v>60</v>
      </c>
      <c r="L66" s="485"/>
      <c r="M66" s="486"/>
      <c r="N66" s="2750"/>
      <c r="O66" s="2750"/>
      <c r="P66" s="2740"/>
      <c r="Q66" s="2736"/>
      <c r="R66" s="2722"/>
      <c r="S66" s="2722"/>
      <c r="T66" s="2722"/>
      <c r="U66" s="2722"/>
      <c r="V66" s="2722"/>
      <c r="W66" s="2722"/>
      <c r="X66" s="2722"/>
      <c r="Y66" s="2722"/>
      <c r="Z66" s="2722"/>
      <c r="AA66" s="2722"/>
      <c r="AB66" s="2722"/>
      <c r="AC66" s="2722"/>
    </row>
    <row r="67" spans="1:29" ht="15.75" thickTop="1">
      <c r="A67" s="483"/>
      <c r="B67" s="495" t="s">
        <v>1689</v>
      </c>
      <c r="C67" s="496" t="str">
        <f>C68&amp;"（含）"&amp;"-"&amp;D68</f>
        <v>0（含）-1</v>
      </c>
      <c r="D67" s="496" t="str">
        <f t="shared" ref="D67:L67" si="26">D68&amp;"（含）"&amp;"-"&amp;E68</f>
        <v>1（含）-2</v>
      </c>
      <c r="E67" s="496" t="str">
        <f t="shared" si="26"/>
        <v>2（含）-3</v>
      </c>
      <c r="F67" s="496" t="str">
        <f t="shared" si="26"/>
        <v>3（含）-4</v>
      </c>
      <c r="G67" s="496" t="str">
        <f t="shared" si="26"/>
        <v>4（含）-</v>
      </c>
      <c r="H67" s="496" t="str">
        <f t="shared" si="26"/>
        <v>（含）-</v>
      </c>
      <c r="I67" s="496" t="str">
        <f t="shared" si="26"/>
        <v>（含）-</v>
      </c>
      <c r="J67" s="496" t="str">
        <f t="shared" si="26"/>
        <v>（含）-</v>
      </c>
      <c r="K67" s="496" t="str">
        <f t="shared" si="26"/>
        <v>（含）-</v>
      </c>
      <c r="L67" s="496" t="str">
        <f t="shared" si="26"/>
        <v>（含）-</v>
      </c>
      <c r="M67" s="399" t="str">
        <f>M68&amp;"（含）"&amp;"-"&amp;P68</f>
        <v>（含）-</v>
      </c>
      <c r="N67" s="2750"/>
      <c r="O67" s="2750"/>
      <c r="P67" s="2740"/>
      <c r="Q67" s="2736"/>
      <c r="R67" s="2722"/>
      <c r="S67" s="2722"/>
      <c r="T67" s="2722"/>
      <c r="U67" s="2722"/>
      <c r="V67" s="2722"/>
      <c r="W67" s="2722"/>
      <c r="X67" s="2722"/>
      <c r="Y67" s="2722"/>
      <c r="Z67" s="2722"/>
      <c r="AA67" s="2722"/>
      <c r="AB67" s="2722"/>
      <c r="AC67" s="2722"/>
    </row>
    <row r="68" spans="1:29" ht="15">
      <c r="A68" s="483"/>
      <c r="B68" s="497"/>
      <c r="C68" s="498">
        <v>0</v>
      </c>
      <c r="D68" s="498">
        <v>1</v>
      </c>
      <c r="E68" s="498">
        <v>2</v>
      </c>
      <c r="F68" s="498">
        <v>3</v>
      </c>
      <c r="G68" s="498">
        <v>4</v>
      </c>
      <c r="H68" s="498"/>
      <c r="I68" s="498"/>
      <c r="J68" s="498"/>
      <c r="K68" s="499"/>
      <c r="L68" s="500"/>
      <c r="M68" s="501"/>
      <c r="N68" s="2749"/>
      <c r="O68" s="2749"/>
      <c r="P68" s="2740"/>
      <c r="Q68" s="2736"/>
      <c r="R68" s="2722"/>
      <c r="S68" s="2722"/>
      <c r="T68" s="2722"/>
      <c r="U68" s="2722"/>
      <c r="V68" s="2722"/>
      <c r="W68" s="2722"/>
      <c r="X68" s="2722"/>
      <c r="Y68" s="2722"/>
      <c r="Z68" s="2722"/>
      <c r="AA68" s="2722"/>
      <c r="AB68" s="2722"/>
      <c r="AC68" s="2722"/>
    </row>
    <row r="69" spans="1:29" ht="15.75" thickBot="1">
      <c r="A69" s="483"/>
      <c r="B69" s="484"/>
      <c r="C69" s="493">
        <v>100</v>
      </c>
      <c r="D69" s="493">
        <f t="shared" ref="D69:M69" si="27">C69-$K11</f>
        <v>100</v>
      </c>
      <c r="E69" s="493">
        <f t="shared" si="27"/>
        <v>100</v>
      </c>
      <c r="F69" s="493">
        <f t="shared" si="27"/>
        <v>100</v>
      </c>
      <c r="G69" s="493">
        <f t="shared" si="27"/>
        <v>100</v>
      </c>
      <c r="H69" s="493">
        <f t="shared" si="27"/>
        <v>100</v>
      </c>
      <c r="I69" s="493">
        <f t="shared" si="27"/>
        <v>100</v>
      </c>
      <c r="J69" s="493">
        <f t="shared" si="27"/>
        <v>100</v>
      </c>
      <c r="K69" s="493">
        <f t="shared" si="27"/>
        <v>100</v>
      </c>
      <c r="L69" s="493">
        <f t="shared" si="27"/>
        <v>100</v>
      </c>
      <c r="M69" s="494">
        <f t="shared" si="27"/>
        <v>100</v>
      </c>
      <c r="N69" s="2750"/>
      <c r="O69" s="2750"/>
      <c r="P69" s="2740"/>
      <c r="Q69" s="2736"/>
      <c r="R69" s="2722"/>
      <c r="S69" s="2722"/>
      <c r="T69" s="2722"/>
      <c r="U69" s="2722"/>
      <c r="V69" s="2722"/>
      <c r="W69" s="2722"/>
      <c r="X69" s="2722"/>
      <c r="Y69" s="2722"/>
      <c r="Z69" s="2722"/>
      <c r="AA69" s="2722"/>
      <c r="AB69" s="2722"/>
      <c r="AC69" s="2722"/>
    </row>
    <row r="70" spans="1:29" s="422" customFormat="1" ht="15.75" thickTop="1">
      <c r="A70" s="502"/>
      <c r="B70" s="487">
        <f>B12</f>
        <v>111</v>
      </c>
      <c r="C70" s="503"/>
      <c r="D70" s="503"/>
      <c r="E70" s="503"/>
      <c r="F70" s="503"/>
      <c r="G70" s="503"/>
      <c r="H70" s="504"/>
      <c r="I70" s="504"/>
      <c r="J70" s="504"/>
      <c r="K70" s="504"/>
      <c r="L70" s="505"/>
      <c r="M70" s="506"/>
      <c r="N70" s="2751"/>
      <c r="O70" s="2751"/>
      <c r="P70" s="2741"/>
      <c r="Q70" s="2742"/>
      <c r="R70" s="2743"/>
      <c r="S70" s="2743"/>
      <c r="T70" s="2743"/>
      <c r="U70" s="2743"/>
      <c r="V70" s="2743"/>
      <c r="W70" s="2743"/>
      <c r="X70" s="2743"/>
      <c r="Y70" s="2743"/>
      <c r="Z70" s="2743"/>
      <c r="AA70" s="2743"/>
      <c r="AB70" s="2743"/>
      <c r="AC70" s="2743"/>
    </row>
    <row r="71" spans="1:29" s="422" customFormat="1" ht="15.75" thickBot="1">
      <c r="A71" s="502"/>
      <c r="B71" s="492"/>
      <c r="C71" s="509"/>
      <c r="D71" s="485"/>
      <c r="E71" s="485"/>
      <c r="F71" s="485"/>
      <c r="G71" s="485"/>
      <c r="H71" s="485"/>
      <c r="I71" s="485"/>
      <c r="J71" s="485"/>
      <c r="K71" s="485"/>
      <c r="L71" s="485"/>
      <c r="M71" s="486"/>
      <c r="N71" s="2750"/>
      <c r="O71" s="2750"/>
      <c r="P71" s="2741"/>
      <c r="Q71" s="2742"/>
      <c r="R71" s="2743"/>
      <c r="S71" s="2743"/>
      <c r="T71" s="2743"/>
      <c r="U71" s="2743"/>
      <c r="V71" s="2743"/>
      <c r="W71" s="2743"/>
      <c r="X71" s="2743"/>
      <c r="Y71" s="2743"/>
      <c r="Z71" s="2743"/>
      <c r="AA71" s="2743"/>
      <c r="AB71" s="2743"/>
      <c r="AC71" s="2743"/>
    </row>
    <row r="72" spans="1:29" s="422" customFormat="1" ht="15.75" thickTop="1">
      <c r="A72" s="502"/>
      <c r="B72" s="487">
        <f>B13</f>
        <v>111</v>
      </c>
      <c r="C72" s="503"/>
      <c r="D72" s="503"/>
      <c r="E72" s="503"/>
      <c r="F72" s="503"/>
      <c r="G72" s="503"/>
      <c r="H72" s="504"/>
      <c r="I72" s="504"/>
      <c r="J72" s="504"/>
      <c r="K72" s="504"/>
      <c r="L72" s="505"/>
      <c r="M72" s="506"/>
      <c r="N72" s="2751"/>
      <c r="O72" s="2751"/>
      <c r="P72" s="2744"/>
      <c r="Q72" s="2745"/>
      <c r="R72" s="2743"/>
      <c r="S72" s="2743"/>
      <c r="T72" s="2743"/>
      <c r="U72" s="2743"/>
      <c r="V72" s="2743"/>
      <c r="W72" s="2743"/>
      <c r="X72" s="2743"/>
      <c r="Y72" s="2743"/>
      <c r="Z72" s="2743"/>
      <c r="AA72" s="2743"/>
      <c r="AB72" s="2743"/>
      <c r="AC72" s="2743"/>
    </row>
    <row r="73" spans="1:29" s="422" customFormat="1" ht="15.75" thickBot="1">
      <c r="A73" s="502"/>
      <c r="B73" s="492"/>
      <c r="C73" s="509"/>
      <c r="D73" s="485"/>
      <c r="E73" s="485"/>
      <c r="F73" s="485"/>
      <c r="G73" s="509"/>
      <c r="H73" s="511"/>
      <c r="I73" s="511"/>
      <c r="J73" s="511"/>
      <c r="K73" s="511"/>
      <c r="L73" s="511"/>
      <c r="M73" s="512"/>
      <c r="N73" s="2751"/>
      <c r="O73" s="2751"/>
      <c r="P73" s="2741"/>
      <c r="Q73" s="2742"/>
      <c r="R73" s="2743"/>
      <c r="S73" s="2743"/>
      <c r="T73" s="2743"/>
      <c r="U73" s="2743"/>
      <c r="V73" s="2743"/>
      <c r="W73" s="2743"/>
      <c r="X73" s="2743"/>
      <c r="Y73" s="2743"/>
      <c r="Z73" s="2743"/>
      <c r="AA73" s="2743"/>
      <c r="AB73" s="2743"/>
      <c r="AC73" s="2743"/>
    </row>
    <row r="74" spans="1:29" s="422" customFormat="1" ht="15.75" thickTop="1">
      <c r="A74" s="502"/>
      <c r="B74" s="495">
        <f>B14</f>
        <v>111</v>
      </c>
      <c r="C74" s="503"/>
      <c r="D74" s="503"/>
      <c r="E74" s="503"/>
      <c r="F74" s="503"/>
      <c r="G74" s="472"/>
      <c r="H74" s="513"/>
      <c r="I74" s="513"/>
      <c r="J74" s="513"/>
      <c r="K74" s="513"/>
      <c r="L74" s="514"/>
      <c r="M74" s="515"/>
      <c r="N74" s="2751"/>
      <c r="O74" s="2751"/>
      <c r="P74" s="2746"/>
      <c r="Q74" s="2742"/>
      <c r="R74" s="2743"/>
      <c r="S74" s="2743"/>
      <c r="T74" s="2743"/>
      <c r="U74" s="2743"/>
      <c r="V74" s="2743"/>
      <c r="W74" s="2743"/>
      <c r="X74" s="2743"/>
      <c r="Y74" s="2743"/>
      <c r="Z74" s="2743"/>
      <c r="AA74" s="2743"/>
      <c r="AB74" s="2743"/>
      <c r="AC74" s="2743"/>
    </row>
    <row r="75" spans="1:29" s="422" customFormat="1" ht="15.75" thickBot="1">
      <c r="A75" s="517"/>
      <c r="B75" s="518"/>
      <c r="C75" s="519"/>
      <c r="D75" s="519"/>
      <c r="E75" s="519"/>
      <c r="F75" s="519"/>
      <c r="G75" s="519"/>
      <c r="H75" s="520"/>
      <c r="I75" s="520"/>
      <c r="J75" s="520"/>
      <c r="K75" s="520"/>
      <c r="L75" s="520"/>
      <c r="M75" s="521"/>
      <c r="N75" s="2751"/>
      <c r="O75" s="2751"/>
      <c r="P75" s="2741"/>
      <c r="Q75" s="2742"/>
      <c r="R75" s="2743"/>
      <c r="S75" s="2743"/>
      <c r="T75" s="2743"/>
      <c r="U75" s="2743"/>
      <c r="V75" s="2743"/>
      <c r="W75" s="2743"/>
      <c r="X75" s="2743"/>
      <c r="Y75" s="2743"/>
      <c r="Z75" s="2743"/>
      <c r="AA75" s="2743"/>
      <c r="AB75" s="2743"/>
      <c r="AC75" s="2743"/>
    </row>
    <row r="76" spans="1:29">
      <c r="A76" s="476" t="s">
        <v>1690</v>
      </c>
      <c r="B76" s="477" t="s">
        <v>1720</v>
      </c>
      <c r="C76" s="522" t="s">
        <v>1721</v>
      </c>
      <c r="D76" s="522" t="s">
        <v>1722</v>
      </c>
      <c r="E76" s="522" t="s">
        <v>1723</v>
      </c>
      <c r="F76" s="522" t="s">
        <v>1724</v>
      </c>
      <c r="G76" s="522" t="s">
        <v>1725</v>
      </c>
      <c r="H76" s="478"/>
      <c r="I76" s="478"/>
      <c r="J76" s="478"/>
      <c r="K76" s="523"/>
      <c r="L76" s="524"/>
      <c r="M76" s="525"/>
      <c r="N76" s="2749"/>
      <c r="O76" s="2749"/>
      <c r="P76" s="2747"/>
      <c r="Q76" s="2736"/>
      <c r="R76" s="2722"/>
      <c r="S76" s="2722"/>
      <c r="T76" s="2722"/>
      <c r="U76" s="2722"/>
      <c r="V76" s="2722"/>
      <c r="W76" s="2722"/>
      <c r="X76" s="2722"/>
      <c r="Y76" s="2722"/>
      <c r="Z76" s="2722"/>
      <c r="AA76" s="2722"/>
      <c r="AB76" s="2722"/>
      <c r="AC76" s="2722"/>
    </row>
    <row r="77" spans="1:29" ht="15.75" thickBot="1">
      <c r="A77" s="483"/>
      <c r="B77" s="492"/>
      <c r="C77" s="493">
        <v>100</v>
      </c>
      <c r="D77" s="493">
        <f>C77-$K15</f>
        <v>98</v>
      </c>
      <c r="E77" s="493">
        <f>D77-$K15</f>
        <v>96</v>
      </c>
      <c r="F77" s="493">
        <f>E77-$K15</f>
        <v>94</v>
      </c>
      <c r="G77" s="493">
        <f>F77-$K15</f>
        <v>92</v>
      </c>
      <c r="H77" s="493"/>
      <c r="I77" s="493"/>
      <c r="J77" s="493"/>
      <c r="K77" s="493"/>
      <c r="L77" s="493"/>
      <c r="M77" s="494"/>
      <c r="N77" s="2750"/>
      <c r="O77" s="2750"/>
      <c r="P77" s="2740"/>
      <c r="Q77" s="2736"/>
      <c r="R77" s="2722"/>
      <c r="S77" s="2722"/>
      <c r="T77" s="2722"/>
      <c r="U77" s="2722"/>
      <c r="V77" s="2722"/>
      <c r="W77" s="2722"/>
      <c r="X77" s="2722"/>
      <c r="Y77" s="2722"/>
      <c r="Z77" s="2722"/>
      <c r="AA77" s="2722"/>
      <c r="AB77" s="2722"/>
      <c r="AC77" s="2722"/>
    </row>
    <row r="78" spans="1:29" ht="15.75" thickTop="1">
      <c r="A78" s="483"/>
      <c r="B78" s="487" t="s">
        <v>1726</v>
      </c>
      <c r="C78" s="527" t="s">
        <v>1721</v>
      </c>
      <c r="D78" s="527" t="s">
        <v>1722</v>
      </c>
      <c r="E78" s="527" t="s">
        <v>1723</v>
      </c>
      <c r="F78" s="527" t="s">
        <v>1724</v>
      </c>
      <c r="G78" s="527" t="s">
        <v>1725</v>
      </c>
      <c r="H78" s="488"/>
      <c r="I78" s="488"/>
      <c r="J78" s="488"/>
      <c r="K78" s="489"/>
      <c r="L78" s="490"/>
      <c r="M78" s="491"/>
      <c r="N78" s="2749"/>
      <c r="O78" s="2749"/>
      <c r="P78" s="2740"/>
      <c r="Q78" s="2736"/>
      <c r="R78" s="2722"/>
      <c r="S78" s="2722"/>
      <c r="T78" s="2722"/>
      <c r="U78" s="2722"/>
      <c r="V78" s="2722"/>
      <c r="W78" s="2722"/>
      <c r="X78" s="2722"/>
      <c r="Y78" s="2722"/>
      <c r="Z78" s="2722"/>
      <c r="AA78" s="2722"/>
      <c r="AB78" s="2722"/>
      <c r="AC78" s="2722"/>
    </row>
    <row r="79" spans="1:29" ht="15.75" thickBot="1">
      <c r="A79" s="483"/>
      <c r="B79" s="492"/>
      <c r="C79" s="493">
        <v>100</v>
      </c>
      <c r="D79" s="493">
        <f>C79-$K17</f>
        <v>98</v>
      </c>
      <c r="E79" s="493">
        <f>D79-$K17</f>
        <v>96</v>
      </c>
      <c r="F79" s="493">
        <f>E79-$K17</f>
        <v>94</v>
      </c>
      <c r="G79" s="493">
        <f>F79-$K17</f>
        <v>92</v>
      </c>
      <c r="H79" s="493"/>
      <c r="I79" s="493"/>
      <c r="J79" s="493"/>
      <c r="K79" s="493"/>
      <c r="L79" s="493"/>
      <c r="M79" s="494"/>
      <c r="N79" s="2750"/>
      <c r="O79" s="2750"/>
      <c r="P79" s="2740"/>
      <c r="Q79" s="2736"/>
      <c r="R79" s="2722"/>
      <c r="S79" s="2722"/>
      <c r="T79" s="2722"/>
      <c r="U79" s="2722"/>
      <c r="V79" s="2722"/>
      <c r="W79" s="2722"/>
      <c r="X79" s="2722"/>
      <c r="Y79" s="2722"/>
      <c r="Z79" s="2722"/>
      <c r="AA79" s="2722"/>
      <c r="AB79" s="2722"/>
      <c r="AC79" s="2722"/>
    </row>
    <row r="80" spans="1:29" ht="15.75" thickTop="1">
      <c r="A80" s="483"/>
      <c r="B80" s="487" t="s">
        <v>1727</v>
      </c>
      <c r="C80" s="527" t="s">
        <v>1721</v>
      </c>
      <c r="D80" s="527" t="s">
        <v>1722</v>
      </c>
      <c r="E80" s="527" t="s">
        <v>1723</v>
      </c>
      <c r="F80" s="527" t="s">
        <v>1724</v>
      </c>
      <c r="G80" s="527" t="s">
        <v>1725</v>
      </c>
      <c r="H80" s="488"/>
      <c r="I80" s="488"/>
      <c r="J80" s="488"/>
      <c r="K80" s="489"/>
      <c r="L80" s="490"/>
      <c r="M80" s="491"/>
      <c r="N80" s="2749"/>
      <c r="O80" s="2749"/>
      <c r="P80" s="2740"/>
      <c r="Q80" s="2736"/>
      <c r="R80" s="2722"/>
      <c r="S80" s="2722"/>
      <c r="T80" s="2722"/>
      <c r="U80" s="2722"/>
      <c r="V80" s="2722"/>
      <c r="W80" s="2722"/>
      <c r="X80" s="2722"/>
      <c r="Y80" s="2722"/>
      <c r="Z80" s="2722"/>
      <c r="AA80" s="2722"/>
      <c r="AB80" s="2722"/>
      <c r="AC80" s="2722"/>
    </row>
    <row r="81" spans="1:29" ht="15.75" thickBot="1">
      <c r="A81" s="483"/>
      <c r="B81" s="492"/>
      <c r="C81" s="493">
        <v>100</v>
      </c>
      <c r="D81" s="493">
        <f>C81-$K19</f>
        <v>98</v>
      </c>
      <c r="E81" s="493">
        <f>D81-$K19</f>
        <v>96</v>
      </c>
      <c r="F81" s="493">
        <f>E81-$K19</f>
        <v>94</v>
      </c>
      <c r="G81" s="493">
        <f>F81-$K19</f>
        <v>92</v>
      </c>
      <c r="H81" s="493"/>
      <c r="I81" s="493"/>
      <c r="J81" s="493"/>
      <c r="K81" s="493"/>
      <c r="L81" s="493"/>
      <c r="M81" s="494"/>
      <c r="N81" s="2750"/>
      <c r="O81" s="2750"/>
      <c r="P81" s="2740"/>
      <c r="Q81" s="2736"/>
      <c r="R81" s="2722"/>
      <c r="S81" s="2722"/>
      <c r="T81" s="2722"/>
      <c r="U81" s="2722"/>
      <c r="V81" s="2722"/>
      <c r="W81" s="2722"/>
      <c r="X81" s="2722"/>
      <c r="Y81" s="2722"/>
      <c r="Z81" s="2722"/>
      <c r="AA81" s="2722"/>
      <c r="AB81" s="2722"/>
      <c r="AC81" s="2722"/>
    </row>
    <row r="82" spans="1:29" ht="15.75" thickTop="1">
      <c r="A82" s="483"/>
      <c r="B82" s="495" t="s">
        <v>1779</v>
      </c>
      <c r="C82" s="608" t="s">
        <v>1799</v>
      </c>
      <c r="D82" s="608" t="s">
        <v>1800</v>
      </c>
      <c r="E82" s="608" t="s">
        <v>1801</v>
      </c>
      <c r="F82" s="608" t="s">
        <v>1802</v>
      </c>
      <c r="G82" s="608" t="s">
        <v>1803</v>
      </c>
      <c r="H82" s="488"/>
      <c r="I82" s="488"/>
      <c r="J82" s="488"/>
      <c r="K82" s="488"/>
      <c r="L82" s="488"/>
      <c r="M82" s="1128"/>
      <c r="N82" s="2750"/>
      <c r="O82" s="2750"/>
      <c r="P82" s="2740"/>
      <c r="Q82" s="2736"/>
      <c r="R82" s="2722"/>
      <c r="S82" s="2722"/>
      <c r="T82" s="2722"/>
      <c r="U82" s="2722"/>
      <c r="V82" s="2722"/>
      <c r="W82" s="2722"/>
      <c r="X82" s="2722"/>
      <c r="Y82" s="2722"/>
      <c r="Z82" s="2722"/>
      <c r="AA82" s="2722"/>
      <c r="AB82" s="2722"/>
      <c r="AC82" s="2722"/>
    </row>
    <row r="83" spans="1:29" ht="15.75" thickBot="1">
      <c r="A83" s="483"/>
      <c r="B83" s="495"/>
      <c r="C83" s="493">
        <v>100</v>
      </c>
      <c r="D83" s="493">
        <f>C83-$K21</f>
        <v>98</v>
      </c>
      <c r="E83" s="493">
        <f t="shared" ref="E83:G83" si="28">D83-$K21</f>
        <v>96</v>
      </c>
      <c r="F83" s="493">
        <f t="shared" si="28"/>
        <v>94</v>
      </c>
      <c r="G83" s="493">
        <f t="shared" si="28"/>
        <v>92</v>
      </c>
      <c r="H83" s="608"/>
      <c r="I83" s="608"/>
      <c r="J83" s="608"/>
      <c r="K83" s="608"/>
      <c r="L83" s="608"/>
      <c r="M83" s="401"/>
      <c r="N83" s="2750"/>
      <c r="O83" s="2750"/>
      <c r="P83" s="2740"/>
      <c r="Q83" s="2736"/>
      <c r="R83" s="2722"/>
      <c r="S83" s="2722"/>
      <c r="T83" s="2722"/>
      <c r="U83" s="2722"/>
      <c r="V83" s="2722"/>
      <c r="W83" s="2722"/>
      <c r="X83" s="2722"/>
      <c r="Y83" s="2722"/>
      <c r="Z83" s="2722"/>
      <c r="AA83" s="2722"/>
      <c r="AB83" s="2722"/>
      <c r="AC83" s="2722"/>
    </row>
    <row r="84" spans="1:29" ht="15.75" thickTop="1">
      <c r="A84" s="483"/>
      <c r="B84" s="487" t="s">
        <v>1733</v>
      </c>
      <c r="C84" s="527" t="s">
        <v>1721</v>
      </c>
      <c r="D84" s="527" t="s">
        <v>1722</v>
      </c>
      <c r="E84" s="527" t="s">
        <v>1723</v>
      </c>
      <c r="F84" s="527" t="s">
        <v>1724</v>
      </c>
      <c r="G84" s="527" t="s">
        <v>1725</v>
      </c>
      <c r="H84" s="488"/>
      <c r="I84" s="488"/>
      <c r="J84" s="488"/>
      <c r="K84" s="489"/>
      <c r="L84" s="490"/>
      <c r="M84" s="491"/>
      <c r="N84" s="2749"/>
      <c r="O84" s="2749"/>
      <c r="P84" s="2740"/>
      <c r="Q84" s="2736"/>
      <c r="R84" s="2722"/>
      <c r="S84" s="2722"/>
      <c r="T84" s="2722"/>
      <c r="U84" s="2722"/>
      <c r="V84" s="2722"/>
      <c r="W84" s="2722"/>
      <c r="X84" s="2722"/>
      <c r="Y84" s="2722"/>
      <c r="Z84" s="2722"/>
      <c r="AA84" s="2722"/>
      <c r="AB84" s="2722"/>
      <c r="AC84" s="2722"/>
    </row>
    <row r="85" spans="1:29" ht="15.75" thickBot="1">
      <c r="A85" s="483"/>
      <c r="B85" s="492"/>
      <c r="C85" s="493">
        <v>100</v>
      </c>
      <c r="D85" s="493">
        <f>C85-$K23</f>
        <v>97</v>
      </c>
      <c r="E85" s="493">
        <f>D85-$K23</f>
        <v>94</v>
      </c>
      <c r="F85" s="493">
        <f>E85-$K23</f>
        <v>91</v>
      </c>
      <c r="G85" s="493">
        <f>F85-$K23</f>
        <v>88</v>
      </c>
      <c r="H85" s="493"/>
      <c r="I85" s="493"/>
      <c r="J85" s="493"/>
      <c r="K85" s="493"/>
      <c r="L85" s="493"/>
      <c r="M85" s="494"/>
      <c r="N85" s="2750"/>
      <c r="O85" s="2750"/>
      <c r="P85" s="2740"/>
      <c r="Q85" s="2736"/>
      <c r="R85" s="2722"/>
      <c r="S85" s="2722"/>
      <c r="T85" s="2722"/>
      <c r="U85" s="2722"/>
      <c r="V85" s="2722"/>
      <c r="W85" s="2722"/>
      <c r="X85" s="2722"/>
      <c r="Y85" s="2722"/>
      <c r="Z85" s="2722"/>
      <c r="AA85" s="2722"/>
      <c r="AB85" s="2722"/>
      <c r="AC85" s="2722"/>
    </row>
    <row r="86" spans="1:29" s="108" customFormat="1" ht="15.75" thickTop="1">
      <c r="A86" s="528"/>
      <c r="B86" s="487" t="s">
        <v>1804</v>
      </c>
      <c r="C86" s="503"/>
      <c r="D86" s="503"/>
      <c r="E86" s="503"/>
      <c r="F86" s="503"/>
      <c r="G86" s="503"/>
      <c r="H86" s="503"/>
      <c r="I86" s="503"/>
      <c r="J86" s="503"/>
      <c r="K86" s="503"/>
      <c r="L86" s="529"/>
      <c r="M86" s="530"/>
      <c r="N86" s="2748"/>
      <c r="O86" s="2748"/>
      <c r="P86" s="2740"/>
      <c r="Q86" s="2736"/>
      <c r="R86" s="2658"/>
      <c r="S86" s="2658"/>
      <c r="T86" s="2658"/>
      <c r="U86" s="2658"/>
      <c r="V86" s="2658"/>
      <c r="W86" s="2658"/>
      <c r="X86" s="2658"/>
      <c r="Y86" s="2658"/>
      <c r="Z86" s="2658"/>
      <c r="AA86" s="2658"/>
      <c r="AB86" s="2658"/>
      <c r="AC86" s="2658"/>
    </row>
    <row r="87" spans="1:29" s="108" customFormat="1" ht="15.75" thickBot="1">
      <c r="A87" s="528"/>
      <c r="B87" s="492"/>
      <c r="C87" s="531">
        <v>100</v>
      </c>
      <c r="D87" s="493">
        <f t="shared" ref="D87:M87" si="29">C87-$K25</f>
        <v>98</v>
      </c>
      <c r="E87" s="493">
        <f t="shared" si="29"/>
        <v>96</v>
      </c>
      <c r="F87" s="493">
        <f t="shared" si="29"/>
        <v>94</v>
      </c>
      <c r="G87" s="493">
        <f t="shared" si="29"/>
        <v>92</v>
      </c>
      <c r="H87" s="493">
        <f t="shared" si="29"/>
        <v>90</v>
      </c>
      <c r="I87" s="493">
        <f t="shared" si="29"/>
        <v>88</v>
      </c>
      <c r="J87" s="493">
        <f t="shared" si="29"/>
        <v>86</v>
      </c>
      <c r="K87" s="493">
        <f t="shared" si="29"/>
        <v>84</v>
      </c>
      <c r="L87" s="493">
        <f t="shared" si="29"/>
        <v>82</v>
      </c>
      <c r="M87" s="493">
        <f t="shared" si="29"/>
        <v>80</v>
      </c>
      <c r="N87" s="2750"/>
      <c r="O87" s="2750"/>
      <c r="P87" s="2740"/>
      <c r="Q87" s="2736"/>
      <c r="R87" s="2658"/>
      <c r="S87" s="2658"/>
      <c r="T87" s="2658"/>
      <c r="U87" s="2658"/>
      <c r="V87" s="2658"/>
      <c r="W87" s="2658"/>
      <c r="X87" s="2658"/>
      <c r="Y87" s="2658"/>
      <c r="Z87" s="2658"/>
      <c r="AA87" s="2658"/>
      <c r="AB87" s="2658"/>
      <c r="AC87" s="2658"/>
    </row>
    <row r="88" spans="1:29" s="108" customFormat="1" ht="15.75" thickTop="1">
      <c r="A88" s="528"/>
      <c r="B88" s="487" t="str">
        <f>B26</f>
        <v>平面位置/可视性</v>
      </c>
      <c r="C88" s="503"/>
      <c r="D88" s="503"/>
      <c r="E88" s="503"/>
      <c r="F88" s="1925"/>
      <c r="G88" s="503"/>
      <c r="H88" s="503"/>
      <c r="I88" s="503"/>
      <c r="J88" s="503"/>
      <c r="K88" s="503"/>
      <c r="L88" s="503"/>
      <c r="M88" s="530"/>
      <c r="N88" s="2748"/>
      <c r="O88" s="2748"/>
      <c r="P88" s="2740"/>
      <c r="Q88" s="2736"/>
      <c r="R88" s="2658"/>
      <c r="S88" s="2658"/>
      <c r="T88" s="2658"/>
      <c r="U88" s="2658"/>
      <c r="V88" s="2658"/>
      <c r="W88" s="2658"/>
      <c r="X88" s="2658"/>
      <c r="Y88" s="2658"/>
      <c r="Z88" s="2658"/>
      <c r="AA88" s="2658"/>
      <c r="AB88" s="2658"/>
      <c r="AC88" s="2658"/>
    </row>
    <row r="89" spans="1:29" s="108" customFormat="1" ht="15.75" thickBot="1">
      <c r="A89" s="528"/>
      <c r="B89" s="492"/>
      <c r="C89" s="509"/>
      <c r="D89" s="485"/>
      <c r="E89" s="485"/>
      <c r="F89" s="485"/>
      <c r="G89" s="485"/>
      <c r="H89" s="485"/>
      <c r="I89" s="485"/>
      <c r="J89" s="485"/>
      <c r="K89" s="485"/>
      <c r="L89" s="485"/>
      <c r="M89" s="485"/>
      <c r="N89" s="2750"/>
      <c r="O89" s="2750"/>
      <c r="P89" s="2740"/>
      <c r="Q89" s="2736"/>
      <c r="R89" s="2658"/>
      <c r="S89" s="2658"/>
      <c r="T89" s="2658"/>
      <c r="U89" s="2658"/>
      <c r="V89" s="2658"/>
      <c r="W89" s="2658"/>
      <c r="X89" s="2658"/>
      <c r="Y89" s="2658"/>
      <c r="Z89" s="2658"/>
      <c r="AA89" s="2658"/>
      <c r="AB89" s="2658"/>
      <c r="AC89" s="2658"/>
    </row>
    <row r="90" spans="1:29" s="422" customFormat="1" ht="15.75" thickTop="1">
      <c r="A90" s="502"/>
      <c r="B90" s="487" t="str">
        <f>B27</f>
        <v>人流量</v>
      </c>
      <c r="C90" s="3507" t="s">
        <v>3530</v>
      </c>
      <c r="D90" s="3507" t="s">
        <v>3531</v>
      </c>
      <c r="E90" s="3507" t="s">
        <v>3532</v>
      </c>
      <c r="F90" s="3507" t="s">
        <v>3533</v>
      </c>
      <c r="G90" s="503"/>
      <c r="H90" s="504"/>
      <c r="I90" s="504"/>
      <c r="J90" s="504"/>
      <c r="K90" s="504"/>
      <c r="L90" s="505"/>
      <c r="M90" s="506"/>
      <c r="N90" s="2751"/>
      <c r="O90" s="2751"/>
      <c r="P90" s="2741"/>
      <c r="Q90" s="2742"/>
      <c r="R90" s="2743"/>
      <c r="S90" s="2743"/>
      <c r="T90" s="2743"/>
      <c r="U90" s="2743"/>
      <c r="V90" s="2743"/>
      <c r="W90" s="2743"/>
      <c r="X90" s="2743"/>
      <c r="Y90" s="2743"/>
      <c r="Z90" s="2743"/>
      <c r="AA90" s="2743"/>
      <c r="AB90" s="2743"/>
      <c r="AC90" s="2743"/>
    </row>
    <row r="91" spans="1:29" s="422" customFormat="1" ht="15.75" thickBot="1">
      <c r="A91" s="502"/>
      <c r="B91" s="492"/>
      <c r="C91" s="531">
        <v>100</v>
      </c>
      <c r="D91" s="493">
        <f>C91-$K27</f>
        <v>97</v>
      </c>
      <c r="E91" s="493">
        <f t="shared" ref="E91:M91" si="30">D91-$K27</f>
        <v>94</v>
      </c>
      <c r="F91" s="493">
        <f t="shared" si="30"/>
        <v>91</v>
      </c>
      <c r="G91" s="493">
        <f t="shared" si="30"/>
        <v>88</v>
      </c>
      <c r="H91" s="493">
        <f t="shared" si="30"/>
        <v>85</v>
      </c>
      <c r="I91" s="493">
        <f t="shared" si="30"/>
        <v>82</v>
      </c>
      <c r="J91" s="493">
        <f t="shared" si="30"/>
        <v>79</v>
      </c>
      <c r="K91" s="493">
        <f t="shared" si="30"/>
        <v>76</v>
      </c>
      <c r="L91" s="493">
        <f t="shared" si="30"/>
        <v>73</v>
      </c>
      <c r="M91" s="493">
        <f t="shared" si="30"/>
        <v>70</v>
      </c>
      <c r="N91" s="2751"/>
      <c r="O91" s="2751"/>
      <c r="P91" s="2741"/>
      <c r="Q91" s="2742"/>
      <c r="R91" s="2743"/>
      <c r="S91" s="2743"/>
      <c r="T91" s="2743"/>
      <c r="U91" s="2743"/>
      <c r="V91" s="2743"/>
      <c r="W91" s="2743"/>
      <c r="X91" s="2743"/>
      <c r="Y91" s="2743"/>
      <c r="Z91" s="2743"/>
      <c r="AA91" s="2743"/>
      <c r="AB91" s="2743"/>
      <c r="AC91" s="2743"/>
    </row>
    <row r="92" spans="1:29" ht="15.75" thickTop="1">
      <c r="A92" s="483"/>
      <c r="B92" s="487" t="str">
        <f>B28</f>
        <v>楼层</v>
      </c>
      <c r="C92" s="503"/>
      <c r="D92" s="503"/>
      <c r="E92" s="503"/>
      <c r="F92" s="503"/>
      <c r="G92" s="503"/>
      <c r="H92" s="503"/>
      <c r="I92" s="503"/>
      <c r="J92" s="503"/>
      <c r="K92" s="503"/>
      <c r="L92" s="529"/>
      <c r="M92" s="530"/>
      <c r="N92" s="2749"/>
      <c r="O92" s="2749"/>
      <c r="P92" s="2740"/>
      <c r="Q92" s="2736"/>
      <c r="R92" s="2722"/>
      <c r="S92" s="2722"/>
      <c r="T92" s="2722"/>
      <c r="U92" s="2722"/>
      <c r="V92" s="2722"/>
      <c r="W92" s="2722"/>
      <c r="X92" s="2722"/>
      <c r="Y92" s="2722"/>
      <c r="Z92" s="2722"/>
      <c r="AA92" s="2722"/>
      <c r="AB92" s="2722"/>
      <c r="AC92" s="2722"/>
    </row>
    <row r="93" spans="1:29" ht="15.75" thickBot="1">
      <c r="A93" s="483"/>
      <c r="B93" s="492"/>
      <c r="C93" s="485"/>
      <c r="D93" s="485"/>
      <c r="E93" s="485"/>
      <c r="F93" s="485"/>
      <c r="G93" s="485"/>
      <c r="H93" s="485"/>
      <c r="I93" s="485"/>
      <c r="J93" s="485"/>
      <c r="K93" s="485"/>
      <c r="L93" s="485"/>
      <c r="M93" s="486"/>
      <c r="N93" s="2750"/>
      <c r="O93" s="2750"/>
      <c r="P93" s="2740"/>
      <c r="Q93" s="2736"/>
      <c r="R93" s="2722"/>
      <c r="S93" s="2722"/>
      <c r="T93" s="2722"/>
      <c r="U93" s="2722"/>
      <c r="V93" s="2722"/>
      <c r="W93" s="2722"/>
      <c r="X93" s="2722"/>
      <c r="Y93" s="2722"/>
      <c r="Z93" s="2722"/>
      <c r="AA93" s="2722"/>
      <c r="AB93" s="2722"/>
      <c r="AC93" s="2722"/>
    </row>
    <row r="94" spans="1:29" ht="15.75" thickTop="1">
      <c r="A94" s="483"/>
      <c r="B94" s="487">
        <f>B29</f>
        <v>111</v>
      </c>
      <c r="C94" s="503"/>
      <c r="D94" s="503"/>
      <c r="E94" s="503"/>
      <c r="F94" s="503"/>
      <c r="G94" s="532"/>
      <c r="H94" s="532"/>
      <c r="I94" s="532"/>
      <c r="J94" s="532"/>
      <c r="K94" s="533"/>
      <c r="L94" s="534"/>
      <c r="M94" s="535"/>
      <c r="N94" s="2749"/>
      <c r="O94" s="2749"/>
      <c r="P94" s="2740"/>
      <c r="Q94" s="2736"/>
      <c r="R94" s="2722"/>
      <c r="S94" s="2722"/>
      <c r="T94" s="2722"/>
      <c r="U94" s="2722"/>
      <c r="V94" s="2722"/>
      <c r="W94" s="2722"/>
      <c r="X94" s="2722"/>
      <c r="Y94" s="2722"/>
      <c r="Z94" s="2722"/>
      <c r="AA94" s="2722"/>
      <c r="AB94" s="2722"/>
      <c r="AC94" s="2722"/>
    </row>
    <row r="95" spans="1:29" ht="15.75" thickBot="1">
      <c r="A95" s="483"/>
      <c r="B95" s="492"/>
      <c r="C95" s="509"/>
      <c r="D95" s="485"/>
      <c r="E95" s="485"/>
      <c r="F95" s="485"/>
      <c r="G95" s="485"/>
      <c r="H95" s="485"/>
      <c r="I95" s="485"/>
      <c r="J95" s="485"/>
      <c r="K95" s="485"/>
      <c r="L95" s="485"/>
      <c r="M95" s="486"/>
      <c r="N95" s="2750"/>
      <c r="O95" s="2750"/>
      <c r="P95" s="2740"/>
      <c r="Q95" s="2736"/>
      <c r="R95" s="2722"/>
      <c r="S95" s="2722"/>
      <c r="T95" s="2722"/>
      <c r="U95" s="2722"/>
      <c r="V95" s="2722"/>
      <c r="W95" s="2722"/>
      <c r="X95" s="2722"/>
      <c r="Y95" s="2722"/>
      <c r="Z95" s="2722"/>
      <c r="AA95" s="2722"/>
      <c r="AB95" s="2722"/>
      <c r="AC95" s="2722"/>
    </row>
    <row r="96" spans="1:29" ht="15.75" thickTop="1">
      <c r="A96" s="483"/>
      <c r="B96" s="487">
        <f>B30</f>
        <v>111</v>
      </c>
      <c r="C96" s="503"/>
      <c r="D96" s="503"/>
      <c r="E96" s="503"/>
      <c r="F96" s="503"/>
      <c r="G96" s="532"/>
      <c r="H96" s="532"/>
      <c r="I96" s="532"/>
      <c r="J96" s="532"/>
      <c r="K96" s="533"/>
      <c r="L96" s="534"/>
      <c r="M96" s="535"/>
      <c r="N96" s="2749"/>
      <c r="O96" s="2749"/>
      <c r="P96" s="2740"/>
      <c r="Q96" s="2736"/>
      <c r="R96" s="2722"/>
      <c r="S96" s="2722"/>
      <c r="T96" s="2722"/>
      <c r="U96" s="2722"/>
      <c r="V96" s="2722"/>
      <c r="W96" s="2722"/>
      <c r="X96" s="2722"/>
      <c r="Y96" s="2722"/>
      <c r="Z96" s="2722"/>
      <c r="AA96" s="2722"/>
      <c r="AB96" s="2722"/>
      <c r="AC96" s="2722"/>
    </row>
    <row r="97" spans="1:29" ht="15.75" thickBot="1">
      <c r="A97" s="483"/>
      <c r="B97" s="492"/>
      <c r="C97" s="509"/>
      <c r="D97" s="485"/>
      <c r="E97" s="485"/>
      <c r="F97" s="485"/>
      <c r="G97" s="485"/>
      <c r="H97" s="485"/>
      <c r="I97" s="485"/>
      <c r="J97" s="485"/>
      <c r="K97" s="485"/>
      <c r="L97" s="485"/>
      <c r="M97" s="486"/>
      <c r="N97" s="2750"/>
      <c r="O97" s="2750"/>
      <c r="P97" s="2740"/>
      <c r="Q97" s="2736"/>
      <c r="R97" s="2722"/>
      <c r="S97" s="2722"/>
      <c r="T97" s="2722"/>
      <c r="U97" s="2722"/>
      <c r="V97" s="2722"/>
      <c r="W97" s="2722"/>
      <c r="X97" s="2722"/>
      <c r="Y97" s="2722"/>
      <c r="Z97" s="2722"/>
      <c r="AA97" s="2722"/>
      <c r="AB97" s="2722"/>
      <c r="AC97" s="2722"/>
    </row>
    <row r="98" spans="1:29" ht="15.75" thickTop="1">
      <c r="A98" s="483"/>
      <c r="B98" s="495">
        <f>B31</f>
        <v>111</v>
      </c>
      <c r="C98" s="503"/>
      <c r="D98" s="503"/>
      <c r="E98" s="503"/>
      <c r="F98" s="503"/>
      <c r="G98" s="536"/>
      <c r="H98" s="536"/>
      <c r="I98" s="536"/>
      <c r="J98" s="536"/>
      <c r="K98" s="537"/>
      <c r="L98" s="538"/>
      <c r="M98" s="539"/>
      <c r="N98" s="2749"/>
      <c r="O98" s="2749"/>
      <c r="P98" s="2740"/>
      <c r="Q98" s="2736"/>
      <c r="R98" s="2722"/>
      <c r="S98" s="2722"/>
      <c r="T98" s="2722"/>
      <c r="U98" s="2722"/>
      <c r="V98" s="2722"/>
      <c r="W98" s="2722"/>
      <c r="X98" s="2722"/>
      <c r="Y98" s="2722"/>
      <c r="Z98" s="2722"/>
      <c r="AA98" s="2722"/>
      <c r="AB98" s="2722"/>
      <c r="AC98" s="2722"/>
    </row>
    <row r="99" spans="1:29" ht="15.75" thickBot="1">
      <c r="A99" s="1926"/>
      <c r="B99" s="518"/>
      <c r="C99" s="519"/>
      <c r="D99" s="519"/>
      <c r="E99" s="519"/>
      <c r="F99" s="519"/>
      <c r="G99" s="540"/>
      <c r="H99" s="540"/>
      <c r="I99" s="540"/>
      <c r="J99" s="540"/>
      <c r="K99" s="540"/>
      <c r="L99" s="540"/>
      <c r="M99" s="541"/>
      <c r="N99" s="2750"/>
      <c r="O99" s="2750"/>
      <c r="P99" s="2740"/>
      <c r="Q99" s="2736"/>
      <c r="R99" s="2722"/>
      <c r="S99" s="2722"/>
      <c r="T99" s="2722"/>
      <c r="U99" s="2722"/>
      <c r="V99" s="2722"/>
      <c r="W99" s="2722"/>
      <c r="X99" s="2722"/>
      <c r="Y99" s="2722"/>
      <c r="Z99" s="2722"/>
      <c r="AA99" s="2722"/>
      <c r="AB99" s="2722"/>
      <c r="AC99" s="2722"/>
    </row>
    <row r="100" spans="1:29">
      <c r="A100" s="476" t="s">
        <v>1694</v>
      </c>
      <c r="B100" s="477" t="s">
        <v>1805</v>
      </c>
      <c r="C100" s="3495" t="s">
        <v>3528</v>
      </c>
      <c r="D100" s="3495" t="s">
        <v>3525</v>
      </c>
      <c r="E100" s="479"/>
      <c r="F100" s="479"/>
      <c r="G100" s="479"/>
      <c r="H100" s="479"/>
      <c r="I100" s="479"/>
      <c r="J100" s="479"/>
      <c r="K100" s="480"/>
      <c r="L100" s="481"/>
      <c r="M100" s="482"/>
      <c r="N100" s="2749"/>
      <c r="O100" s="2749"/>
      <c r="P100" s="2740"/>
      <c r="Q100" s="2736"/>
      <c r="R100" s="2722"/>
      <c r="S100" s="2722"/>
      <c r="T100" s="2722"/>
      <c r="U100" s="2722"/>
      <c r="V100" s="2722"/>
      <c r="W100" s="2722"/>
      <c r="X100" s="2722"/>
      <c r="Y100" s="2722"/>
      <c r="Z100" s="2722"/>
      <c r="AA100" s="2722"/>
      <c r="AB100" s="2722"/>
      <c r="AC100" s="2722"/>
    </row>
    <row r="101" spans="1:29" ht="15.75" thickBot="1">
      <c r="A101" s="483"/>
      <c r="B101" s="492"/>
      <c r="C101" s="493">
        <v>100</v>
      </c>
      <c r="D101" s="493">
        <f t="shared" ref="D101:M101" si="31">C101-$K32</f>
        <v>98</v>
      </c>
      <c r="E101" s="493">
        <f t="shared" si="31"/>
        <v>96</v>
      </c>
      <c r="F101" s="493">
        <f t="shared" si="31"/>
        <v>94</v>
      </c>
      <c r="G101" s="493">
        <f t="shared" si="31"/>
        <v>92</v>
      </c>
      <c r="H101" s="493">
        <f t="shared" si="31"/>
        <v>90</v>
      </c>
      <c r="I101" s="493">
        <f t="shared" si="31"/>
        <v>88</v>
      </c>
      <c r="J101" s="493">
        <f t="shared" si="31"/>
        <v>86</v>
      </c>
      <c r="K101" s="493">
        <f t="shared" si="31"/>
        <v>84</v>
      </c>
      <c r="L101" s="493">
        <f t="shared" si="31"/>
        <v>82</v>
      </c>
      <c r="M101" s="494">
        <f t="shared" si="31"/>
        <v>80</v>
      </c>
      <c r="N101" s="2750"/>
      <c r="O101" s="2750"/>
      <c r="P101" s="2740"/>
      <c r="Q101" s="2736"/>
      <c r="R101" s="2722"/>
      <c r="S101" s="2722"/>
      <c r="T101" s="2722"/>
      <c r="U101" s="2722"/>
      <c r="V101" s="2722"/>
      <c r="W101" s="2722"/>
      <c r="X101" s="2722"/>
      <c r="Y101" s="2722"/>
      <c r="Z101" s="2722"/>
      <c r="AA101" s="2722"/>
      <c r="AB101" s="2722"/>
      <c r="AC101" s="2722"/>
    </row>
    <row r="102" spans="1:29" ht="29.25" thickTop="1">
      <c r="A102" s="483"/>
      <c r="B102" s="487" t="s">
        <v>1737</v>
      </c>
      <c r="C102" s="527" t="str">
        <f>C103&amp;"(含)"&amp;"-"&amp;D103</f>
        <v>0(含)-100</v>
      </c>
      <c r="D102" s="527" t="str">
        <f t="shared" ref="D102:L102" si="32">D103&amp;"(含)"&amp;"-"&amp;E103</f>
        <v>100(含)-200</v>
      </c>
      <c r="E102" s="527" t="str">
        <f t="shared" si="32"/>
        <v>200(含)-500</v>
      </c>
      <c r="F102" s="527" t="str">
        <f t="shared" si="32"/>
        <v>500(含)-1000</v>
      </c>
      <c r="G102" s="527" t="str">
        <f t="shared" si="32"/>
        <v>1000(含)-3000</v>
      </c>
      <c r="H102" s="527" t="str">
        <f t="shared" si="32"/>
        <v>3000(含)-6000</v>
      </c>
      <c r="I102" s="527" t="str">
        <f t="shared" si="32"/>
        <v>6000(含)-</v>
      </c>
      <c r="J102" s="527" t="str">
        <f t="shared" si="32"/>
        <v>(含)-</v>
      </c>
      <c r="K102" s="527" t="str">
        <f t="shared" si="32"/>
        <v>(含)-</v>
      </c>
      <c r="L102" s="527" t="str">
        <f t="shared" si="32"/>
        <v>(含)-</v>
      </c>
      <c r="M102" s="570" t="str">
        <f>M103&amp;"(含)"&amp;"-"&amp;P103</f>
        <v>(含)-</v>
      </c>
      <c r="N102" s="2748"/>
      <c r="O102" s="2748"/>
      <c r="P102" s="2740"/>
      <c r="Q102" s="2736"/>
      <c r="R102" s="2722"/>
      <c r="S102" s="2722"/>
      <c r="T102" s="2722"/>
      <c r="U102" s="2722"/>
      <c r="V102" s="2722"/>
      <c r="W102" s="2722"/>
      <c r="X102" s="2722"/>
      <c r="Y102" s="2722"/>
      <c r="Z102" s="2722"/>
      <c r="AA102" s="2722"/>
      <c r="AB102" s="2722"/>
      <c r="AC102" s="2722"/>
    </row>
    <row r="103" spans="1:29" s="422" customFormat="1">
      <c r="A103" s="542"/>
      <c r="B103" s="543"/>
      <c r="C103" s="544">
        <v>0</v>
      </c>
      <c r="D103" s="544">
        <v>100</v>
      </c>
      <c r="E103" s="544">
        <v>200</v>
      </c>
      <c r="F103" s="544">
        <v>500</v>
      </c>
      <c r="G103" s="544">
        <v>1000</v>
      </c>
      <c r="H103" s="544">
        <v>3000</v>
      </c>
      <c r="I103" s="544">
        <v>6000</v>
      </c>
      <c r="J103" s="545"/>
      <c r="K103" s="545"/>
      <c r="L103" s="546"/>
      <c r="M103" s="547"/>
      <c r="N103" s="2751"/>
      <c r="O103" s="2751"/>
      <c r="P103" s="2741"/>
      <c r="Q103" s="2742"/>
      <c r="R103" s="2743"/>
      <c r="S103" s="2743"/>
      <c r="T103" s="2743"/>
      <c r="U103" s="2743"/>
      <c r="V103" s="2743"/>
      <c r="W103" s="2743"/>
      <c r="X103" s="2743"/>
      <c r="Y103" s="2743"/>
      <c r="Z103" s="2743"/>
      <c r="AA103" s="2743"/>
      <c r="AB103" s="2743"/>
      <c r="AC103" s="2743"/>
    </row>
    <row r="104" spans="1:29" s="422" customFormat="1" ht="15.75" thickBot="1">
      <c r="A104" s="502"/>
      <c r="B104" s="492"/>
      <c r="C104" s="509">
        <v>100</v>
      </c>
      <c r="D104" s="485">
        <v>97</v>
      </c>
      <c r="E104" s="485">
        <v>94</v>
      </c>
      <c r="F104" s="485">
        <v>91</v>
      </c>
      <c r="G104" s="485">
        <v>88</v>
      </c>
      <c r="H104" s="485">
        <v>85</v>
      </c>
      <c r="I104" s="485">
        <v>82</v>
      </c>
      <c r="J104" s="485"/>
      <c r="K104" s="485"/>
      <c r="L104" s="485"/>
      <c r="M104" s="486"/>
      <c r="N104" s="2750"/>
      <c r="O104" s="2750"/>
      <c r="P104" s="2741"/>
      <c r="Q104" s="2742"/>
      <c r="R104" s="2743"/>
      <c r="S104" s="2743"/>
      <c r="T104" s="2743"/>
      <c r="U104" s="2743"/>
      <c r="V104" s="2743"/>
      <c r="W104" s="2743"/>
      <c r="X104" s="2743"/>
      <c r="Y104" s="2743"/>
      <c r="Z104" s="2743"/>
      <c r="AA104" s="2743"/>
      <c r="AB104" s="2743"/>
      <c r="AC104" s="2743"/>
    </row>
    <row r="105" spans="1:29" ht="15" thickTop="1">
      <c r="A105" s="548"/>
      <c r="B105" s="487" t="s">
        <v>1738</v>
      </c>
      <c r="C105" s="503"/>
      <c r="D105" s="503"/>
      <c r="E105" s="532"/>
      <c r="F105" s="532"/>
      <c r="G105" s="532"/>
      <c r="H105" s="532"/>
      <c r="I105" s="532"/>
      <c r="J105" s="532"/>
      <c r="K105" s="533"/>
      <c r="L105" s="534"/>
      <c r="M105" s="535"/>
      <c r="N105" s="2749"/>
      <c r="O105" s="2749"/>
      <c r="P105" s="2740"/>
      <c r="Q105" s="2736"/>
      <c r="R105" s="2722"/>
      <c r="S105" s="2722"/>
      <c r="T105" s="2722"/>
      <c r="U105" s="2722"/>
      <c r="V105" s="2722"/>
      <c r="W105" s="2722"/>
      <c r="X105" s="2722"/>
      <c r="Y105" s="2722"/>
      <c r="Z105" s="2722"/>
      <c r="AA105" s="2722"/>
      <c r="AB105" s="2722"/>
      <c r="AC105" s="2722"/>
    </row>
    <row r="106" spans="1:29" ht="15.75" thickBot="1">
      <c r="A106" s="483"/>
      <c r="B106" s="492"/>
      <c r="C106" s="493">
        <v>100</v>
      </c>
      <c r="D106" s="493">
        <f t="shared" ref="D106:M106" si="33">C106-$K34</f>
        <v>100</v>
      </c>
      <c r="E106" s="493">
        <f t="shared" si="33"/>
        <v>100</v>
      </c>
      <c r="F106" s="493">
        <f t="shared" si="33"/>
        <v>100</v>
      </c>
      <c r="G106" s="493">
        <f t="shared" si="33"/>
        <v>100</v>
      </c>
      <c r="H106" s="493">
        <f t="shared" si="33"/>
        <v>100</v>
      </c>
      <c r="I106" s="493">
        <f t="shared" si="33"/>
        <v>100</v>
      </c>
      <c r="J106" s="493">
        <f t="shared" si="33"/>
        <v>100</v>
      </c>
      <c r="K106" s="493">
        <f t="shared" si="33"/>
        <v>100</v>
      </c>
      <c r="L106" s="493">
        <f t="shared" si="33"/>
        <v>100</v>
      </c>
      <c r="M106" s="494">
        <f t="shared" si="33"/>
        <v>100</v>
      </c>
      <c r="N106" s="2750"/>
      <c r="O106" s="2750"/>
      <c r="P106" s="2740"/>
      <c r="Q106" s="2736"/>
      <c r="R106" s="2722"/>
      <c r="S106" s="2722"/>
      <c r="T106" s="2722"/>
      <c r="U106" s="2722"/>
      <c r="V106" s="2722"/>
      <c r="W106" s="2722"/>
      <c r="X106" s="2722"/>
      <c r="Y106" s="2722"/>
      <c r="Z106" s="2722"/>
      <c r="AA106" s="2722"/>
      <c r="AB106" s="2722"/>
      <c r="AC106" s="2722"/>
    </row>
    <row r="107" spans="1:29" ht="15" thickTop="1">
      <c r="A107" s="548"/>
      <c r="B107" s="487" t="s">
        <v>1740</v>
      </c>
      <c r="C107" s="503"/>
      <c r="D107" s="503"/>
      <c r="E107" s="503"/>
      <c r="F107" s="532"/>
      <c r="G107" s="532"/>
      <c r="H107" s="532"/>
      <c r="I107" s="532"/>
      <c r="J107" s="532"/>
      <c r="K107" s="533"/>
      <c r="L107" s="534"/>
      <c r="M107" s="535"/>
      <c r="N107" s="2749"/>
      <c r="O107" s="2749"/>
      <c r="P107" s="2740"/>
      <c r="Q107" s="2736"/>
      <c r="R107" s="2722"/>
      <c r="S107" s="2722"/>
      <c r="T107" s="2722"/>
      <c r="U107" s="2722"/>
      <c r="V107" s="2722"/>
      <c r="W107" s="2722"/>
      <c r="X107" s="2722"/>
      <c r="Y107" s="2722"/>
      <c r="Z107" s="2722"/>
      <c r="AA107" s="2722"/>
      <c r="AB107" s="2722"/>
      <c r="AC107" s="2722"/>
    </row>
    <row r="108" spans="1:29" ht="15.75" thickBot="1">
      <c r="A108" s="483"/>
      <c r="B108" s="492"/>
      <c r="C108" s="493">
        <v>100</v>
      </c>
      <c r="D108" s="493">
        <f t="shared" ref="D108:M108" si="34">C108-$K35</f>
        <v>100</v>
      </c>
      <c r="E108" s="493">
        <f t="shared" si="34"/>
        <v>100</v>
      </c>
      <c r="F108" s="493">
        <f t="shared" si="34"/>
        <v>100</v>
      </c>
      <c r="G108" s="493">
        <f t="shared" si="34"/>
        <v>100</v>
      </c>
      <c r="H108" s="493">
        <f t="shared" si="34"/>
        <v>100</v>
      </c>
      <c r="I108" s="493">
        <f t="shared" si="34"/>
        <v>100</v>
      </c>
      <c r="J108" s="493">
        <f t="shared" si="34"/>
        <v>100</v>
      </c>
      <c r="K108" s="493">
        <f t="shared" si="34"/>
        <v>100</v>
      </c>
      <c r="L108" s="493">
        <f t="shared" si="34"/>
        <v>100</v>
      </c>
      <c r="M108" s="494">
        <f t="shared" si="34"/>
        <v>100</v>
      </c>
      <c r="N108" s="2750"/>
      <c r="O108" s="2750"/>
      <c r="P108" s="2740"/>
      <c r="Q108" s="2736"/>
      <c r="R108" s="2722"/>
      <c r="S108" s="2722"/>
      <c r="T108" s="2722"/>
      <c r="U108" s="2722"/>
      <c r="V108" s="2722"/>
      <c r="W108" s="2722"/>
      <c r="X108" s="2722"/>
      <c r="Y108" s="2722"/>
      <c r="Z108" s="2722"/>
      <c r="AA108" s="2722"/>
      <c r="AB108" s="2722"/>
      <c r="AC108" s="2722"/>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49"/>
      <c r="O109" s="2749"/>
      <c r="P109" s="2740"/>
      <c r="Q109" s="2736"/>
      <c r="R109" s="2722"/>
      <c r="S109" s="2722"/>
      <c r="T109" s="2722"/>
      <c r="U109" s="2722"/>
      <c r="V109" s="2722"/>
      <c r="W109" s="2722"/>
      <c r="X109" s="2722"/>
      <c r="Y109" s="2722"/>
      <c r="Z109" s="2722"/>
      <c r="AA109" s="2722"/>
      <c r="AB109" s="2722"/>
      <c r="AC109" s="2722"/>
    </row>
    <row r="110" spans="1:29">
      <c r="A110" s="548"/>
      <c r="B110" s="495"/>
      <c r="C110" s="552">
        <v>0.5</v>
      </c>
      <c r="D110" s="552">
        <v>0.6</v>
      </c>
      <c r="E110" s="552">
        <v>0.7</v>
      </c>
      <c r="F110" s="552">
        <v>0.8</v>
      </c>
      <c r="G110" s="552">
        <v>0.9</v>
      </c>
      <c r="H110" s="552">
        <v>1.0001</v>
      </c>
      <c r="I110" s="571"/>
      <c r="J110" s="571"/>
      <c r="K110" s="572"/>
      <c r="L110" s="573"/>
      <c r="M110" s="574"/>
      <c r="N110" s="2749"/>
      <c r="O110" s="2749"/>
      <c r="P110" s="2740"/>
      <c r="Q110" s="2736"/>
      <c r="R110" s="2722"/>
      <c r="S110" s="2722"/>
      <c r="T110" s="2722"/>
      <c r="U110" s="2722"/>
      <c r="V110" s="2722"/>
      <c r="W110" s="2722"/>
      <c r="X110" s="2722"/>
      <c r="Y110" s="2722"/>
      <c r="Z110" s="2722"/>
      <c r="AA110" s="2722"/>
      <c r="AB110" s="2722"/>
      <c r="AC110" s="2722"/>
    </row>
    <row r="111" spans="1:29" ht="15.75" thickBot="1">
      <c r="A111" s="483"/>
      <c r="B111" s="492"/>
      <c r="C111" s="531">
        <v>100</v>
      </c>
      <c r="D111" s="493">
        <f>C111+$K36</f>
        <v>102</v>
      </c>
      <c r="E111" s="493">
        <f t="shared" ref="E111:M111" si="35">D111+$K36</f>
        <v>104</v>
      </c>
      <c r="F111" s="493">
        <f t="shared" si="35"/>
        <v>106</v>
      </c>
      <c r="G111" s="493">
        <f t="shared" si="35"/>
        <v>108</v>
      </c>
      <c r="H111" s="493">
        <f t="shared" si="35"/>
        <v>110</v>
      </c>
      <c r="I111" s="493">
        <f t="shared" si="35"/>
        <v>112</v>
      </c>
      <c r="J111" s="493">
        <f t="shared" si="35"/>
        <v>114</v>
      </c>
      <c r="K111" s="493">
        <f t="shared" si="35"/>
        <v>116</v>
      </c>
      <c r="L111" s="493">
        <f t="shared" si="35"/>
        <v>118</v>
      </c>
      <c r="M111" s="493">
        <f t="shared" si="35"/>
        <v>120</v>
      </c>
      <c r="N111" s="2750"/>
      <c r="O111" s="2750"/>
      <c r="P111" s="2740"/>
      <c r="Q111" s="2736"/>
      <c r="R111" s="2722"/>
      <c r="S111" s="2722"/>
      <c r="T111" s="2722"/>
      <c r="U111" s="2722"/>
      <c r="V111" s="2722"/>
      <c r="W111" s="2722"/>
      <c r="X111" s="2722"/>
      <c r="Y111" s="2722"/>
      <c r="Z111" s="2722"/>
      <c r="AA111" s="2722"/>
      <c r="AB111" s="2722"/>
      <c r="AC111" s="2722"/>
    </row>
    <row r="112" spans="1:29" s="422" customFormat="1" ht="15" thickTop="1">
      <c r="A112" s="542"/>
      <c r="B112" s="487" t="s">
        <v>1742</v>
      </c>
      <c r="C112" s="503"/>
      <c r="D112" s="503"/>
      <c r="E112" s="503"/>
      <c r="F112" s="503"/>
      <c r="G112" s="503"/>
      <c r="H112" s="532"/>
      <c r="I112" s="532"/>
      <c r="J112" s="532"/>
      <c r="K112" s="533"/>
      <c r="L112" s="534"/>
      <c r="M112" s="535"/>
      <c r="N112" s="2751"/>
      <c r="O112" s="2751"/>
      <c r="P112" s="2741"/>
      <c r="Q112" s="2742"/>
      <c r="R112" s="2743"/>
      <c r="S112" s="2743"/>
      <c r="T112" s="2743"/>
      <c r="U112" s="2743"/>
      <c r="V112" s="2743"/>
      <c r="W112" s="2743"/>
      <c r="X112" s="2743"/>
      <c r="Y112" s="2743"/>
      <c r="Z112" s="2743"/>
      <c r="AA112" s="2743"/>
      <c r="AB112" s="2743"/>
      <c r="AC112" s="2743"/>
    </row>
    <row r="113" spans="1:29" s="422" customFormat="1" ht="15.75" thickBot="1">
      <c r="A113" s="502"/>
      <c r="B113" s="492"/>
      <c r="C113" s="493">
        <v>100</v>
      </c>
      <c r="D113" s="493">
        <f>C113-$K37</f>
        <v>100</v>
      </c>
      <c r="E113" s="493">
        <f t="shared" ref="E113:M113" si="36">D113-$K37</f>
        <v>100</v>
      </c>
      <c r="F113" s="493">
        <f t="shared" si="36"/>
        <v>100</v>
      </c>
      <c r="G113" s="493">
        <f t="shared" si="36"/>
        <v>100</v>
      </c>
      <c r="H113" s="493">
        <f t="shared" si="36"/>
        <v>100</v>
      </c>
      <c r="I113" s="493">
        <f t="shared" si="36"/>
        <v>100</v>
      </c>
      <c r="J113" s="493">
        <f t="shared" si="36"/>
        <v>100</v>
      </c>
      <c r="K113" s="493">
        <f t="shared" si="36"/>
        <v>100</v>
      </c>
      <c r="L113" s="493">
        <f t="shared" si="36"/>
        <v>100</v>
      </c>
      <c r="M113" s="493">
        <f t="shared" si="36"/>
        <v>100</v>
      </c>
      <c r="N113" s="2751"/>
      <c r="O113" s="2751"/>
      <c r="P113" s="2741"/>
      <c r="Q113" s="2742"/>
      <c r="R113" s="2743"/>
      <c r="S113" s="2743"/>
      <c r="T113" s="2743"/>
      <c r="U113" s="2743"/>
      <c r="V113" s="2743"/>
      <c r="W113" s="2743"/>
      <c r="X113" s="2743"/>
      <c r="Y113" s="2743"/>
      <c r="Z113" s="2743"/>
      <c r="AA113" s="2743"/>
      <c r="AB113" s="2743"/>
      <c r="AC113" s="2743"/>
    </row>
    <row r="114" spans="1:29" ht="15" thickTop="1">
      <c r="A114" s="548"/>
      <c r="B114" s="487" t="s">
        <v>1806</v>
      </c>
      <c r="C114" s="503"/>
      <c r="D114" s="503"/>
      <c r="E114" s="532"/>
      <c r="F114" s="532"/>
      <c r="G114" s="532"/>
      <c r="H114" s="532"/>
      <c r="I114" s="532"/>
      <c r="J114" s="532"/>
      <c r="K114" s="533"/>
      <c r="L114" s="534"/>
      <c r="M114" s="535"/>
      <c r="N114" s="2749"/>
      <c r="O114" s="2749"/>
      <c r="P114" s="2740"/>
      <c r="Q114" s="2736"/>
      <c r="R114" s="2722"/>
      <c r="S114" s="2722"/>
      <c r="T114" s="2722"/>
      <c r="U114" s="2722"/>
      <c r="V114" s="2722"/>
      <c r="W114" s="2722"/>
      <c r="X114" s="2722"/>
      <c r="Y114" s="2722"/>
      <c r="Z114" s="2722"/>
      <c r="AA114" s="2722"/>
      <c r="AB114" s="2722"/>
      <c r="AC114" s="2722"/>
    </row>
    <row r="115" spans="1:29" ht="15.75" thickBot="1">
      <c r="A115" s="483"/>
      <c r="B115" s="492"/>
      <c r="C115" s="493">
        <v>100</v>
      </c>
      <c r="D115" s="493">
        <f t="shared" ref="D115:M115" si="37">C115-$K38</f>
        <v>100</v>
      </c>
      <c r="E115" s="493">
        <f t="shared" si="37"/>
        <v>100</v>
      </c>
      <c r="F115" s="493">
        <f t="shared" si="37"/>
        <v>100</v>
      </c>
      <c r="G115" s="493">
        <f t="shared" si="37"/>
        <v>100</v>
      </c>
      <c r="H115" s="493">
        <f t="shared" si="37"/>
        <v>100</v>
      </c>
      <c r="I115" s="493">
        <f t="shared" si="37"/>
        <v>100</v>
      </c>
      <c r="J115" s="493">
        <f t="shared" si="37"/>
        <v>100</v>
      </c>
      <c r="K115" s="493">
        <f t="shared" si="37"/>
        <v>100</v>
      </c>
      <c r="L115" s="493">
        <f t="shared" si="37"/>
        <v>100</v>
      </c>
      <c r="M115" s="494">
        <f t="shared" si="37"/>
        <v>100</v>
      </c>
      <c r="N115" s="2750"/>
      <c r="O115" s="2750"/>
      <c r="P115" s="2740"/>
      <c r="Q115" s="2736"/>
      <c r="R115" s="2722"/>
      <c r="S115" s="2722"/>
      <c r="T115" s="2722"/>
      <c r="U115" s="2722"/>
      <c r="V115" s="2722"/>
      <c r="W115" s="2722"/>
      <c r="X115" s="2722"/>
      <c r="Y115" s="2722"/>
      <c r="Z115" s="2722"/>
      <c r="AA115" s="2722"/>
      <c r="AB115" s="2722"/>
      <c r="AC115" s="2722"/>
    </row>
    <row r="116" spans="1:29" ht="15" thickTop="1">
      <c r="A116" s="548"/>
      <c r="B116" s="487" t="s">
        <v>1807</v>
      </c>
      <c r="C116" s="503"/>
      <c r="D116" s="503"/>
      <c r="E116" s="503"/>
      <c r="F116" s="503"/>
      <c r="G116" s="503"/>
      <c r="H116" s="532"/>
      <c r="I116" s="532"/>
      <c r="J116" s="532"/>
      <c r="K116" s="533"/>
      <c r="L116" s="534"/>
      <c r="M116" s="535"/>
      <c r="N116" s="2749"/>
      <c r="O116" s="2749"/>
      <c r="P116" s="2740"/>
      <c r="Q116" s="2736"/>
      <c r="R116" s="2722"/>
      <c r="S116" s="2722"/>
      <c r="T116" s="2722"/>
      <c r="U116" s="2722"/>
      <c r="V116" s="2722"/>
      <c r="W116" s="2722"/>
      <c r="X116" s="2722"/>
      <c r="Y116" s="2722"/>
      <c r="Z116" s="2722"/>
      <c r="AA116" s="2722"/>
      <c r="AB116" s="2722"/>
      <c r="AC116" s="2722"/>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0"/>
      <c r="O117" s="2750"/>
      <c r="P117" s="2740"/>
      <c r="Q117" s="2736"/>
      <c r="R117" s="2722"/>
      <c r="S117" s="2722"/>
      <c r="T117" s="2722"/>
      <c r="U117" s="2722"/>
      <c r="V117" s="2722"/>
      <c r="W117" s="2722"/>
      <c r="X117" s="2722"/>
      <c r="Y117" s="2722"/>
      <c r="Z117" s="2722"/>
      <c r="AA117" s="2722"/>
      <c r="AB117" s="2722"/>
      <c r="AC117" s="2722"/>
    </row>
    <row r="118" spans="1:29" ht="15" thickTop="1">
      <c r="A118" s="548"/>
      <c r="B118" s="487" t="s">
        <v>1808</v>
      </c>
      <c r="C118" s="575"/>
      <c r="D118" s="575"/>
      <c r="E118" s="575"/>
      <c r="F118" s="575"/>
      <c r="G118" s="575"/>
      <c r="H118" s="504"/>
      <c r="I118" s="504"/>
      <c r="J118" s="504"/>
      <c r="K118" s="504"/>
      <c r="L118" s="505"/>
      <c r="M118" s="506"/>
      <c r="N118" s="2749"/>
      <c r="O118" s="2749"/>
      <c r="P118" s="2740"/>
      <c r="Q118" s="2736"/>
      <c r="R118" s="2722"/>
      <c r="S118" s="2722"/>
      <c r="T118" s="2722"/>
      <c r="U118" s="2722"/>
      <c r="V118" s="2722"/>
      <c r="W118" s="2722"/>
      <c r="X118" s="2722"/>
      <c r="Y118" s="2722"/>
      <c r="Z118" s="2722"/>
      <c r="AA118" s="2722"/>
      <c r="AB118" s="2722"/>
      <c r="AC118" s="2722"/>
    </row>
    <row r="119" spans="1:29" ht="15.75" thickBot="1">
      <c r="A119" s="483"/>
      <c r="B119" s="492"/>
      <c r="C119" s="509"/>
      <c r="D119" s="485"/>
      <c r="E119" s="485"/>
      <c r="F119" s="485"/>
      <c r="G119" s="485"/>
      <c r="H119" s="485"/>
      <c r="I119" s="485"/>
      <c r="J119" s="485"/>
      <c r="K119" s="485"/>
      <c r="L119" s="485"/>
      <c r="M119" s="486"/>
      <c r="N119" s="2750"/>
      <c r="O119" s="2750"/>
      <c r="P119" s="2740"/>
      <c r="Q119" s="2736"/>
      <c r="R119" s="2722"/>
      <c r="S119" s="2722"/>
      <c r="T119" s="2722"/>
      <c r="U119" s="2722"/>
      <c r="V119" s="2722"/>
      <c r="W119" s="2722"/>
      <c r="X119" s="2722"/>
      <c r="Y119" s="2722"/>
      <c r="Z119" s="2722"/>
      <c r="AA119" s="2722"/>
      <c r="AB119" s="2722"/>
      <c r="AC119" s="2722"/>
    </row>
    <row r="120" spans="1:29" s="422" customFormat="1" ht="15" thickTop="1">
      <c r="A120" s="542"/>
      <c r="B120" s="487" t="s">
        <v>1809</v>
      </c>
      <c r="C120" s="532"/>
      <c r="D120" s="532"/>
      <c r="E120" s="532"/>
      <c r="F120" s="532"/>
      <c r="G120" s="504"/>
      <c r="H120" s="504"/>
      <c r="I120" s="504"/>
      <c r="J120" s="504"/>
      <c r="K120" s="504"/>
      <c r="L120" s="505"/>
      <c r="M120" s="506"/>
      <c r="N120" s="2751"/>
      <c r="O120" s="2751"/>
      <c r="P120" s="2741"/>
      <c r="Q120" s="2742"/>
      <c r="R120" s="2743"/>
      <c r="S120" s="2743"/>
      <c r="T120" s="2743"/>
      <c r="U120" s="2743"/>
      <c r="V120" s="2743"/>
      <c r="W120" s="2743"/>
      <c r="X120" s="2743"/>
      <c r="Y120" s="2743"/>
      <c r="Z120" s="2743"/>
      <c r="AA120" s="2743"/>
      <c r="AB120" s="2743"/>
      <c r="AC120" s="2743"/>
    </row>
    <row r="121" spans="1:29" s="422" customFormat="1" ht="15.75" thickBot="1">
      <c r="A121" s="502"/>
      <c r="B121" s="484"/>
      <c r="C121" s="531">
        <v>100</v>
      </c>
      <c r="D121" s="493">
        <f>C121-$K41</f>
        <v>100</v>
      </c>
      <c r="E121" s="493">
        <f t="shared" ref="E121:M121" si="38">D121-$K41</f>
        <v>100</v>
      </c>
      <c r="F121" s="493">
        <f t="shared" si="38"/>
        <v>100</v>
      </c>
      <c r="G121" s="493">
        <f t="shared" si="38"/>
        <v>100</v>
      </c>
      <c r="H121" s="493">
        <f t="shared" si="38"/>
        <v>100</v>
      </c>
      <c r="I121" s="493">
        <f t="shared" si="38"/>
        <v>100</v>
      </c>
      <c r="J121" s="493">
        <f t="shared" si="38"/>
        <v>100</v>
      </c>
      <c r="K121" s="493">
        <f t="shared" si="38"/>
        <v>100</v>
      </c>
      <c r="L121" s="493">
        <f t="shared" si="38"/>
        <v>100</v>
      </c>
      <c r="M121" s="494">
        <f t="shared" si="38"/>
        <v>100</v>
      </c>
      <c r="N121" s="2751"/>
      <c r="O121" s="2751"/>
      <c r="P121" s="2741"/>
      <c r="Q121" s="2742"/>
      <c r="R121" s="2743"/>
      <c r="S121" s="2743"/>
      <c r="T121" s="2743"/>
      <c r="U121" s="2743"/>
      <c r="V121" s="2743"/>
      <c r="W121" s="2743"/>
      <c r="X121" s="2743"/>
      <c r="Y121" s="2743"/>
      <c r="Z121" s="2743"/>
      <c r="AA121" s="2743"/>
      <c r="AB121" s="2743"/>
      <c r="AC121" s="2743"/>
    </row>
    <row r="122" spans="1:29" ht="15" thickTop="1">
      <c r="A122" s="548"/>
      <c r="B122" s="487" t="s">
        <v>1744</v>
      </c>
      <c r="C122" s="503"/>
      <c r="D122" s="503"/>
      <c r="E122" s="503"/>
      <c r="F122" s="532"/>
      <c r="G122" s="532"/>
      <c r="H122" s="532"/>
      <c r="I122" s="532"/>
      <c r="J122" s="532"/>
      <c r="K122" s="533"/>
      <c r="L122" s="534"/>
      <c r="M122" s="535"/>
      <c r="N122" s="2749"/>
      <c r="O122" s="2749"/>
      <c r="P122" s="2740"/>
      <c r="Q122" s="2736"/>
      <c r="R122" s="2722"/>
      <c r="S122" s="2722"/>
      <c r="T122" s="2722"/>
      <c r="U122" s="2722"/>
      <c r="V122" s="2722"/>
      <c r="W122" s="2722"/>
      <c r="X122" s="2722"/>
      <c r="Y122" s="2722"/>
      <c r="Z122" s="2722"/>
      <c r="AA122" s="2722"/>
      <c r="AB122" s="2722"/>
      <c r="AC122" s="2722"/>
    </row>
    <row r="123" spans="1:29" ht="15.75" thickBot="1">
      <c r="A123" s="483"/>
      <c r="B123" s="492"/>
      <c r="C123" s="493">
        <v>100</v>
      </c>
      <c r="D123" s="493">
        <f t="shared" ref="D123:M123" si="39">C123-$K42</f>
        <v>100</v>
      </c>
      <c r="E123" s="493">
        <f t="shared" si="39"/>
        <v>100</v>
      </c>
      <c r="F123" s="493">
        <f t="shared" si="39"/>
        <v>100</v>
      </c>
      <c r="G123" s="493">
        <f t="shared" si="39"/>
        <v>100</v>
      </c>
      <c r="H123" s="493">
        <f t="shared" si="39"/>
        <v>100</v>
      </c>
      <c r="I123" s="493">
        <f t="shared" si="39"/>
        <v>100</v>
      </c>
      <c r="J123" s="493">
        <f t="shared" si="39"/>
        <v>100</v>
      </c>
      <c r="K123" s="493">
        <f t="shared" si="39"/>
        <v>100</v>
      </c>
      <c r="L123" s="493">
        <f t="shared" si="39"/>
        <v>100</v>
      </c>
      <c r="M123" s="494">
        <f t="shared" si="39"/>
        <v>100</v>
      </c>
      <c r="N123" s="2750"/>
      <c r="O123" s="2750"/>
      <c r="P123" s="2740"/>
      <c r="Q123" s="2736"/>
      <c r="R123" s="2722"/>
      <c r="S123" s="2722"/>
      <c r="T123" s="2722"/>
      <c r="U123" s="2722"/>
      <c r="V123" s="2722"/>
      <c r="W123" s="2722"/>
      <c r="X123" s="2722"/>
      <c r="Y123" s="2722"/>
      <c r="Z123" s="2722"/>
      <c r="AA123" s="2722"/>
      <c r="AB123" s="2722"/>
      <c r="AC123" s="2722"/>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49"/>
      <c r="O124" s="2749"/>
      <c r="P124" s="2741"/>
      <c r="Q124" s="2736"/>
      <c r="R124" s="2722"/>
      <c r="S124" s="2722"/>
      <c r="T124" s="2722"/>
      <c r="U124" s="2722"/>
      <c r="V124" s="2722"/>
      <c r="W124" s="2722"/>
      <c r="X124" s="2722"/>
      <c r="Y124" s="2722"/>
      <c r="Z124" s="2722"/>
      <c r="AA124" s="2722"/>
      <c r="AB124" s="2722"/>
      <c r="AC124" s="2722"/>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0"/>
      <c r="O125" s="2750"/>
      <c r="P125" s="2740"/>
      <c r="Q125" s="2736"/>
      <c r="R125" s="2722"/>
      <c r="S125" s="2722"/>
      <c r="T125" s="2722"/>
      <c r="U125" s="2722"/>
      <c r="V125" s="2722"/>
      <c r="W125" s="2722"/>
      <c r="X125" s="2722"/>
      <c r="Y125" s="2722"/>
      <c r="Z125" s="2722"/>
      <c r="AA125" s="2722"/>
      <c r="AB125" s="2722"/>
      <c r="AC125" s="2722"/>
    </row>
    <row r="126" spans="1:29" s="422" customFormat="1" ht="15" thickTop="1">
      <c r="A126" s="542"/>
      <c r="B126" s="487">
        <f>B44</f>
        <v>111</v>
      </c>
      <c r="C126" s="503"/>
      <c r="D126" s="503"/>
      <c r="E126" s="503"/>
      <c r="F126" s="503"/>
      <c r="G126" s="503"/>
      <c r="H126" s="504"/>
      <c r="I126" s="504"/>
      <c r="J126" s="504"/>
      <c r="K126" s="504"/>
      <c r="L126" s="505"/>
      <c r="M126" s="506"/>
      <c r="N126" s="2751"/>
      <c r="O126" s="2751"/>
      <c r="P126" s="2741"/>
      <c r="Q126" s="2742"/>
      <c r="R126" s="2743"/>
      <c r="S126" s="2743"/>
      <c r="T126" s="2743"/>
      <c r="U126" s="2743"/>
      <c r="V126" s="2743"/>
      <c r="W126" s="2743"/>
      <c r="X126" s="2743"/>
      <c r="Y126" s="2743"/>
      <c r="Z126" s="2743"/>
      <c r="AA126" s="2743"/>
      <c r="AB126" s="2743"/>
      <c r="AC126" s="2743"/>
    </row>
    <row r="127" spans="1:29" s="422" customFormat="1" ht="15.75" thickBot="1">
      <c r="A127" s="502"/>
      <c r="B127" s="492"/>
      <c r="C127" s="509"/>
      <c r="D127" s="485"/>
      <c r="E127" s="485"/>
      <c r="F127" s="485"/>
      <c r="G127" s="509"/>
      <c r="H127" s="511"/>
      <c r="I127" s="511"/>
      <c r="J127" s="511"/>
      <c r="K127" s="511"/>
      <c r="L127" s="511"/>
      <c r="M127" s="512"/>
      <c r="N127" s="2751"/>
      <c r="O127" s="2751"/>
      <c r="P127" s="2741"/>
      <c r="Q127" s="2742"/>
      <c r="R127" s="2743"/>
      <c r="S127" s="2743"/>
      <c r="T127" s="2743"/>
      <c r="U127" s="2743"/>
      <c r="V127" s="2743"/>
      <c r="W127" s="2743"/>
      <c r="X127" s="2743"/>
      <c r="Y127" s="2743"/>
      <c r="Z127" s="2743"/>
      <c r="AA127" s="2743"/>
      <c r="AB127" s="2743"/>
      <c r="AC127" s="2743"/>
    </row>
    <row r="128" spans="1:29" ht="15" thickTop="1">
      <c r="A128" s="548"/>
      <c r="B128" s="487">
        <f>B45</f>
        <v>111</v>
      </c>
      <c r="C128" s="503"/>
      <c r="D128" s="503"/>
      <c r="E128" s="503"/>
      <c r="F128" s="503"/>
      <c r="G128" s="532"/>
      <c r="H128" s="532"/>
      <c r="I128" s="532"/>
      <c r="J128" s="532"/>
      <c r="K128" s="533"/>
      <c r="L128" s="534"/>
      <c r="M128" s="535"/>
      <c r="N128" s="2749"/>
      <c r="O128" s="2749"/>
      <c r="P128" s="2740"/>
      <c r="Q128" s="2736"/>
      <c r="R128" s="2722"/>
      <c r="S128" s="2722"/>
      <c r="T128" s="2722"/>
      <c r="U128" s="2722"/>
      <c r="V128" s="2722"/>
      <c r="W128" s="2722"/>
      <c r="X128" s="2722"/>
      <c r="Y128" s="2722"/>
      <c r="Z128" s="2722"/>
      <c r="AA128" s="2722"/>
      <c r="AB128" s="2722"/>
      <c r="AC128" s="2722"/>
    </row>
    <row r="129" spans="1:29" ht="15.75" thickBot="1">
      <c r="A129" s="483"/>
      <c r="B129" s="492"/>
      <c r="C129" s="509"/>
      <c r="D129" s="485"/>
      <c r="E129" s="485"/>
      <c r="F129" s="485"/>
      <c r="G129" s="485"/>
      <c r="H129" s="485"/>
      <c r="I129" s="485"/>
      <c r="J129" s="485"/>
      <c r="K129" s="485"/>
      <c r="L129" s="485"/>
      <c r="M129" s="486"/>
      <c r="N129" s="2750"/>
      <c r="O129" s="2750"/>
      <c r="P129" s="2740"/>
      <c r="Q129" s="2736"/>
      <c r="R129" s="2722"/>
      <c r="S129" s="2722"/>
      <c r="T129" s="2722"/>
      <c r="U129" s="2722"/>
      <c r="V129" s="2722"/>
      <c r="W129" s="2722"/>
      <c r="X129" s="2722"/>
      <c r="Y129" s="2722"/>
      <c r="Z129" s="2722"/>
      <c r="AA129" s="2722"/>
      <c r="AB129" s="2722"/>
      <c r="AC129" s="2722"/>
    </row>
    <row r="130" spans="1:29" ht="15" thickTop="1">
      <c r="A130" s="548"/>
      <c r="B130" s="495">
        <f>B46</f>
        <v>111</v>
      </c>
      <c r="C130" s="503"/>
      <c r="D130" s="503"/>
      <c r="E130" s="503"/>
      <c r="F130" s="503"/>
      <c r="G130" s="536"/>
      <c r="H130" s="536"/>
      <c r="I130" s="536"/>
      <c r="J130" s="536"/>
      <c r="K130" s="472"/>
      <c r="L130" s="473"/>
      <c r="M130" s="539"/>
      <c r="N130" s="2749"/>
      <c r="O130" s="2749"/>
      <c r="P130" s="2740"/>
      <c r="Q130" s="2736"/>
      <c r="R130" s="2722"/>
      <c r="S130" s="2722"/>
      <c r="T130" s="2722"/>
      <c r="U130" s="2722"/>
      <c r="V130" s="2722"/>
      <c r="W130" s="2722"/>
      <c r="X130" s="2722"/>
      <c r="Y130" s="2722"/>
      <c r="Z130" s="2722"/>
      <c r="AA130" s="2722"/>
      <c r="AB130" s="2722"/>
      <c r="AC130" s="2722"/>
    </row>
    <row r="131" spans="1:29" ht="15.75" thickBot="1">
      <c r="A131" s="1926"/>
      <c r="B131" s="518"/>
      <c r="C131" s="519"/>
      <c r="D131" s="519"/>
      <c r="E131" s="519"/>
      <c r="F131" s="519"/>
      <c r="G131" s="540"/>
      <c r="H131" s="540"/>
      <c r="I131" s="540"/>
      <c r="J131" s="540"/>
      <c r="K131" s="540"/>
      <c r="L131" s="540"/>
      <c r="M131" s="541"/>
      <c r="N131" s="2750"/>
      <c r="O131" s="2750"/>
      <c r="P131" s="2740"/>
      <c r="Q131" s="2736"/>
      <c r="R131" s="2722"/>
      <c r="S131" s="2722"/>
      <c r="T131" s="2722"/>
      <c r="U131" s="2722"/>
      <c r="V131" s="2722"/>
      <c r="W131" s="2722"/>
      <c r="X131" s="2722"/>
      <c r="Y131" s="2722"/>
      <c r="Z131" s="2722"/>
      <c r="AA131" s="2722"/>
      <c r="AB131" s="2722"/>
      <c r="AC131" s="272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76" priority="21" stopIfTrue="1" operator="containsText" text="超过">
      <formula>NOT(ISERROR(SEARCH("超过",F52)))</formula>
    </cfRule>
  </conditionalFormatting>
  <conditionalFormatting sqref="H54">
    <cfRule type="containsText" dxfId="175" priority="19" stopIfTrue="1" operator="containsText" text="超过">
      <formula>NOT(ISERROR(SEARCH("超过",H54)))</formula>
    </cfRule>
  </conditionalFormatting>
  <conditionalFormatting sqref="F54">
    <cfRule type="containsText" dxfId="174" priority="18" stopIfTrue="1" operator="containsText" text="超过">
      <formula>NOT(ISERROR(SEARCH("超过",F54)))</formula>
    </cfRule>
  </conditionalFormatting>
  <conditionalFormatting sqref="F53 H53">
    <cfRule type="containsText" dxfId="173" priority="17" stopIfTrue="1" operator="containsText" text="超过">
      <formula>NOT(ISERROR(SEARCH("超过",F53)))</formula>
    </cfRule>
  </conditionalFormatting>
  <conditionalFormatting sqref="E52">
    <cfRule type="expression" dxfId="172" priority="16" stopIfTrue="1">
      <formula>$F$52="超过30%"</formula>
    </cfRule>
  </conditionalFormatting>
  <conditionalFormatting sqref="E53">
    <cfRule type="expression" dxfId="171" priority="15" stopIfTrue="1">
      <formula>$F$53="超过20%"</formula>
    </cfRule>
  </conditionalFormatting>
  <conditionalFormatting sqref="E54">
    <cfRule type="expression" dxfId="170" priority="14" stopIfTrue="1">
      <formula>$F$54="超过30%"</formula>
    </cfRule>
  </conditionalFormatting>
  <conditionalFormatting sqref="G54">
    <cfRule type="expression" dxfId="169" priority="13" stopIfTrue="1">
      <formula>$H$54="超过30%"</formula>
    </cfRule>
  </conditionalFormatting>
  <conditionalFormatting sqref="G52">
    <cfRule type="expression" dxfId="168" priority="12" stopIfTrue="1">
      <formula>$H$52="超过30%"</formula>
    </cfRule>
  </conditionalFormatting>
  <conditionalFormatting sqref="G53">
    <cfRule type="expression" dxfId="167" priority="11" stopIfTrue="1">
      <formula>$H$53="超过20%"</formula>
    </cfRule>
  </conditionalFormatting>
  <conditionalFormatting sqref="J52">
    <cfRule type="containsText" dxfId="166" priority="10" stopIfTrue="1" operator="containsText" text="超过">
      <formula>NOT(ISERROR(SEARCH("超过",J52)))</formula>
    </cfRule>
  </conditionalFormatting>
  <conditionalFormatting sqref="J54">
    <cfRule type="containsText" dxfId="165" priority="9" stopIfTrue="1" operator="containsText" text="超过">
      <formula>NOT(ISERROR(SEARCH("超过",J54)))</formula>
    </cfRule>
  </conditionalFormatting>
  <conditionalFormatting sqref="J53">
    <cfRule type="containsText" dxfId="164" priority="8" stopIfTrue="1" operator="containsText" text="超过">
      <formula>NOT(ISERROR(SEARCH("超过",J53)))</formula>
    </cfRule>
  </conditionalFormatting>
  <conditionalFormatting sqref="I52">
    <cfRule type="expression" dxfId="163" priority="7" stopIfTrue="1">
      <formula>$J$52="超过30%"</formula>
    </cfRule>
  </conditionalFormatting>
  <conditionalFormatting sqref="I53">
    <cfRule type="expression" dxfId="162" priority="6" stopIfTrue="1">
      <formula>$J$53="超过20%"</formula>
    </cfRule>
  </conditionalFormatting>
  <conditionalFormatting sqref="I54">
    <cfRule type="expression" dxfId="161" priority="5" stopIfTrue="1">
      <formula>$J$54="超过30%"</formula>
    </cfRule>
  </conditionalFormatting>
  <conditionalFormatting sqref="F48">
    <cfRule type="expression" dxfId="160" priority="4">
      <formula>$D$48="简单平均"</formula>
    </cfRule>
  </conditionalFormatting>
  <conditionalFormatting sqref="H48">
    <cfRule type="expression" dxfId="159" priority="3">
      <formula>$D$48="简单平均"</formula>
    </cfRule>
  </conditionalFormatting>
  <conditionalFormatting sqref="J48">
    <cfRule type="expression" dxfId="158" priority="2">
      <formula>$D$48="简单平均"</formula>
    </cfRule>
  </conditionalFormatting>
  <conditionalFormatting sqref="F7:F46 H7:H46 J7:J46">
    <cfRule type="cellIs" dxfId="157"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2" customWidth="1"/>
    <col min="2" max="9" width="10" style="842" customWidth="1"/>
    <col min="10" max="16384" width="9" style="842"/>
  </cols>
  <sheetData>
    <row r="36" spans="1:9">
      <c r="A36" s="841" t="s">
        <v>371</v>
      </c>
      <c r="B36" s="841" t="s">
        <v>372</v>
      </c>
    </row>
    <row r="37" spans="1:9" ht="27.75" customHeight="1">
      <c r="A37" s="841"/>
      <c r="B37" s="3527" t="str">
        <f>项目基本情况!B1</f>
        <v>北京市房地产抵押价值预评估</v>
      </c>
      <c r="C37" s="3527"/>
      <c r="D37" s="3527"/>
      <c r="E37" s="3527"/>
      <c r="F37" s="3527"/>
      <c r="G37" s="3527"/>
      <c r="H37" s="3527"/>
      <c r="I37" s="3527"/>
    </row>
    <row r="38" spans="1:9">
      <c r="A38" s="843"/>
      <c r="B38" s="843"/>
    </row>
    <row r="39" spans="1:9">
      <c r="A39" s="841" t="s">
        <v>371</v>
      </c>
      <c r="B39" s="841" t="s">
        <v>373</v>
      </c>
    </row>
    <row r="40" spans="1:9">
      <c r="A40" s="841"/>
      <c r="B40" s="1472">
        <f>项目基本情况!B5</f>
        <v>0</v>
      </c>
    </row>
    <row r="41" spans="1:9">
      <c r="A41" s="841"/>
      <c r="B41" s="841"/>
    </row>
    <row r="42" spans="1:9">
      <c r="A42" s="841" t="s">
        <v>371</v>
      </c>
      <c r="B42" s="841" t="s">
        <v>374</v>
      </c>
    </row>
    <row r="43" spans="1:9">
      <c r="A43" s="841"/>
      <c r="B43" s="1472" t="s">
        <v>375</v>
      </c>
    </row>
    <row r="44" spans="1:9">
      <c r="A44" s="841"/>
      <c r="B44" s="841"/>
    </row>
    <row r="45" spans="1:9">
      <c r="A45" s="841" t="s">
        <v>371</v>
      </c>
      <c r="B45" s="841" t="s">
        <v>376</v>
      </c>
    </row>
    <row r="46" spans="1:9" s="841" customFormat="1" ht="12.75">
      <c r="B46" s="1472" t="str">
        <f>项目基本情况!K4</f>
        <v>（注册号：0)、（注册号：0)</v>
      </c>
    </row>
    <row r="47" spans="1:9">
      <c r="A47" s="841"/>
      <c r="B47" s="841" t="str">
        <f>项目基本情况!K5</f>
        <v>（注册号：0)、（注册号：0)</v>
      </c>
    </row>
    <row r="48" spans="1:9">
      <c r="A48" s="841" t="s">
        <v>371</v>
      </c>
      <c r="B48" s="841" t="s">
        <v>377</v>
      </c>
    </row>
    <row r="49" spans="2:2">
      <c r="B49" s="1472"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K10"/>
  <sheetViews>
    <sheetView workbookViewId="0">
      <selection activeCell="G8" sqref="G8"/>
    </sheetView>
  </sheetViews>
  <sheetFormatPr defaultRowHeight="13.5"/>
  <sheetData>
    <row r="7" spans="1:11" ht="31.5">
      <c r="A7" s="3485" t="s">
        <v>3477</v>
      </c>
      <c r="B7" s="3485" t="s">
        <v>3478</v>
      </c>
      <c r="C7" s="3485" t="s">
        <v>3479</v>
      </c>
      <c r="D7" s="3486" t="s">
        <v>3480</v>
      </c>
      <c r="E7" s="3485" t="s">
        <v>3481</v>
      </c>
      <c r="F7" s="3487" t="s">
        <v>3482</v>
      </c>
      <c r="G7" s="3487" t="s">
        <v>3483</v>
      </c>
      <c r="H7" s="3488" t="s">
        <v>3484</v>
      </c>
      <c r="I7" s="3489" t="s">
        <v>3485</v>
      </c>
      <c r="J7" s="3486" t="s">
        <v>3486</v>
      </c>
      <c r="K7" s="3486" t="s">
        <v>3487</v>
      </c>
    </row>
    <row r="8" spans="1:11" s="3478" customFormat="1" ht="21">
      <c r="A8" s="3472">
        <v>22</v>
      </c>
      <c r="B8" s="3473" t="s">
        <v>3467</v>
      </c>
      <c r="C8" s="3473" t="s">
        <v>21</v>
      </c>
      <c r="D8" s="3473" t="s">
        <v>3468</v>
      </c>
      <c r="E8" s="3473" t="s">
        <v>3469</v>
      </c>
      <c r="F8" s="3474">
        <v>8.67</v>
      </c>
      <c r="G8" s="3475">
        <v>38464</v>
      </c>
      <c r="H8" s="3476">
        <v>22547</v>
      </c>
      <c r="I8" s="3477" t="s">
        <v>3470</v>
      </c>
      <c r="J8" s="3477" t="s">
        <v>3471</v>
      </c>
      <c r="K8" s="3477" t="s">
        <v>3472</v>
      </c>
    </row>
    <row r="9" spans="1:11" s="3478" customFormat="1" ht="21">
      <c r="A9" s="3479">
        <v>23</v>
      </c>
      <c r="B9" s="3480" t="s">
        <v>3467</v>
      </c>
      <c r="C9" s="3480" t="s">
        <v>21</v>
      </c>
      <c r="D9" s="3480" t="s">
        <v>3473</v>
      </c>
      <c r="E9" s="3480" t="s">
        <v>3474</v>
      </c>
      <c r="F9" s="3481">
        <v>8.75</v>
      </c>
      <c r="G9" s="3482">
        <v>45240</v>
      </c>
      <c r="H9" s="3483">
        <v>19343</v>
      </c>
      <c r="I9" s="3484" t="s">
        <v>3470</v>
      </c>
      <c r="J9" s="3484" t="s">
        <v>3475</v>
      </c>
      <c r="K9" s="3484" t="s">
        <v>3476</v>
      </c>
    </row>
    <row r="10" spans="1:11" s="3478" customFormat="1" ht="21">
      <c r="A10" s="3479">
        <v>25</v>
      </c>
      <c r="B10" s="3480" t="s">
        <v>3488</v>
      </c>
      <c r="C10" s="3480" t="s">
        <v>21</v>
      </c>
      <c r="D10" s="3480" t="s">
        <v>3489</v>
      </c>
      <c r="E10" s="3480" t="s">
        <v>3490</v>
      </c>
      <c r="F10" s="3481">
        <v>16.440000000000001</v>
      </c>
      <c r="G10" s="3482">
        <v>66158</v>
      </c>
      <c r="H10" s="3483">
        <v>24847</v>
      </c>
      <c r="I10" s="3484" t="s">
        <v>3470</v>
      </c>
      <c r="J10" s="3484" t="s">
        <v>3491</v>
      </c>
      <c r="K10" s="3484" t="s">
        <v>3492</v>
      </c>
    </row>
  </sheetData>
  <phoneticPr fontId="134" type="noConversion"/>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M29" sqref="M29"/>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68"/>
      <c r="C1" s="198"/>
      <c r="D1" s="198"/>
      <c r="E1" s="198"/>
      <c r="F1" s="198"/>
      <c r="G1" s="1125">
        <f>MATCH(B1,'数据-取费表'!A6:A16,0)+5</f>
        <v>7</v>
      </c>
    </row>
    <row r="2" spans="1:9" s="200" customFormat="1" ht="18" customHeight="1">
      <c r="A2" s="201" t="s">
        <v>1462</v>
      </c>
      <c r="B2" s="202">
        <f ca="1">IF(D2="——",C52,C52-E2)</f>
        <v>27704</v>
      </c>
      <c r="C2" s="199" t="s">
        <v>1463</v>
      </c>
      <c r="D2" s="1851" t="s">
        <v>43</v>
      </c>
      <c r="E2" s="1168" t="e">
        <f ca="1">SUMIF(INDIRECT("'"&amp;G2&amp;"'"&amp;"!A:A"),"承租人权益价值",INDIRECT("'"&amp;G2&amp;"'"&amp;"!c:c"))</f>
        <v>#REF!</v>
      </c>
      <c r="F2" s="1852" t="s">
        <v>1463</v>
      </c>
      <c r="G2" s="1853"/>
    </row>
    <row r="3" spans="1:9" s="200" customFormat="1" ht="18" customHeight="1" thickBot="1">
      <c r="A3" s="203" t="s">
        <v>1464</v>
      </c>
      <c r="B3" s="204">
        <f ca="1">ROUND(B2*10000/(IF(B1="",'数据-汇总表'!E3,INDIRECT("'数据-取费表'!k"&amp;$G$1))),0)</f>
        <v>13809</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11629</v>
      </c>
      <c r="D5" s="211" t="s">
        <v>1469</v>
      </c>
      <c r="E5" s="212" t="s">
        <v>1470</v>
      </c>
      <c r="F5" s="212" t="s">
        <v>1471</v>
      </c>
      <c r="G5" s="213"/>
    </row>
    <row r="6" spans="1:9" s="214" customFormat="1" ht="13.5" customHeight="1">
      <c r="A6" s="777" t="s">
        <v>1472</v>
      </c>
      <c r="B6" s="215" t="s">
        <v>1473</v>
      </c>
      <c r="C6" s="216">
        <f>'土地比较法-住宅、综合'!B2</f>
        <v>10896</v>
      </c>
      <c r="D6" s="217"/>
      <c r="E6" s="218"/>
      <c r="F6" s="218"/>
      <c r="G6" s="219"/>
    </row>
    <row r="7" spans="1:9" s="214" customFormat="1" ht="13.5" customHeight="1">
      <c r="A7" s="777" t="s">
        <v>1474</v>
      </c>
      <c r="B7" s="215" t="s">
        <v>1475</v>
      </c>
      <c r="C7" s="220">
        <f>ROUND(C6*F7,0)</f>
        <v>332</v>
      </c>
      <c r="D7" s="220"/>
      <c r="E7" s="218"/>
      <c r="F7" s="221">
        <f>IF(项目基本情况!B8="出让",0,'数据-取费表'!B48+'数据-取费表'!B49)</f>
        <v>3.0499999999999999E-2</v>
      </c>
      <c r="G7" s="219"/>
    </row>
    <row r="8" spans="1:9" s="223" customFormat="1">
      <c r="A8" s="777" t="s">
        <v>1476</v>
      </c>
      <c r="B8" s="215" t="s">
        <v>1477</v>
      </c>
      <c r="C8" s="220">
        <f ca="1">IF(G8="已包含在土地购买价格中","0",IF(B1="",'数据-取费表'!B29,IF(G9="全部缴纳",C9+C10,H9)))</f>
        <v>401</v>
      </c>
      <c r="D8" s="222"/>
      <c r="E8" s="220"/>
      <c r="F8" s="221"/>
      <c r="G8" s="1854" t="s">
        <v>3405</v>
      </c>
    </row>
    <row r="9" spans="1:9" s="214" customFormat="1" ht="13.5" customHeight="1">
      <c r="A9" s="778" t="s">
        <v>355</v>
      </c>
      <c r="B9" s="224" t="s">
        <v>1478</v>
      </c>
      <c r="C9" s="225">
        <f ca="1">ROUND(D9*E9/10000,0)</f>
        <v>0</v>
      </c>
      <c r="D9" s="844">
        <f ca="1">IF(B1="",'数据-汇总表'!E5,IF(INDIRECT("'数据-取费表'!c"&amp;$G$1)="住宅",INDIRECT("'数据-取费表'!k"&amp;$G$1),0))</f>
        <v>0</v>
      </c>
      <c r="E9" s="225">
        <f>'数据-取费表'!B27</f>
        <v>0</v>
      </c>
      <c r="F9" s="221"/>
      <c r="G9" s="1855" t="s">
        <v>3403</v>
      </c>
      <c r="H9" s="1136"/>
      <c r="I9" s="1856" t="s">
        <v>1479</v>
      </c>
    </row>
    <row r="10" spans="1:9" s="214" customFormat="1" ht="13.5" customHeight="1">
      <c r="A10" s="778" t="s">
        <v>356</v>
      </c>
      <c r="B10" s="224" t="s">
        <v>1480</v>
      </c>
      <c r="C10" s="225">
        <f ca="1">ROUND(D10*E10/10000,0)</f>
        <v>401</v>
      </c>
      <c r="D10" s="844">
        <f ca="1">IF(B1="",'数据-汇总表'!E6,IF(INDIRECT("'数据-取费表'!c"&amp;$G$1)="住宅",INDIRECT("'数据-取费表'!s"&amp;$G$1),INDIRECT("'数据-取费表'!k"&amp;$G$1)+INDIRECT("'数据-取费表'!s"&amp;$G$1)))</f>
        <v>20062.899999999998</v>
      </c>
      <c r="E10" s="225">
        <f>'数据-取费表'!B28</f>
        <v>200</v>
      </c>
      <c r="F10" s="221"/>
      <c r="G10" s="226"/>
    </row>
    <row r="11" spans="1:9" s="214" customFormat="1" ht="13.5" hidden="1" customHeight="1">
      <c r="A11" s="227" t="s">
        <v>4</v>
      </c>
      <c r="B11" s="215" t="s">
        <v>1481</v>
      </c>
      <c r="C11" s="211"/>
      <c r="D11" s="846"/>
      <c r="E11" s="218"/>
      <c r="F11" s="218"/>
      <c r="G11" s="219"/>
    </row>
    <row r="12" spans="1:9" s="214" customFormat="1" ht="13.5" hidden="1" customHeight="1">
      <c r="A12" s="227" t="s">
        <v>5</v>
      </c>
      <c r="B12" s="215" t="s">
        <v>1482</v>
      </c>
      <c r="C12" s="211">
        <v>0</v>
      </c>
      <c r="D12" s="846"/>
      <c r="E12" s="228"/>
      <c r="F12" s="221">
        <v>3.0499999999999999E-2</v>
      </c>
      <c r="G12" s="219"/>
    </row>
    <row r="13" spans="1:9" s="214" customFormat="1" ht="13.5" hidden="1" customHeight="1">
      <c r="A13" s="227" t="s">
        <v>6</v>
      </c>
      <c r="B13" s="215" t="s">
        <v>1483</v>
      </c>
      <c r="C13" s="211"/>
      <c r="D13" s="846"/>
      <c r="E13" s="218"/>
      <c r="F13" s="218"/>
      <c r="G13" s="219"/>
    </row>
    <row r="14" spans="1:9" s="214" customFormat="1" ht="13.5" hidden="1" customHeight="1">
      <c r="A14" s="227" t="s">
        <v>7</v>
      </c>
      <c r="B14" s="215" t="s">
        <v>1484</v>
      </c>
      <c r="C14" s="211"/>
      <c r="D14" s="846"/>
      <c r="E14" s="218"/>
      <c r="F14" s="218"/>
      <c r="G14" s="219" t="s">
        <v>1485</v>
      </c>
    </row>
    <row r="15" spans="1:9" s="214" customFormat="1" ht="13.5" hidden="1" customHeight="1">
      <c r="A15" s="227" t="s">
        <v>8</v>
      </c>
      <c r="B15" s="215" t="s">
        <v>1486</v>
      </c>
      <c r="C15" s="220"/>
      <c r="D15" s="846"/>
      <c r="E15" s="218"/>
      <c r="F15" s="218"/>
      <c r="G15" s="219" t="s">
        <v>1487</v>
      </c>
    </row>
    <row r="16" spans="1:9" s="214" customFormat="1" ht="13.5" hidden="1" customHeight="1">
      <c r="A16" s="227" t="s">
        <v>9</v>
      </c>
      <c r="B16" s="215" t="s">
        <v>1484</v>
      </c>
      <c r="C16" s="220"/>
      <c r="D16" s="846"/>
      <c r="E16" s="218"/>
      <c r="F16" s="218"/>
      <c r="G16" s="219"/>
    </row>
    <row r="17" spans="1:7" s="214" customFormat="1" ht="13.5" hidden="1" customHeight="1">
      <c r="A17" s="227" t="s">
        <v>10</v>
      </c>
      <c r="B17" s="215" t="s">
        <v>1488</v>
      </c>
      <c r="C17" s="229"/>
      <c r="D17" s="847"/>
      <c r="E17" s="229"/>
      <c r="F17" s="229"/>
      <c r="G17" s="219" t="s">
        <v>1487</v>
      </c>
    </row>
    <row r="18" spans="1:7" s="214" customFormat="1" ht="13.5" hidden="1" customHeight="1">
      <c r="A18" s="227" t="s">
        <v>11</v>
      </c>
      <c r="B18" s="215" t="s">
        <v>1489</v>
      </c>
      <c r="C18" s="220">
        <v>0</v>
      </c>
      <c r="D18" s="846"/>
      <c r="E18" s="218"/>
      <c r="F18" s="221">
        <v>3.0499999999999999E-2</v>
      </c>
      <c r="G18" s="219" t="s">
        <v>1490</v>
      </c>
    </row>
    <row r="19" spans="1:7" s="223" customFormat="1" ht="13.5" customHeight="1">
      <c r="A19" s="255" t="s">
        <v>1491</v>
      </c>
      <c r="B19" s="210" t="s">
        <v>1492</v>
      </c>
      <c r="C19" s="211" t="str">
        <f>IF(G19="已包含在土地取得成本中","0",ROUND(D19*E19/10000,0))</f>
        <v>0</v>
      </c>
      <c r="D19" s="848">
        <f ca="1">D9+D10</f>
        <v>20062.899999999998</v>
      </c>
      <c r="E19" s="211">
        <f>'数据-取费表'!B31</f>
        <v>200</v>
      </c>
      <c r="F19" s="231"/>
      <c r="G19" s="1854" t="s">
        <v>3404</v>
      </c>
    </row>
    <row r="20" spans="1:7" s="214" customFormat="1" ht="13.5" customHeight="1">
      <c r="A20" s="255" t="s">
        <v>1493</v>
      </c>
      <c r="B20" s="210" t="s">
        <v>1494</v>
      </c>
      <c r="C20" s="232">
        <f ca="1">ROUND((C5+C19)*F20,0)</f>
        <v>233</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3">
        <f ca="1">ROUND(SUM(C23:C25),0)</f>
        <v>995</v>
      </c>
      <c r="D22" s="235">
        <f ca="1">C26</f>
        <v>8.0000000000000004E-4</v>
      </c>
      <c r="E22" s="236" t="s">
        <v>1498</v>
      </c>
      <c r="F22" s="237">
        <f ca="1">'数据-取费表'!B40</f>
        <v>4.1499999999999995E-2</v>
      </c>
      <c r="G22" s="234" t="str">
        <f>IF('数据-取费表'!B22&lt;=1,"单利计息","复利计息")</f>
        <v>复利计息</v>
      </c>
    </row>
    <row r="23" spans="1:7" s="214" customFormat="1" ht="13.5" customHeight="1">
      <c r="A23" s="779" t="s">
        <v>1502</v>
      </c>
      <c r="B23" s="215" t="s">
        <v>1503</v>
      </c>
      <c r="C23" s="1104">
        <f ca="1">ROUND(IF('数据-取费表'!B22&lt;=1,C5*F22*'数据-取费表'!B23,C5*(POWER((1+F22),'数据-取费表'!B23)-1)),0)</f>
        <v>985</v>
      </c>
      <c r="D23" s="238"/>
      <c r="E23" s="238"/>
      <c r="F23" s="239"/>
      <c r="G23" s="240" t="s">
        <v>1504</v>
      </c>
    </row>
    <row r="24" spans="1:7" s="214" customFormat="1" ht="13.5" customHeight="1">
      <c r="A24" s="779" t="s">
        <v>1505</v>
      </c>
      <c r="B24" s="215" t="s">
        <v>1506</v>
      </c>
      <c r="C24" s="1104">
        <f ca="1">ROUND(IF('数据-取费表'!B22&lt;=1,C19*F22*('数据-取费表'!B19/2+'数据-取费表'!B21),C19*(POWER((1+F22),('数据-取费表'!B19/2+'数据-取费表'!B21))-1)),0)</f>
        <v>0</v>
      </c>
      <c r="D24" s="238"/>
      <c r="E24" s="238"/>
      <c r="F24" s="239"/>
      <c r="G24" s="240" t="s">
        <v>1507</v>
      </c>
    </row>
    <row r="25" spans="1:7" s="214" customFormat="1" ht="24">
      <c r="A25" s="779" t="s">
        <v>1508</v>
      </c>
      <c r="B25" s="215" t="s">
        <v>1509</v>
      </c>
      <c r="C25" s="1104">
        <f ca="1">ROUND(IF('数据-取费表'!B22&lt;=1,C20*F22*'数据-取费表'!B23/2,C20*(POWER((1+F22),'数据-取费表'!B23/2)-1)),0)</f>
        <v>10</v>
      </c>
      <c r="D25" s="238"/>
      <c r="E25" s="241"/>
      <c r="F25" s="239"/>
      <c r="G25" s="242" t="s">
        <v>1510</v>
      </c>
    </row>
    <row r="26" spans="1:7" s="214" customFormat="1">
      <c r="A26" s="779" t="s">
        <v>350</v>
      </c>
      <c r="B26" s="215" t="s">
        <v>1511</v>
      </c>
      <c r="C26" s="238">
        <f ca="1">ROUND(IF('数据-取费表'!B22&lt;=1,F21*F22*'数据-取费表'!B23/2,F21*(POWER((1+F22),'数据-取费表'!B23/2)-1)),4)</f>
        <v>8.0000000000000004E-4</v>
      </c>
      <c r="D26" s="238"/>
      <c r="E26" s="241"/>
      <c r="F26" s="239"/>
      <c r="G26" s="243"/>
    </row>
    <row r="27" spans="1:7" s="214" customFormat="1" ht="24.75">
      <c r="A27" s="255" t="s">
        <v>1512</v>
      </c>
      <c r="B27" s="244" t="s">
        <v>1513</v>
      </c>
      <c r="C27" s="245">
        <f ca="1">C28</f>
        <v>2372</v>
      </c>
      <c r="D27" s="235">
        <f ca="1">C29</f>
        <v>4.0000000000000001E-3</v>
      </c>
      <c r="E27" s="236" t="s">
        <v>1514</v>
      </c>
      <c r="F27" s="246">
        <f ca="1">IF(B1="",'数据-取费表'!Q16,INDIRECT("'数据-取费表'!q"&amp;$G$1))</f>
        <v>0.2</v>
      </c>
      <c r="G27" s="247" t="s">
        <v>1515</v>
      </c>
    </row>
    <row r="28" spans="1:7" s="214" customFormat="1" ht="13.5" customHeight="1">
      <c r="A28" s="779" t="s">
        <v>346</v>
      </c>
      <c r="B28" s="248" t="s">
        <v>1516</v>
      </c>
      <c r="C28" s="249">
        <f ca="1">ROUND((C5+C19+C20)*F27*'数据-取费表'!B21/'数据-取费表'!B20,0)</f>
        <v>2372</v>
      </c>
      <c r="D28" s="235"/>
      <c r="E28" s="236"/>
      <c r="F28" s="246"/>
      <c r="G28" s="247"/>
    </row>
    <row r="29" spans="1:7" s="214" customFormat="1" ht="13.5" customHeight="1">
      <c r="A29" s="779" t="s">
        <v>347</v>
      </c>
      <c r="B29" s="248" t="s">
        <v>1517</v>
      </c>
      <c r="C29" s="238">
        <f ca="1">ROUND(C21*F27*'数据-取费表'!B21/'数据-取费表'!B20,4)</f>
        <v>4.0000000000000001E-3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16503</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10883</v>
      </c>
      <c r="D33" s="232"/>
      <c r="E33" s="212"/>
      <c r="F33" s="241"/>
      <c r="G33" s="234"/>
    </row>
    <row r="34" spans="1:7" s="258" customFormat="1" ht="13.5" customHeight="1">
      <c r="A34" s="779" t="s">
        <v>346</v>
      </c>
      <c r="B34" s="215" t="s">
        <v>1525</v>
      </c>
      <c r="C34" s="220">
        <f ca="1">IF(B1="",IF(F34=100%,'数据-取费表'!M16,'数据-取费表'!O16),IF(F34=100%,INDIRECT("'数据-取费表'!m"&amp;$G$1)+INDIRECT("'数据-取费表'!t"&amp;$G$1),INDIRECT("'数据-取费表'!o"&amp;$G$1)+INDIRECT("'数据-取费表'!aq"&amp;$G$1)))</f>
        <v>10031</v>
      </c>
      <c r="D34" s="217"/>
      <c r="E34" s="220"/>
      <c r="F34" s="257">
        <f ca="1">IF('数据-取费表'!B24=0,1,IF(B1="",'数据-取费表'!N16,INDIRECT("'数据-取费表'!n"&amp;$G$1)))</f>
        <v>1</v>
      </c>
      <c r="G34" s="219" t="s">
        <v>1526</v>
      </c>
    </row>
    <row r="35" spans="1:7" ht="13.5" customHeight="1">
      <c r="A35" s="779" t="s">
        <v>351</v>
      </c>
      <c r="B35" s="215" t="s">
        <v>1527</v>
      </c>
      <c r="C35" s="220">
        <f ca="1">ROUND(C34*F35,0)</f>
        <v>301</v>
      </c>
      <c r="D35" s="220"/>
      <c r="E35" s="220"/>
      <c r="F35" s="259">
        <f>'数据-取费表'!B33</f>
        <v>0.03</v>
      </c>
      <c r="G35" s="219" t="s">
        <v>1528</v>
      </c>
    </row>
    <row r="36" spans="1:7" ht="24">
      <c r="A36" s="779"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0.05</v>
      </c>
      <c r="G36" s="260" t="s">
        <v>1530</v>
      </c>
    </row>
    <row r="37" spans="1:7" s="258" customFormat="1" ht="13.5" customHeight="1">
      <c r="A37" s="779" t="s">
        <v>353</v>
      </c>
      <c r="B37" s="215" t="s">
        <v>1531</v>
      </c>
      <c r="C37" s="249">
        <f ca="1">ROUND(E37*D37*F34/10000,0)</f>
        <v>401</v>
      </c>
      <c r="D37" s="217">
        <f ca="1">D19</f>
        <v>20062.899999999998</v>
      </c>
      <c r="E37" s="249">
        <f>'数据-取费表'!B35</f>
        <v>200</v>
      </c>
      <c r="F37" s="259"/>
      <c r="G37" s="261" t="s">
        <v>1532</v>
      </c>
    </row>
    <row r="38" spans="1:7" ht="13.5" customHeight="1">
      <c r="A38" s="779" t="s">
        <v>354</v>
      </c>
      <c r="B38" s="215" t="s">
        <v>1533</v>
      </c>
      <c r="C38" s="220">
        <f ca="1">ROUND(C34*F38,0)</f>
        <v>150</v>
      </c>
      <c r="D38" s="220"/>
      <c r="E38" s="220"/>
      <c r="F38" s="259">
        <f>'数据-取费表'!B36</f>
        <v>1.4999999999999999E-2</v>
      </c>
      <c r="G38" s="219" t="s">
        <v>1528</v>
      </c>
    </row>
    <row r="39" spans="1:7" s="214" customFormat="1" ht="13.5" customHeight="1">
      <c r="A39" s="255" t="s">
        <v>1534</v>
      </c>
      <c r="B39" s="210" t="s">
        <v>1535</v>
      </c>
      <c r="C39" s="232">
        <f ca="1">ROUND(C33*F20,0)</f>
        <v>218</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461</v>
      </c>
      <c r="D41" s="235">
        <f ca="1">C44</f>
        <v>8.0000000000000004E-4</v>
      </c>
      <c r="E41" s="236" t="s">
        <v>1539</v>
      </c>
      <c r="F41" s="237">
        <f ca="1">F22</f>
        <v>4.1499999999999995E-2</v>
      </c>
      <c r="G41" s="234" t="str">
        <f>IF('数据-取费表'!B22&lt;=1,"单利计息","复利计息")</f>
        <v>复利计息</v>
      </c>
    </row>
    <row r="42" spans="1:7" ht="13.5" customHeight="1">
      <c r="A42" s="779" t="s">
        <v>346</v>
      </c>
      <c r="B42" s="215" t="s">
        <v>1543</v>
      </c>
      <c r="C42" s="238">
        <f ca="1">ROUND(IF('数据-取费表'!B22&lt;=1,C33*F22*'数据-取费表'!B21/2,C33*(POWER((1+F22),'数据-取费表'!B21/2)-1)),0)</f>
        <v>452</v>
      </c>
      <c r="D42" s="238"/>
      <c r="E42" s="238"/>
      <c r="F42" s="239"/>
      <c r="G42" s="3757" t="s">
        <v>1544</v>
      </c>
    </row>
    <row r="43" spans="1:7" ht="13.5" customHeight="1">
      <c r="A43" s="779" t="s">
        <v>347</v>
      </c>
      <c r="B43" s="215" t="s">
        <v>1545</v>
      </c>
      <c r="C43" s="238">
        <f ca="1">ROUND(IF('数据-取费表'!B22&lt;=1,C39*F22*'数据-取费表'!B21/2,C39*(POWER((1+F22),'数据-取费表'!B21/2)-1)),0)</f>
        <v>9</v>
      </c>
      <c r="D43" s="238"/>
      <c r="E43" s="238"/>
      <c r="F43" s="239"/>
      <c r="G43" s="3758"/>
    </row>
    <row r="44" spans="1:7" ht="13.5" customHeight="1">
      <c r="A44" s="779" t="s">
        <v>348</v>
      </c>
      <c r="B44" s="215" t="s">
        <v>1546</v>
      </c>
      <c r="C44" s="238">
        <f ca="1">ROUND(IF('数据-取费表'!B22&lt;=1,C40*F22*'数据-取费表'!B21/2,C40*(POWER((1+F22),'数据-取费表'!B21/2)-1)),4)</f>
        <v>8.0000000000000004E-4</v>
      </c>
      <c r="D44" s="238"/>
      <c r="E44" s="238"/>
      <c r="F44" s="239"/>
      <c r="G44" s="3759"/>
    </row>
    <row r="45" spans="1:7" s="214" customFormat="1" ht="13.5" customHeight="1">
      <c r="A45" s="255" t="s">
        <v>1547</v>
      </c>
      <c r="B45" s="244" t="s">
        <v>1513</v>
      </c>
      <c r="C45" s="245">
        <f ca="1">C46</f>
        <v>2220</v>
      </c>
      <c r="D45" s="235">
        <f ca="1">C47</f>
        <v>4.0000000000000001E-3</v>
      </c>
      <c r="E45" s="236" t="s">
        <v>1539</v>
      </c>
      <c r="F45" s="246">
        <f ca="1">F27</f>
        <v>0.2</v>
      </c>
      <c r="G45" s="247" t="s">
        <v>1548</v>
      </c>
    </row>
    <row r="46" spans="1:7" s="214" customFormat="1" ht="13.5" customHeight="1">
      <c r="A46" s="779" t="s">
        <v>346</v>
      </c>
      <c r="B46" s="248" t="s">
        <v>1549</v>
      </c>
      <c r="C46" s="249">
        <f ca="1">ROUND((C33+C39)*F27,0)</f>
        <v>2220</v>
      </c>
      <c r="D46" s="263"/>
      <c r="E46" s="236"/>
      <c r="F46" s="246"/>
      <c r="G46" s="247"/>
    </row>
    <row r="47" spans="1:7" s="214" customFormat="1" ht="13.5" customHeight="1">
      <c r="A47" s="779" t="s">
        <v>347</v>
      </c>
      <c r="B47" s="248" t="s">
        <v>1550</v>
      </c>
      <c r="C47" s="238">
        <f ca="1">ROUND(C40*F27,4)</f>
        <v>4.0000000000000001E-3</v>
      </c>
      <c r="D47" s="263"/>
      <c r="E47" s="236"/>
      <c r="F47" s="246"/>
      <c r="G47" s="247"/>
    </row>
    <row r="48" spans="1:7" s="214" customFormat="1" ht="13.5" customHeight="1">
      <c r="A48" s="255" t="s">
        <v>1512</v>
      </c>
      <c r="B48" s="210" t="s">
        <v>1551</v>
      </c>
      <c r="C48" s="1325">
        <f>ROUND(F30/(1+'数据-取费表'!C42),4)</f>
        <v>5.2400000000000002E-2</v>
      </c>
      <c r="D48" s="236" t="s">
        <v>1539</v>
      </c>
      <c r="E48" s="232"/>
      <c r="F48" s="237">
        <f>F30</f>
        <v>5.5000000000000007E-2</v>
      </c>
      <c r="G48" s="234" t="s">
        <v>1552</v>
      </c>
    </row>
    <row r="49" spans="1:7" ht="16.5" customHeight="1">
      <c r="A49" s="255" t="s">
        <v>1518</v>
      </c>
      <c r="B49" s="210" t="s">
        <v>1553</v>
      </c>
      <c r="C49" s="232">
        <f ca="1">ROUND((C33+C39+C41+C45)/(1-C40-D41-D45-C48),0)</f>
        <v>14935</v>
      </c>
      <c r="D49" s="232"/>
      <c r="E49" s="232"/>
      <c r="F49" s="264"/>
      <c r="G49" s="234" t="s">
        <v>1554</v>
      </c>
    </row>
    <row r="50" spans="1:7" s="258" customFormat="1" ht="24">
      <c r="A50" s="255" t="s">
        <v>1555</v>
      </c>
      <c r="B50" s="210" t="s">
        <v>1556</v>
      </c>
      <c r="C50" s="232"/>
      <c r="D50" s="232"/>
      <c r="E50" s="232"/>
      <c r="F50" s="264">
        <f>IF('数据-取费表'!B24=0,'数据-取费表'!N16,1)</f>
        <v>0.75</v>
      </c>
      <c r="G50" s="247" t="s">
        <v>1557</v>
      </c>
    </row>
    <row r="51" spans="1:7" ht="16.5" customHeight="1">
      <c r="A51" s="255" t="s">
        <v>1558</v>
      </c>
      <c r="B51" s="210" t="s">
        <v>1559</v>
      </c>
      <c r="C51" s="232">
        <f ca="1">ROUND(C49*F50,0)</f>
        <v>11201</v>
      </c>
      <c r="D51" s="232"/>
      <c r="E51" s="232"/>
      <c r="F51" s="264"/>
      <c r="G51" s="234" t="s">
        <v>1560</v>
      </c>
    </row>
    <row r="52" spans="1:7" s="208" customFormat="1" ht="16.5" thickBot="1">
      <c r="A52" s="265" t="s">
        <v>1561</v>
      </c>
      <c r="B52" s="266"/>
      <c r="C52" s="267">
        <f ca="1">C31+C51</f>
        <v>27704</v>
      </c>
      <c r="D52" s="266"/>
      <c r="E52" s="266"/>
      <c r="F52" s="266"/>
      <c r="G52" s="268"/>
    </row>
    <row r="55" spans="1:7" ht="15">
      <c r="B55" s="270" t="s">
        <v>1562</v>
      </c>
      <c r="C55" s="271"/>
    </row>
    <row r="56" spans="1:7">
      <c r="B56" s="273" t="s">
        <v>802</v>
      </c>
      <c r="C56" s="275">
        <f ca="1">1-C57</f>
        <v>0.59599999999999997</v>
      </c>
    </row>
    <row r="57" spans="1:7">
      <c r="B57" s="273" t="s">
        <v>803</v>
      </c>
      <c r="C57" s="274">
        <f ca="1">ROUND(C51/C52,3)</f>
        <v>0.40400000000000003</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68"/>
      <c r="C1" s="1857" t="s">
        <v>1563</v>
      </c>
      <c r="D1" s="198"/>
      <c r="E1" s="198"/>
      <c r="F1" s="198"/>
      <c r="G1" s="1125">
        <f>MATCH(B1,'数据-取费表'!A6:A16,0)+5</f>
        <v>7</v>
      </c>
      <c r="H1" s="1060" t="str">
        <f>IF(ISERROR(FIND("住宅",B1)),"非住宅","住宅")</f>
        <v>非住宅</v>
      </c>
    </row>
    <row r="2" spans="1:8" s="200" customFormat="1" ht="18" customHeight="1">
      <c r="A2" s="201" t="s">
        <v>1462</v>
      </c>
      <c r="B2" s="3420">
        <f ca="1">ROUND(IF(D2="——",C52/10000,C52/10000-E2),4)</f>
        <v>12340.816699999999</v>
      </c>
      <c r="C2" s="199" t="s">
        <v>1463</v>
      </c>
      <c r="D2" s="1851" t="s">
        <v>43</v>
      </c>
      <c r="E2" s="1168" t="e">
        <f ca="1">SUMIF(INDIRECT("'"&amp;G2&amp;"'"&amp;"!A:A"),"承租人权益价值",INDIRECT("'"&amp;G2&amp;"'"&amp;"!c:c"))</f>
        <v>#REF!</v>
      </c>
      <c r="F2" s="1852" t="s">
        <v>1463</v>
      </c>
      <c r="G2" s="1853"/>
    </row>
    <row r="3" spans="1:8" s="200" customFormat="1" ht="18" customHeight="1" thickBot="1">
      <c r="A3" s="203" t="s">
        <v>1464</v>
      </c>
      <c r="B3" s="204">
        <f ca="1">ROUND(B2*10000/(IF(B1="",'数据-汇总表'!E3,INDIRECT("'数据-取费表'!k"&amp;$G$1))),0)</f>
        <v>6151</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f ca="1">C6+C7+C8</f>
        <v>4012580</v>
      </c>
      <c r="D5" s="211" t="s">
        <v>1469</v>
      </c>
      <c r="E5" s="212" t="s">
        <v>1470</v>
      </c>
      <c r="F5" s="212" t="s">
        <v>1471</v>
      </c>
      <c r="G5" s="213"/>
    </row>
    <row r="6" spans="1:8" s="214" customFormat="1" ht="13.5" customHeight="1">
      <c r="A6" s="777" t="s">
        <v>1472</v>
      </c>
      <c r="B6" s="215" t="s">
        <v>1473</v>
      </c>
      <c r="C6" s="216"/>
      <c r="D6" s="217"/>
      <c r="E6" s="218"/>
      <c r="F6" s="218"/>
      <c r="G6" s="219"/>
    </row>
    <row r="7" spans="1:8" s="214" customFormat="1" ht="13.5" customHeight="1">
      <c r="A7" s="777" t="s">
        <v>1474</v>
      </c>
      <c r="B7" s="215" t="s">
        <v>1475</v>
      </c>
      <c r="C7" s="220">
        <f>ROUND(C6*F7,0)</f>
        <v>0</v>
      </c>
      <c r="D7" s="220"/>
      <c r="E7" s="218"/>
      <c r="F7" s="221">
        <f>IF(项目基本情况!B8="出让",0,'数据-取费表'!B48+'数据-取费表'!B49)</f>
        <v>3.0499999999999999E-2</v>
      </c>
      <c r="G7" s="219"/>
    </row>
    <row r="8" spans="1:8" s="223" customFormat="1">
      <c r="A8" s="777" t="s">
        <v>1476</v>
      </c>
      <c r="B8" s="215" t="s">
        <v>1477</v>
      </c>
      <c r="C8" s="220">
        <f ca="1">IF(G8="已包含在土地购买价格中",0,C9+C10)</f>
        <v>4012580</v>
      </c>
      <c r="D8" s="222"/>
      <c r="E8" s="220"/>
      <c r="F8" s="221"/>
      <c r="G8" s="1854"/>
    </row>
    <row r="9" spans="1:8" s="214" customFormat="1" ht="13.5" customHeight="1">
      <c r="A9" s="778" t="s">
        <v>355</v>
      </c>
      <c r="B9" s="224" t="s">
        <v>1478</v>
      </c>
      <c r="C9" s="225">
        <f ca="1">ROUND(D9*E9,0)</f>
        <v>0</v>
      </c>
      <c r="D9" s="844">
        <f ca="1">IF(B1="",'数据-汇总表'!E5,IF(INDIRECT("'数据-取费表'!c"&amp;$G$1)="住宅",INDIRECT("'数据-取费表'!k"&amp;$G$1),0))</f>
        <v>0</v>
      </c>
      <c r="E9" s="225">
        <f>'数据-取费表'!B27</f>
        <v>0</v>
      </c>
      <c r="F9" s="221"/>
      <c r="G9" s="226"/>
    </row>
    <row r="10" spans="1:8" s="214" customFormat="1" ht="13.5" customHeight="1">
      <c r="A10" s="778" t="s">
        <v>356</v>
      </c>
      <c r="B10" s="224" t="s">
        <v>1480</v>
      </c>
      <c r="C10" s="225">
        <f ca="1">ROUND(D10*E10,0)</f>
        <v>4012580</v>
      </c>
      <c r="D10" s="844">
        <f ca="1">IF(B1="",'数据-汇总表'!E6,IF(INDIRECT("'数据-取费表'!c"&amp;$G$1)="住宅",INDIRECT("'数据-取费表'!s"&amp;$G$1),INDIRECT("'数据-取费表'!k"&amp;$G$1)+INDIRECT("'数据-取费表'!s"&amp;$G$1)))</f>
        <v>20062.899999999998</v>
      </c>
      <c r="E10" s="225">
        <f>'数据-取费表'!B28</f>
        <v>200</v>
      </c>
      <c r="F10" s="221"/>
      <c r="G10" s="226"/>
    </row>
    <row r="11" spans="1:8" s="214" customFormat="1" ht="13.5" hidden="1" customHeight="1">
      <c r="A11" s="227" t="s">
        <v>4</v>
      </c>
      <c r="B11" s="215" t="s">
        <v>1481</v>
      </c>
      <c r="C11" s="211"/>
      <c r="D11" s="846"/>
      <c r="E11" s="218"/>
      <c r="F11" s="218"/>
      <c r="G11" s="219"/>
    </row>
    <row r="12" spans="1:8" s="214" customFormat="1" ht="13.5" hidden="1" customHeight="1">
      <c r="A12" s="227" t="s">
        <v>5</v>
      </c>
      <c r="B12" s="215" t="s">
        <v>1564</v>
      </c>
      <c r="C12" s="211">
        <v>0</v>
      </c>
      <c r="D12" s="846"/>
      <c r="E12" s="228"/>
      <c r="F12" s="221">
        <v>3.0499999999999999E-2</v>
      </c>
      <c r="G12" s="219"/>
    </row>
    <row r="13" spans="1:8" s="214" customFormat="1" ht="13.5" hidden="1" customHeight="1">
      <c r="A13" s="227" t="s">
        <v>6</v>
      </c>
      <c r="B13" s="215" t="s">
        <v>1565</v>
      </c>
      <c r="C13" s="211"/>
      <c r="D13" s="846"/>
      <c r="E13" s="218"/>
      <c r="F13" s="218"/>
      <c r="G13" s="219"/>
    </row>
    <row r="14" spans="1:8" s="214" customFormat="1" ht="13.5" hidden="1" customHeight="1">
      <c r="A14" s="227" t="s">
        <v>7</v>
      </c>
      <c r="B14" s="215" t="s">
        <v>1477</v>
      </c>
      <c r="C14" s="211"/>
      <c r="D14" s="846"/>
      <c r="E14" s="218"/>
      <c r="F14" s="218"/>
      <c r="G14" s="219" t="s">
        <v>1566</v>
      </c>
    </row>
    <row r="15" spans="1:8" s="214" customFormat="1" ht="13.5" hidden="1" customHeight="1">
      <c r="A15" s="227" t="s">
        <v>8</v>
      </c>
      <c r="B15" s="215" t="s">
        <v>1567</v>
      </c>
      <c r="C15" s="220"/>
      <c r="D15" s="846"/>
      <c r="E15" s="218"/>
      <c r="F15" s="218"/>
      <c r="G15" s="219" t="s">
        <v>1568</v>
      </c>
    </row>
    <row r="16" spans="1:8" s="214" customFormat="1" ht="13.5" hidden="1" customHeight="1">
      <c r="A16" s="227" t="s">
        <v>9</v>
      </c>
      <c r="B16" s="215" t="s">
        <v>1477</v>
      </c>
      <c r="C16" s="220"/>
      <c r="D16" s="846"/>
      <c r="E16" s="218"/>
      <c r="F16" s="218"/>
      <c r="G16" s="219"/>
    </row>
    <row r="17" spans="1:7" s="214" customFormat="1" ht="13.5" hidden="1" customHeight="1">
      <c r="A17" s="227" t="s">
        <v>10</v>
      </c>
      <c r="B17" s="215" t="s">
        <v>1569</v>
      </c>
      <c r="C17" s="229"/>
      <c r="D17" s="847"/>
      <c r="E17" s="229"/>
      <c r="F17" s="229"/>
      <c r="G17" s="219" t="s">
        <v>1568</v>
      </c>
    </row>
    <row r="18" spans="1:7" s="214" customFormat="1" ht="13.5" hidden="1" customHeight="1">
      <c r="A18" s="227" t="s">
        <v>11</v>
      </c>
      <c r="B18" s="215" t="s">
        <v>1570</v>
      </c>
      <c r="C18" s="220">
        <v>0</v>
      </c>
      <c r="D18" s="846"/>
      <c r="E18" s="218"/>
      <c r="F18" s="221">
        <v>3.0499999999999999E-2</v>
      </c>
      <c r="G18" s="219" t="s">
        <v>1571</v>
      </c>
    </row>
    <row r="19" spans="1:7" s="223" customFormat="1" ht="13.5" customHeight="1">
      <c r="A19" s="255" t="s">
        <v>1572</v>
      </c>
      <c r="B19" s="210" t="s">
        <v>1573</v>
      </c>
      <c r="C19" s="211">
        <f ca="1">IF(G19="已包含在土地取得成本中","0",ROUND(D19*E19,0))</f>
        <v>4012580</v>
      </c>
      <c r="D19" s="848">
        <f ca="1">D9+D10</f>
        <v>20062.899999999998</v>
      </c>
      <c r="E19" s="211">
        <f>'数据-取费表'!B31</f>
        <v>200</v>
      </c>
      <c r="F19" s="231"/>
      <c r="G19" s="1854"/>
    </row>
    <row r="20" spans="1:7" s="214" customFormat="1" ht="13.5" customHeight="1">
      <c r="A20" s="255" t="s">
        <v>1574</v>
      </c>
      <c r="B20" s="210" t="s">
        <v>1575</v>
      </c>
      <c r="C20" s="232">
        <f ca="1">ROUND((C5+C19)*F20,0)</f>
        <v>160503</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6">
        <f ca="1">ROUND(SUM(C23:C25),0)</f>
        <v>686571</v>
      </c>
      <c r="D22" s="235">
        <f ca="1">C26</f>
        <v>8.0000000000000004E-4</v>
      </c>
      <c r="E22" s="236" t="s">
        <v>1579</v>
      </c>
      <c r="F22" s="237">
        <f ca="1">'数据-取费表'!B40</f>
        <v>4.1499999999999995E-2</v>
      </c>
      <c r="G22" s="234" t="str">
        <f>IF('数据-取费表'!B22&lt;=1,"单利计息","复利计息")</f>
        <v>复利计息</v>
      </c>
    </row>
    <row r="23" spans="1:7" s="214" customFormat="1" ht="13.5" customHeight="1">
      <c r="A23" s="779" t="s">
        <v>1472</v>
      </c>
      <c r="B23" s="215" t="s">
        <v>1583</v>
      </c>
      <c r="C23" s="1127">
        <f ca="1">ROUND(IF('数据-取费表'!B22&lt;=1,C5*F22*'数据-取费表'!B22,C5*(POWER((1+F22),'数据-取费表'!B22)-1)),0)</f>
        <v>339955</v>
      </c>
      <c r="D23" s="238"/>
      <c r="E23" s="238"/>
      <c r="F23" s="239"/>
      <c r="G23" s="240" t="s">
        <v>1584</v>
      </c>
    </row>
    <row r="24" spans="1:7" s="214" customFormat="1" ht="13.5" customHeight="1">
      <c r="A24" s="779" t="s">
        <v>1474</v>
      </c>
      <c r="B24" s="215" t="s">
        <v>1585</v>
      </c>
      <c r="C24" s="1127">
        <f ca="1">ROUND(IF('数据-取费表'!B22&lt;=1,C19*F22*('数据-取费表'!B19/2+'数据-取费表'!B20),C19*(POWER((1+F22),('数据-取费表'!B19/2+'数据-取费表'!B20))-1)),0)</f>
        <v>339955</v>
      </c>
      <c r="D24" s="238"/>
      <c r="E24" s="238"/>
      <c r="F24" s="239"/>
      <c r="G24" s="240" t="s">
        <v>1586</v>
      </c>
    </row>
    <row r="25" spans="1:7" s="214" customFormat="1" ht="24">
      <c r="A25" s="779" t="s">
        <v>1476</v>
      </c>
      <c r="B25" s="215" t="s">
        <v>1587</v>
      </c>
      <c r="C25" s="1127">
        <f ca="1">ROUND(IF('数据-取费表'!B22&lt;=1,C20*F22*'数据-取费表'!B22/2,C20*(POWER((1+F22),'数据-取费表'!B22/2)-1)),0)</f>
        <v>6661</v>
      </c>
      <c r="D25" s="238"/>
      <c r="E25" s="241"/>
      <c r="F25" s="239"/>
      <c r="G25" s="242" t="s">
        <v>1588</v>
      </c>
    </row>
    <row r="26" spans="1:7" s="214" customFormat="1">
      <c r="A26" s="779" t="s">
        <v>350</v>
      </c>
      <c r="B26" s="215" t="s">
        <v>1511</v>
      </c>
      <c r="C26" s="238">
        <f ca="1">ROUND(IF('数据-取费表'!B22&lt;=1,F21*F22*'数据-取费表'!B22/2,F21*(POWER((1+F22),'数据-取费表'!B22/2)-1)),4)</f>
        <v>8.0000000000000004E-4</v>
      </c>
      <c r="D26" s="238"/>
      <c r="E26" s="241"/>
      <c r="F26" s="239"/>
      <c r="G26" s="243"/>
    </row>
    <row r="27" spans="1:7" s="214" customFormat="1" ht="24.75">
      <c r="A27" s="255" t="s">
        <v>1512</v>
      </c>
      <c r="B27" s="244" t="s">
        <v>1513</v>
      </c>
      <c r="C27" s="245">
        <f ca="1">C28</f>
        <v>1637133</v>
      </c>
      <c r="D27" s="235">
        <f ca="1">C29</f>
        <v>4.0000000000000001E-3</v>
      </c>
      <c r="E27" s="236" t="s">
        <v>1514</v>
      </c>
      <c r="F27" s="246">
        <f ca="1">IF(B1="",'数据-取费表'!Q16,INDIRECT("'数据-取费表'!q"&amp;$G$1))</f>
        <v>0.2</v>
      </c>
      <c r="G27" s="247" t="s">
        <v>1515</v>
      </c>
    </row>
    <row r="28" spans="1:7" s="214" customFormat="1" ht="13.5" customHeight="1">
      <c r="A28" s="779" t="s">
        <v>346</v>
      </c>
      <c r="B28" s="248" t="s">
        <v>1516</v>
      </c>
      <c r="C28" s="249">
        <f ca="1">ROUND((C5+C19+C20)*F27,0)</f>
        <v>1637133</v>
      </c>
      <c r="D28" s="235"/>
      <c r="E28" s="236"/>
      <c r="F28" s="246"/>
      <c r="G28" s="247"/>
    </row>
    <row r="29" spans="1:7" s="214" customFormat="1" ht="13.5" customHeight="1">
      <c r="A29" s="779" t="s">
        <v>347</v>
      </c>
      <c r="B29" s="248" t="s">
        <v>1517</v>
      </c>
      <c r="C29" s="238">
        <f ca="1">ROUND(C21*F27,4)</f>
        <v>4.0000000000000001E-3</v>
      </c>
      <c r="D29" s="235"/>
      <c r="E29" s="236"/>
      <c r="F29" s="246"/>
      <c r="G29" s="247"/>
    </row>
    <row r="30" spans="1:7" s="214" customFormat="1" ht="13.5" customHeight="1">
      <c r="A30" s="255" t="s">
        <v>1518</v>
      </c>
      <c r="B30" s="210" t="s">
        <v>1519</v>
      </c>
      <c r="C30" s="235">
        <f>ROUND(F30/(1+'数据-取费表'!C42),4)</f>
        <v>5.2400000000000002E-2</v>
      </c>
      <c r="D30" s="236" t="s">
        <v>1514</v>
      </c>
      <c r="E30" s="241"/>
      <c r="F30" s="237">
        <f>'数据-取费表'!B41</f>
        <v>5.5000000000000007E-2</v>
      </c>
      <c r="G30" s="234" t="s">
        <v>1520</v>
      </c>
    </row>
    <row r="31" spans="1:7" ht="16.5" customHeight="1">
      <c r="A31" s="209">
        <v>1</v>
      </c>
      <c r="B31" s="210" t="s">
        <v>1521</v>
      </c>
      <c r="C31" s="211">
        <f ca="1">ROUND((C5+C19+C20+C22+C27)/(1-C21-D22-D27-C30),0)</f>
        <v>11388564</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f ca="1">SUM(C34:C38)</f>
        <v>108841233</v>
      </c>
      <c r="D33" s="232"/>
      <c r="E33" s="212"/>
      <c r="F33" s="241"/>
      <c r="G33" s="234"/>
    </row>
    <row r="34" spans="1:7" s="258" customFormat="1" ht="13.5" customHeight="1">
      <c r="A34" s="779" t="s">
        <v>346</v>
      </c>
      <c r="B34" s="215" t="s">
        <v>1525</v>
      </c>
      <c r="C34" s="220">
        <f ca="1">ROUND(IF(B1="",SUMPRODUCT('数据-取费表'!K6:K14,'数据-取费表'!L6:L14),INDIRECT("'数据-取费表'!l"&amp;$G$1)*INDIRECT("'数据-取费表'!k"&amp;$G$1)+'数据-取费表'!L14*INDIRECT("'数据-取费表'!S"&amp;$G$1)),0)</f>
        <v>100314500</v>
      </c>
      <c r="D34" s="217"/>
      <c r="E34" s="220"/>
      <c r="F34" s="257"/>
      <c r="G34" s="219"/>
    </row>
    <row r="35" spans="1:7" ht="13.5" customHeight="1">
      <c r="A35" s="779" t="s">
        <v>351</v>
      </c>
      <c r="B35" s="215" t="s">
        <v>1527</v>
      </c>
      <c r="C35" s="220">
        <f ca="1">ROUND(C34*F35,0)</f>
        <v>3009435</v>
      </c>
      <c r="D35" s="220"/>
      <c r="E35" s="220"/>
      <c r="F35" s="259">
        <f>'数据-取费表'!B33</f>
        <v>0.03</v>
      </c>
      <c r="G35" s="219" t="s">
        <v>1528</v>
      </c>
    </row>
    <row r="36" spans="1:7" ht="24">
      <c r="A36" s="779" t="s">
        <v>352</v>
      </c>
      <c r="B36" s="215" t="s">
        <v>1529</v>
      </c>
      <c r="C36" s="220">
        <f ca="1">ROUND(IF(B1="",SUM('数据-取费表'!AP6:AP13)*F36,IF(INDIRECT("'数据-取费表'!c"&amp;$G$1)="住宅",INDIRECT("'数据-取费表'!k"&amp;$G$1)*INDIRECT("'数据-取费表'!l"&amp;$G$1)*F36,0)),0)</f>
        <v>0</v>
      </c>
      <c r="D36" s="220"/>
      <c r="E36" s="220"/>
      <c r="F36" s="259">
        <f>'数据-取费表'!B34</f>
        <v>0.05</v>
      </c>
      <c r="G36" s="260" t="s">
        <v>1530</v>
      </c>
    </row>
    <row r="37" spans="1:7" s="258" customFormat="1" ht="13.5" customHeight="1">
      <c r="A37" s="779" t="s">
        <v>353</v>
      </c>
      <c r="B37" s="215" t="s">
        <v>1531</v>
      </c>
      <c r="C37" s="249">
        <f ca="1">ROUND(E37*D37,0)</f>
        <v>4012580</v>
      </c>
      <c r="D37" s="217">
        <f ca="1">D19</f>
        <v>20062.899999999998</v>
      </c>
      <c r="E37" s="249">
        <f>'数据-取费表'!B35</f>
        <v>200</v>
      </c>
      <c r="F37" s="259"/>
      <c r="G37" s="261"/>
    </row>
    <row r="38" spans="1:7" ht="13.5" customHeight="1">
      <c r="A38" s="779" t="s">
        <v>354</v>
      </c>
      <c r="B38" s="215" t="s">
        <v>1533</v>
      </c>
      <c r="C38" s="220">
        <f ca="1">ROUND(C34*F38,0)</f>
        <v>1504718</v>
      </c>
      <c r="D38" s="220"/>
      <c r="E38" s="220"/>
      <c r="F38" s="259">
        <f>'数据-取费表'!B36</f>
        <v>1.4999999999999999E-2</v>
      </c>
      <c r="G38" s="219" t="s">
        <v>1528</v>
      </c>
    </row>
    <row r="39" spans="1:7" s="214" customFormat="1" ht="13.5" customHeight="1">
      <c r="A39" s="255" t="s">
        <v>1534</v>
      </c>
      <c r="B39" s="210" t="s">
        <v>1535</v>
      </c>
      <c r="C39" s="232">
        <f ca="1">ROUND(C33*F20,0)</f>
        <v>2176825</v>
      </c>
      <c r="D39" s="232"/>
      <c r="E39" s="232"/>
      <c r="F39" s="233">
        <f>F20</f>
        <v>0.02</v>
      </c>
      <c r="G39" s="234" t="s">
        <v>1536</v>
      </c>
    </row>
    <row r="40" spans="1:7" s="214" customFormat="1" ht="13.5" customHeight="1">
      <c r="A40" s="255" t="s">
        <v>1537</v>
      </c>
      <c r="B40" s="210" t="s">
        <v>1538</v>
      </c>
      <c r="C40" s="1325">
        <f>F21</f>
        <v>0.02</v>
      </c>
      <c r="D40" s="236" t="s">
        <v>1539</v>
      </c>
      <c r="E40" s="232"/>
      <c r="F40" s="233">
        <f>F21</f>
        <v>0.02</v>
      </c>
      <c r="G40" s="234" t="s">
        <v>1540</v>
      </c>
    </row>
    <row r="41" spans="1:7" s="214" customFormat="1" ht="13.5" customHeight="1">
      <c r="A41" s="255" t="s">
        <v>1541</v>
      </c>
      <c r="B41" s="210" t="s">
        <v>1542</v>
      </c>
      <c r="C41" s="232">
        <f ca="1">ROUND(SUM(C42:C43),0)</f>
        <v>4607249</v>
      </c>
      <c r="D41" s="235">
        <f ca="1">C44</f>
        <v>8.0000000000000004E-4</v>
      </c>
      <c r="E41" s="236" t="s">
        <v>1539</v>
      </c>
      <c r="F41" s="237">
        <f ca="1">F22</f>
        <v>4.1499999999999995E-2</v>
      </c>
      <c r="G41" s="234" t="str">
        <f>IF('数据-取费表'!B22&lt;=1,"单利计息","复利计息")</f>
        <v>复利计息</v>
      </c>
    </row>
    <row r="42" spans="1:7" ht="13.5" customHeight="1">
      <c r="A42" s="779" t="s">
        <v>346</v>
      </c>
      <c r="B42" s="215" t="s">
        <v>1543</v>
      </c>
      <c r="C42" s="238">
        <f ca="1">ROUND(IF('数据-取费表'!B22&lt;=1,C33*F22*'数据-取费表'!B20/2,C33*(POWER((1+F22),'数据-取费表'!B20/2)-1)),0)</f>
        <v>4516911</v>
      </c>
      <c r="D42" s="238"/>
      <c r="E42" s="238"/>
      <c r="F42" s="239"/>
      <c r="G42" s="3757" t="s">
        <v>1591</v>
      </c>
    </row>
    <row r="43" spans="1:7" ht="13.5" customHeight="1">
      <c r="A43" s="779" t="s">
        <v>347</v>
      </c>
      <c r="B43" s="215" t="s">
        <v>1545</v>
      </c>
      <c r="C43" s="238">
        <f ca="1">ROUND(IF('数据-取费表'!B22&lt;=1,C39*F22*'数据-取费表'!B20/2,C39*(POWER((1+F22),'数据-取费表'!B20/2)-1)),0)</f>
        <v>90338</v>
      </c>
      <c r="D43" s="238"/>
      <c r="E43" s="238"/>
      <c r="F43" s="239"/>
      <c r="G43" s="3758"/>
    </row>
    <row r="44" spans="1:7" ht="13.5" customHeight="1">
      <c r="A44" s="779" t="s">
        <v>348</v>
      </c>
      <c r="B44" s="215" t="s">
        <v>1546</v>
      </c>
      <c r="C44" s="238">
        <f ca="1">ROUND(IF('数据-取费表'!B22&lt;=1,C40*F22*'数据-取费表'!B20/2,C40*(POWER((1+F22),'数据-取费表'!B20/2)-1)),4)</f>
        <v>8.0000000000000004E-4</v>
      </c>
      <c r="D44" s="238"/>
      <c r="E44" s="238"/>
      <c r="F44" s="239"/>
      <c r="G44" s="3759"/>
    </row>
    <row r="45" spans="1:7" s="214" customFormat="1" ht="13.5" customHeight="1">
      <c r="A45" s="255" t="s">
        <v>1547</v>
      </c>
      <c r="B45" s="244" t="s">
        <v>1513</v>
      </c>
      <c r="C45" s="245">
        <f ca="1">C46</f>
        <v>22203612</v>
      </c>
      <c r="D45" s="235">
        <f ca="1">C47</f>
        <v>4.0000000000000001E-3</v>
      </c>
      <c r="E45" s="236" t="s">
        <v>1539</v>
      </c>
      <c r="F45" s="246">
        <f ca="1">F27</f>
        <v>0.2</v>
      </c>
      <c r="G45" s="247" t="s">
        <v>1548</v>
      </c>
    </row>
    <row r="46" spans="1:7" s="214" customFormat="1" ht="13.5" customHeight="1">
      <c r="A46" s="779" t="s">
        <v>346</v>
      </c>
      <c r="B46" s="248" t="s">
        <v>1549</v>
      </c>
      <c r="C46" s="249">
        <f ca="1">ROUND((C33+C39)*F27,0)</f>
        <v>22203612</v>
      </c>
      <c r="D46" s="263"/>
      <c r="E46" s="236"/>
      <c r="F46" s="246"/>
      <c r="G46" s="247"/>
    </row>
    <row r="47" spans="1:7" s="214" customFormat="1" ht="13.5" customHeight="1">
      <c r="A47" s="779" t="s">
        <v>347</v>
      </c>
      <c r="B47" s="248" t="s">
        <v>1550</v>
      </c>
      <c r="C47" s="238">
        <f ca="1">ROUND(C40*F27,4)</f>
        <v>4.0000000000000001E-3</v>
      </c>
      <c r="D47" s="263"/>
      <c r="E47" s="236"/>
      <c r="F47" s="246"/>
      <c r="G47" s="247"/>
    </row>
    <row r="48" spans="1:7" s="214" customFormat="1" ht="13.5" customHeight="1">
      <c r="A48" s="255" t="s">
        <v>1512</v>
      </c>
      <c r="B48" s="210" t="s">
        <v>1551</v>
      </c>
      <c r="C48" s="262">
        <f>ROUND(F30/(1+'数据-取费表'!C42),4)</f>
        <v>5.2400000000000002E-2</v>
      </c>
      <c r="D48" s="236" t="s">
        <v>1539</v>
      </c>
      <c r="E48" s="232"/>
      <c r="F48" s="237">
        <f>F30</f>
        <v>5.5000000000000007E-2</v>
      </c>
      <c r="G48" s="234" t="s">
        <v>1552</v>
      </c>
    </row>
    <row r="49" spans="1:7" ht="16.5" customHeight="1">
      <c r="A49" s="255" t="s">
        <v>1518</v>
      </c>
      <c r="B49" s="210" t="s">
        <v>1592</v>
      </c>
      <c r="C49" s="232">
        <f ca="1">ROUND((C33+C39+C41+C45)/(1-C40-D41-D45-C48),0)</f>
        <v>149359470</v>
      </c>
      <c r="D49" s="232"/>
      <c r="E49" s="232"/>
      <c r="F49" s="264"/>
      <c r="G49" s="234" t="s">
        <v>1554</v>
      </c>
    </row>
    <row r="50" spans="1:7" s="258" customFormat="1">
      <c r="A50" s="255" t="s">
        <v>1555</v>
      </c>
      <c r="B50" s="210" t="s">
        <v>1556</v>
      </c>
      <c r="C50" s="232"/>
      <c r="D50" s="232"/>
      <c r="E50" s="232"/>
      <c r="F50" s="264">
        <f>IF('数据-取费表'!B24=0,'数据-取费表'!N16,1)</f>
        <v>0.75</v>
      </c>
      <c r="G50" s="247"/>
    </row>
    <row r="51" spans="1:7" ht="16.5" customHeight="1">
      <c r="A51" s="255" t="s">
        <v>1558</v>
      </c>
      <c r="B51" s="210" t="s">
        <v>1593</v>
      </c>
      <c r="C51" s="232">
        <f ca="1">ROUND(C49*F50,0)</f>
        <v>112019603</v>
      </c>
      <c r="D51" s="232"/>
      <c r="E51" s="232"/>
      <c r="F51" s="264"/>
      <c r="G51" s="234" t="s">
        <v>1560</v>
      </c>
    </row>
    <row r="52" spans="1:7" s="208" customFormat="1" ht="16.5" thickBot="1">
      <c r="A52" s="265" t="s">
        <v>1561</v>
      </c>
      <c r="B52" s="266"/>
      <c r="C52" s="267">
        <f ca="1">C31+C51</f>
        <v>123408167</v>
      </c>
      <c r="D52" s="266"/>
      <c r="E52" s="266"/>
      <c r="F52" s="266"/>
      <c r="G52" s="268"/>
    </row>
    <row r="55" spans="1:7" ht="15">
      <c r="B55" s="270" t="s">
        <v>1562</v>
      </c>
      <c r="C55" s="271"/>
    </row>
    <row r="56" spans="1:7">
      <c r="B56" s="273" t="s">
        <v>802</v>
      </c>
      <c r="C56" s="275">
        <f ca="1">1-C57</f>
        <v>9.1999999999999971E-2</v>
      </c>
    </row>
    <row r="57" spans="1:7">
      <c r="B57" s="273" t="s">
        <v>803</v>
      </c>
      <c r="C57" s="274">
        <f ca="1">ROUND(C51/C52,3)</f>
        <v>0.90800000000000003</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7" customWidth="1"/>
    <col min="2" max="2" width="25.75" style="780" customWidth="1"/>
    <col min="3" max="3" width="10.375" style="822" customWidth="1"/>
    <col min="4" max="4" width="9.875" style="780" customWidth="1"/>
    <col min="5" max="5" width="9.5" style="727" customWidth="1"/>
    <col min="6" max="6" width="10.125" style="780" customWidth="1"/>
    <col min="7" max="7" width="10.75" style="780" customWidth="1"/>
    <col min="8" max="8" width="10" style="780" customWidth="1"/>
    <col min="9" max="11" width="9.5" style="780" customWidth="1"/>
    <col min="12" max="12" width="9" style="780" customWidth="1"/>
    <col min="13" max="13" width="10.5" style="780" bestFit="1" customWidth="1"/>
    <col min="14" max="254" width="9" style="780" customWidth="1"/>
    <col min="255" max="16384" width="6.625" style="780"/>
  </cols>
  <sheetData>
    <row r="1" spans="1:33" ht="20.25">
      <c r="A1" s="196" t="s">
        <v>1594</v>
      </c>
      <c r="B1" s="1189"/>
      <c r="C1" s="1190"/>
      <c r="D1" s="1188"/>
      <c r="E1" s="2802"/>
      <c r="F1" s="2802"/>
      <c r="G1" s="2668"/>
      <c r="H1" s="2802"/>
      <c r="I1" s="2802"/>
      <c r="J1" s="2802"/>
      <c r="K1" s="2803">
        <f>MATCH(C1,'数据-取费表'!A6:A16,0)+5</f>
        <v>7</v>
      </c>
    </row>
    <row r="2" spans="1:33" ht="18" customHeight="1">
      <c r="A2" s="201" t="s">
        <v>1462</v>
      </c>
      <c r="B2" s="204">
        <f ca="1">C32</f>
        <v>0</v>
      </c>
      <c r="C2" s="276" t="s">
        <v>1595</v>
      </c>
      <c r="D2" s="276"/>
      <c r="E2" s="2802"/>
      <c r="F2" s="2802"/>
      <c r="G2" s="2802"/>
      <c r="H2" s="2802"/>
      <c r="I2" s="2802"/>
      <c r="J2" s="2802"/>
      <c r="K2" s="2802"/>
    </row>
    <row r="3" spans="1:33" ht="18" customHeight="1" thickBot="1">
      <c r="A3" s="203" t="s">
        <v>1464</v>
      </c>
      <c r="B3" s="204">
        <f ca="1">ROUND(B2*10000/IF(C1="",'数据-汇总表'!E3,INDIRECT("'数据-取费表'!K"&amp;$K$1)),0)</f>
        <v>0</v>
      </c>
      <c r="C3" s="276" t="s">
        <v>1596</v>
      </c>
      <c r="D3" s="276"/>
      <c r="E3" s="2802"/>
      <c r="F3" s="2802"/>
      <c r="G3" s="2802"/>
      <c r="H3" s="2802"/>
      <c r="I3" s="2802"/>
      <c r="J3" s="2802"/>
      <c r="K3" s="2802"/>
    </row>
    <row r="4" spans="1:33" s="784" customFormat="1" ht="16.5" customHeight="1">
      <c r="A4" s="781" t="s">
        <v>1597</v>
      </c>
      <c r="B4" s="782"/>
      <c r="C4" s="823">
        <f>SUM(C8:K8)</f>
        <v>0</v>
      </c>
      <c r="D4" s="782"/>
      <c r="E4" s="782"/>
      <c r="F4" s="782"/>
      <c r="G4" s="782"/>
      <c r="H4" s="782"/>
      <c r="I4" s="782"/>
      <c r="J4" s="782"/>
      <c r="K4" s="783"/>
    </row>
    <row r="5" spans="1:33" s="788" customFormat="1" ht="15">
      <c r="A5" s="785" t="s">
        <v>1598</v>
      </c>
      <c r="B5" s="786" t="s">
        <v>1599</v>
      </c>
      <c r="C5" s="1858"/>
      <c r="D5" s="1858"/>
      <c r="E5" s="1858"/>
      <c r="F5" s="1858"/>
      <c r="G5" s="1858"/>
      <c r="H5" s="1858"/>
      <c r="I5" s="1858"/>
      <c r="J5" s="1858"/>
      <c r="K5" s="1858"/>
      <c r="L5" s="787"/>
      <c r="M5" s="787"/>
      <c r="N5" s="787"/>
      <c r="O5" s="787"/>
      <c r="P5" s="787"/>
      <c r="Q5" s="787"/>
      <c r="R5" s="787"/>
      <c r="S5" s="787"/>
      <c r="T5" s="787"/>
      <c r="U5" s="787"/>
      <c r="V5" s="787"/>
      <c r="W5" s="787"/>
      <c r="X5" s="787"/>
      <c r="Y5" s="787"/>
      <c r="Z5" s="787"/>
      <c r="AA5" s="787"/>
      <c r="AB5" s="787"/>
      <c r="AC5" s="787"/>
      <c r="AD5" s="787"/>
      <c r="AE5" s="787"/>
      <c r="AF5" s="787"/>
      <c r="AG5" s="787"/>
    </row>
    <row r="6" spans="1:33" s="793" customFormat="1" ht="13.5" customHeight="1">
      <c r="A6" s="789" t="s">
        <v>357</v>
      </c>
      <c r="B6" s="131" t="s">
        <v>1600</v>
      </c>
      <c r="C6" s="790"/>
      <c r="D6" s="790"/>
      <c r="E6" s="790"/>
      <c r="F6" s="790"/>
      <c r="G6" s="790"/>
      <c r="H6" s="790"/>
      <c r="I6" s="790"/>
      <c r="J6" s="790"/>
      <c r="K6" s="791"/>
      <c r="L6" s="792"/>
      <c r="M6" s="792"/>
      <c r="N6" s="792"/>
      <c r="O6" s="792"/>
      <c r="P6" s="792"/>
      <c r="Q6" s="792"/>
      <c r="R6" s="792"/>
      <c r="S6" s="792"/>
      <c r="T6" s="792"/>
      <c r="U6" s="792"/>
      <c r="V6" s="792"/>
      <c r="W6" s="792"/>
      <c r="X6" s="792"/>
      <c r="Y6" s="792"/>
      <c r="Z6" s="792"/>
      <c r="AA6" s="792"/>
      <c r="AB6" s="792"/>
      <c r="AC6" s="792"/>
      <c r="AD6" s="792"/>
      <c r="AE6" s="792"/>
      <c r="AF6" s="792"/>
      <c r="AG6" s="792"/>
    </row>
    <row r="7" spans="1:33" s="793" customFormat="1" ht="13.5" customHeight="1">
      <c r="A7" s="789"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2"/>
      <c r="M7" s="792"/>
      <c r="N7" s="792"/>
      <c r="O7" s="792"/>
      <c r="P7" s="792"/>
      <c r="Q7" s="792"/>
      <c r="R7" s="792"/>
      <c r="S7" s="792"/>
      <c r="T7" s="792"/>
      <c r="U7" s="792"/>
      <c r="V7" s="792"/>
      <c r="W7" s="792"/>
      <c r="X7" s="792"/>
      <c r="Y7" s="792"/>
      <c r="Z7" s="792"/>
      <c r="AA7" s="792"/>
      <c r="AB7" s="792"/>
      <c r="AC7" s="792"/>
      <c r="AD7" s="792"/>
      <c r="AE7" s="792"/>
      <c r="AF7" s="792"/>
      <c r="AG7" s="792"/>
    </row>
    <row r="8" spans="1:33" s="793" customFormat="1" ht="13.5" customHeight="1" thickBot="1">
      <c r="A8" s="1859" t="s">
        <v>1603</v>
      </c>
      <c r="B8" s="164" t="s">
        <v>1604</v>
      </c>
      <c r="C8" s="824"/>
      <c r="D8" s="824"/>
      <c r="E8" s="824"/>
      <c r="F8" s="825"/>
      <c r="G8" s="825"/>
      <c r="H8" s="825"/>
      <c r="I8" s="825"/>
      <c r="J8" s="825"/>
      <c r="K8" s="826"/>
      <c r="L8" s="792"/>
      <c r="M8" s="792"/>
      <c r="N8" s="792"/>
      <c r="O8" s="792"/>
      <c r="P8" s="792"/>
      <c r="Q8" s="792"/>
      <c r="R8" s="792"/>
      <c r="S8" s="792"/>
      <c r="T8" s="792"/>
      <c r="U8" s="792"/>
      <c r="V8" s="792"/>
      <c r="W8" s="792"/>
      <c r="X8" s="792"/>
      <c r="Y8" s="792"/>
      <c r="Z8" s="792"/>
      <c r="AA8" s="792"/>
      <c r="AB8" s="792"/>
      <c r="AC8" s="792"/>
      <c r="AD8" s="792"/>
      <c r="AE8" s="792"/>
      <c r="AF8" s="792"/>
      <c r="AG8" s="792"/>
    </row>
    <row r="9" spans="1:33" s="784" customFormat="1" ht="16.5" customHeight="1">
      <c r="A9" s="781" t="s">
        <v>1605</v>
      </c>
      <c r="B9" s="782"/>
      <c r="C9" s="782"/>
      <c r="D9" s="782"/>
      <c r="E9" s="782"/>
      <c r="F9" s="782"/>
      <c r="G9" s="782"/>
      <c r="H9" s="782"/>
      <c r="I9" s="782"/>
      <c r="J9" s="782"/>
      <c r="K9" s="783"/>
    </row>
    <row r="10" spans="1:33" s="798" customFormat="1" ht="13.5" customHeight="1">
      <c r="A10" s="785" t="s">
        <v>1606</v>
      </c>
      <c r="B10" s="5" t="s">
        <v>1607</v>
      </c>
      <c r="C10" s="794" t="s">
        <v>1608</v>
      </c>
      <c r="D10" s="795" t="s">
        <v>1609</v>
      </c>
      <c r="E10" s="795" t="s">
        <v>1610</v>
      </c>
      <c r="F10" s="795" t="s">
        <v>1611</v>
      </c>
      <c r="G10" s="5"/>
      <c r="H10" s="796"/>
      <c r="I10" s="796"/>
      <c r="J10" s="796"/>
      <c r="K10" s="797"/>
    </row>
    <row r="11" spans="1:33" s="802" customFormat="1" ht="13.5" customHeight="1">
      <c r="A11" s="799" t="s">
        <v>635</v>
      </c>
      <c r="B11" s="800" t="s">
        <v>1612</v>
      </c>
      <c r="C11" s="279">
        <f ca="1">IF(C1="",'数据-取费表'!P16,INDIRECT("'数据-取费表'!p"&amp;$K$1)+INDIRECT("'数据-取费表'!ar"&amp;$K$1))</f>
        <v>0</v>
      </c>
      <c r="D11" s="801"/>
      <c r="E11" s="329"/>
      <c r="F11" s="811">
        <f ca="1">1-IF('数据-取费表'!B24=0,1,IF(C1="",'数据-取费表'!N16,INDIRECT("'数据-取费表'!n"&amp;$K$1)))</f>
        <v>0</v>
      </c>
      <c r="G11" s="5"/>
      <c r="H11" s="796"/>
      <c r="I11" s="796"/>
      <c r="J11" s="796"/>
      <c r="K11" s="797"/>
    </row>
    <row r="12" spans="1:33" s="802" customFormat="1" ht="13.5" customHeight="1">
      <c r="A12" s="799" t="s">
        <v>636</v>
      </c>
      <c r="B12" s="800" t="s">
        <v>1613</v>
      </c>
      <c r="C12" s="21">
        <f ca="1">ROUND(C11*F12,0)</f>
        <v>0</v>
      </c>
      <c r="D12" s="801"/>
      <c r="E12" s="329"/>
      <c r="F12" s="811">
        <f>'数据-取费表'!B33</f>
        <v>0.03</v>
      </c>
      <c r="G12" s="5" t="s">
        <v>1614</v>
      </c>
      <c r="H12" s="796"/>
      <c r="I12" s="796"/>
      <c r="J12" s="796"/>
      <c r="K12" s="797"/>
    </row>
    <row r="13" spans="1:33" s="802" customFormat="1" ht="13.5" customHeight="1">
      <c r="A13" s="799" t="s">
        <v>637</v>
      </c>
      <c r="B13" s="800" t="s">
        <v>1615</v>
      </c>
      <c r="C13" s="21">
        <f ca="1">ROUND(IF(C1="",SUMIF('数据-取费表'!C:C,"住宅",'数据-取费表'!P:P)*F13,IF(INDIRECT("'数据-取费表'!c"&amp;$K$1)="住宅",INDIRECT("'数据-取费表'!P"&amp;$K$1)*F13,0)),0)</f>
        <v>0</v>
      </c>
      <c r="D13" s="845"/>
      <c r="E13" s="329"/>
      <c r="F13" s="811">
        <f>'数据-取费表'!B34</f>
        <v>0.05</v>
      </c>
      <c r="G13" s="5" t="s">
        <v>1616</v>
      </c>
      <c r="H13" s="796"/>
      <c r="I13" s="796"/>
      <c r="J13" s="796"/>
      <c r="K13" s="797"/>
    </row>
    <row r="14" spans="1:33" s="804" customFormat="1" ht="13.5" customHeight="1">
      <c r="A14" s="799" t="s">
        <v>638</v>
      </c>
      <c r="B14" s="800" t="s">
        <v>1617</v>
      </c>
      <c r="C14" s="21">
        <f ca="1">ROUND(D14*E14*F11/10000,0)</f>
        <v>0</v>
      </c>
      <c r="D14" s="845">
        <f ca="1">IF(C1="",'数据-汇总表'!E3,INDIRECT("'数据-取费表'!K"&amp;$K$1)+INDIRECT("'数据-取费表'!S"&amp;$K$1))</f>
        <v>20062.899999999998</v>
      </c>
      <c r="E14" s="21">
        <f>'数据-取费表'!B35</f>
        <v>200</v>
      </c>
      <c r="F14" s="803"/>
      <c r="G14" s="5" t="s">
        <v>1618</v>
      </c>
      <c r="H14" s="796"/>
      <c r="I14" s="796"/>
      <c r="J14" s="796"/>
      <c r="K14" s="797"/>
      <c r="L14" s="802"/>
      <c r="M14" s="802"/>
      <c r="N14" s="802"/>
      <c r="O14" s="802"/>
      <c r="P14" s="802"/>
      <c r="Q14" s="802"/>
      <c r="R14" s="802"/>
      <c r="S14" s="802"/>
      <c r="T14" s="802"/>
      <c r="U14" s="802"/>
      <c r="V14" s="802"/>
      <c r="W14" s="802"/>
      <c r="X14" s="802"/>
      <c r="Y14" s="802"/>
      <c r="Z14" s="802"/>
      <c r="AA14" s="802"/>
      <c r="AB14" s="802"/>
      <c r="AC14" s="802"/>
      <c r="AD14" s="802"/>
      <c r="AE14" s="802"/>
      <c r="AF14" s="802"/>
      <c r="AG14" s="802"/>
    </row>
    <row r="15" spans="1:33" s="804" customFormat="1" ht="13.5" customHeight="1">
      <c r="A15" s="799" t="s">
        <v>639</v>
      </c>
      <c r="B15" s="800" t="s">
        <v>1619</v>
      </c>
      <c r="C15" s="810">
        <f ca="1">ROUND(C11*F15,0)</f>
        <v>0</v>
      </c>
      <c r="D15" s="805"/>
      <c r="E15" s="810"/>
      <c r="F15" s="811">
        <f>'数据-取费表'!B36</f>
        <v>1.4999999999999999E-2</v>
      </c>
      <c r="G15" s="131" t="s">
        <v>1620</v>
      </c>
      <c r="H15" s="806"/>
      <c r="I15" s="806"/>
      <c r="J15" s="806"/>
      <c r="K15" s="807"/>
      <c r="L15" s="802"/>
      <c r="M15" s="802"/>
      <c r="N15" s="802"/>
      <c r="O15" s="802"/>
      <c r="P15" s="802"/>
      <c r="Q15" s="802"/>
      <c r="R15" s="802"/>
      <c r="S15" s="802"/>
      <c r="T15" s="802"/>
      <c r="U15" s="802"/>
      <c r="V15" s="802"/>
      <c r="W15" s="802"/>
      <c r="X15" s="802"/>
      <c r="Y15" s="802"/>
      <c r="Z15" s="802"/>
      <c r="AA15" s="802"/>
      <c r="AB15" s="802"/>
      <c r="AC15" s="802"/>
      <c r="AD15" s="802"/>
      <c r="AE15" s="802"/>
      <c r="AF15" s="802"/>
      <c r="AG15" s="802"/>
    </row>
    <row r="16" spans="1:33" s="804" customFormat="1" ht="13.5" customHeight="1">
      <c r="A16" s="799" t="s">
        <v>358</v>
      </c>
      <c r="B16" s="800" t="s">
        <v>1621</v>
      </c>
      <c r="C16" s="810">
        <f ca="1">SUM(C11:C15)</f>
        <v>0</v>
      </c>
      <c r="D16" s="805"/>
      <c r="E16" s="810"/>
      <c r="F16" s="811"/>
      <c r="G16" s="131"/>
      <c r="H16" s="1186"/>
      <c r="I16" s="806"/>
      <c r="J16" s="806"/>
      <c r="K16" s="807"/>
      <c r="L16" s="802"/>
      <c r="M16" s="802"/>
      <c r="N16" s="802"/>
      <c r="O16" s="802"/>
      <c r="P16" s="802"/>
      <c r="Q16" s="802"/>
      <c r="R16" s="802"/>
      <c r="S16" s="802"/>
      <c r="T16" s="802"/>
      <c r="U16" s="802"/>
      <c r="V16" s="802"/>
      <c r="W16" s="802"/>
      <c r="X16" s="802"/>
      <c r="Y16" s="802"/>
      <c r="Z16" s="802"/>
      <c r="AA16" s="802"/>
      <c r="AB16" s="802"/>
      <c r="AC16" s="802"/>
      <c r="AD16" s="802"/>
      <c r="AE16" s="802"/>
      <c r="AF16" s="802"/>
      <c r="AG16" s="802"/>
    </row>
    <row r="17" spans="1:33" s="804" customFormat="1" ht="13.5" customHeight="1">
      <c r="A17" s="799" t="s">
        <v>359</v>
      </c>
      <c r="B17" s="800" t="s">
        <v>1622</v>
      </c>
      <c r="C17" s="21">
        <f ca="1">ROUND(D17*E17/10000,0)</f>
        <v>0</v>
      </c>
      <c r="D17" s="845">
        <f ca="1">D14</f>
        <v>20062.899999999998</v>
      </c>
      <c r="E17" s="21">
        <f>'数据-取费表'!B32</f>
        <v>0</v>
      </c>
      <c r="F17" s="805"/>
      <c r="G17" s="131" t="s">
        <v>1623</v>
      </c>
      <c r="H17" s="1186"/>
      <c r="I17" s="806"/>
      <c r="J17" s="806"/>
      <c r="K17" s="807"/>
      <c r="L17" s="802"/>
      <c r="M17" s="802"/>
      <c r="N17" s="802"/>
      <c r="O17" s="802"/>
      <c r="P17" s="802"/>
      <c r="Q17" s="802"/>
      <c r="R17" s="802"/>
      <c r="S17" s="802"/>
      <c r="T17" s="802"/>
      <c r="U17" s="802"/>
      <c r="V17" s="802"/>
      <c r="W17" s="802"/>
      <c r="X17" s="802"/>
      <c r="Y17" s="802"/>
      <c r="Z17" s="802"/>
      <c r="AA17" s="802"/>
      <c r="AB17" s="802"/>
      <c r="AC17" s="802"/>
      <c r="AD17" s="802"/>
      <c r="AE17" s="802"/>
      <c r="AF17" s="802"/>
      <c r="AG17" s="802"/>
    </row>
    <row r="18" spans="1:33" s="802" customFormat="1" ht="13.5" customHeight="1">
      <c r="A18" s="799" t="s">
        <v>640</v>
      </c>
      <c r="B18" s="800" t="s">
        <v>1624</v>
      </c>
      <c r="C18" s="21">
        <f ca="1">C19+C20-IF(C1="",'数据-取费表'!B29,IF(G18="已全部缴纳",C19+C20,H18))</f>
        <v>0</v>
      </c>
      <c r="D18" s="845"/>
      <c r="E18" s="21"/>
      <c r="F18" s="803"/>
      <c r="G18" s="1860"/>
      <c r="H18" s="1185"/>
      <c r="I18" s="1861" t="s">
        <v>1625</v>
      </c>
      <c r="J18" s="806"/>
      <c r="K18" s="807"/>
    </row>
    <row r="19" spans="1:33" s="802" customFormat="1" ht="13.5" customHeight="1">
      <c r="A19" s="799" t="s">
        <v>360</v>
      </c>
      <c r="B19" s="800" t="s">
        <v>1626</v>
      </c>
      <c r="C19" s="21">
        <f ca="1">ROUND(D19*E19/10000,0)</f>
        <v>0</v>
      </c>
      <c r="D19" s="845">
        <f ca="1">IF(C1="",'数据-汇总表'!E5,IF(INDIRECT("'数据-取费表'!c"&amp;$K$1)="住宅",INDIRECT("'数据-取费表'!k"&amp;$K$1),0))</f>
        <v>0</v>
      </c>
      <c r="E19" s="21">
        <f>'数据-取费表'!B27</f>
        <v>0</v>
      </c>
      <c r="F19" s="803"/>
      <c r="G19" s="12"/>
      <c r="H19" s="1187"/>
      <c r="I19" s="808"/>
      <c r="J19" s="808"/>
      <c r="K19" s="809"/>
    </row>
    <row r="20" spans="1:33" s="802" customFormat="1" ht="13.5" customHeight="1">
      <c r="A20" s="799" t="s">
        <v>361</v>
      </c>
      <c r="B20" s="800" t="s">
        <v>1627</v>
      </c>
      <c r="C20" s="21">
        <f ca="1">ROUND(D20*E20/10000,0)</f>
        <v>401</v>
      </c>
      <c r="D20" s="845">
        <f ca="1">IF(C1="",'数据-汇总表'!E6,IF(INDIRECT("'数据-取费表'!c"&amp;$K$1)="住宅",INDIRECT("'数据-取费表'!s"&amp;$K$1),INDIRECT("'数据-取费表'!k"&amp;$K$1)+INDIRECT("'数据-取费表'!s"&amp;$K$1)))</f>
        <v>20062.899999999998</v>
      </c>
      <c r="E20" s="21">
        <f>'数据-取费表'!B28</f>
        <v>200</v>
      </c>
      <c r="F20" s="803"/>
      <c r="G20" s="12"/>
      <c r="H20" s="808"/>
      <c r="I20" s="808"/>
      <c r="J20" s="808"/>
      <c r="K20" s="809"/>
    </row>
    <row r="21" spans="1:33" s="802" customFormat="1" ht="13.5" customHeight="1">
      <c r="A21" s="789" t="s">
        <v>357</v>
      </c>
      <c r="B21" s="812" t="s">
        <v>1628</v>
      </c>
      <c r="C21" s="813">
        <f ca="1">C16+C17+C18</f>
        <v>0</v>
      </c>
      <c r="D21" s="814"/>
      <c r="E21" s="281"/>
      <c r="F21" s="281"/>
      <c r="G21" s="131" t="s">
        <v>1629</v>
      </c>
      <c r="H21" s="806"/>
      <c r="I21" s="806"/>
      <c r="J21" s="806"/>
      <c r="K21" s="807"/>
    </row>
    <row r="22" spans="1:33" s="802" customFormat="1" ht="13.5" customHeight="1">
      <c r="A22" s="789" t="s">
        <v>1601</v>
      </c>
      <c r="B22" s="812" t="s">
        <v>1630</v>
      </c>
      <c r="C22" s="813">
        <f ca="1">ROUND(C21*F22,0)</f>
        <v>0</v>
      </c>
      <c r="D22" s="281"/>
      <c r="E22" s="281"/>
      <c r="F22" s="815">
        <f>'数据-取费表'!B37</f>
        <v>0.02</v>
      </c>
      <c r="G22" s="5" t="s">
        <v>1631</v>
      </c>
      <c r="H22" s="796"/>
      <c r="I22" s="796"/>
      <c r="J22" s="796"/>
      <c r="K22" s="797"/>
    </row>
    <row r="23" spans="1:33" s="802" customFormat="1" ht="13.5" customHeight="1">
      <c r="A23" s="789" t="s">
        <v>1603</v>
      </c>
      <c r="B23" s="812" t="s">
        <v>1632</v>
      </c>
      <c r="C23" s="813">
        <f ca="1">ROUND(C4*F23*F11,0)</f>
        <v>0</v>
      </c>
      <c r="D23" s="281"/>
      <c r="E23" s="281"/>
      <c r="F23" s="815">
        <f>'数据-取费表'!B38</f>
        <v>0.02</v>
      </c>
      <c r="G23" s="5" t="s">
        <v>1633</v>
      </c>
      <c r="H23" s="796"/>
      <c r="I23" s="796"/>
      <c r="J23" s="796"/>
      <c r="K23" s="797"/>
    </row>
    <row r="24" spans="1:33" s="802" customFormat="1" ht="13.5" customHeight="1">
      <c r="A24" s="789" t="s">
        <v>1634</v>
      </c>
      <c r="B24" s="812" t="s">
        <v>1635</v>
      </c>
      <c r="C24" s="280">
        <f>ROUND(F24/(1+'数据-取费表'!C42),4)</f>
        <v>2.9000000000000001E-2</v>
      </c>
      <c r="D24" s="281" t="s">
        <v>12</v>
      </c>
      <c r="E24" s="281"/>
      <c r="F24" s="815">
        <f>IF(项目基本情况!B8="出让",0,'数据-取费表'!B48+'数据-取费表'!B49)</f>
        <v>3.0499999999999999E-2</v>
      </c>
      <c r="G24" s="5" t="s">
        <v>1636</v>
      </c>
      <c r="H24" s="817"/>
      <c r="I24" s="817"/>
      <c r="J24" s="817"/>
      <c r="K24" s="818"/>
    </row>
    <row r="25" spans="1:33" s="802" customFormat="1" ht="13.5" customHeight="1">
      <c r="A25" s="789" t="s">
        <v>1637</v>
      </c>
      <c r="B25" s="814" t="s">
        <v>1638</v>
      </c>
      <c r="C25" s="1105">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7"/>
      <c r="I25" s="817"/>
      <c r="J25" s="817"/>
      <c r="K25" s="818"/>
    </row>
    <row r="26" spans="1:33" s="820" customFormat="1" ht="13.5" customHeight="1">
      <c r="A26" s="799" t="s">
        <v>358</v>
      </c>
      <c r="B26" s="819" t="s">
        <v>1639</v>
      </c>
      <c r="C26" s="1106">
        <f ca="1">ROUND(IF('数据-取费表'!B22&lt;=1,(1+C24)*F25*'数据-取费表'!B24,(1+C24)*(POWER((1+F25),'数据-取费表'!B24)-1)),4)</f>
        <v>0</v>
      </c>
      <c r="D26" s="284"/>
      <c r="E26" s="285"/>
      <c r="F26" s="286"/>
      <c r="G26" s="1862" t="str">
        <f>IF('数据-取费表'!B22&lt;=1,"（(1)+取得税费率/(1+5%)）×年利率×建设期","（(1)+取得税费率）/(1+5%)×((1+年利率)^建设期-1)")</f>
        <v>（(1)+取得税费率）/(1+5%)×((1+年利率)^建设期-1)</v>
      </c>
      <c r="H26" s="806"/>
      <c r="I26" s="806"/>
      <c r="J26" s="806"/>
      <c r="K26" s="807"/>
    </row>
    <row r="27" spans="1:33" s="820" customFormat="1" ht="13.5" customHeight="1">
      <c r="A27" s="799" t="s">
        <v>359</v>
      </c>
      <c r="B27" s="819" t="s">
        <v>1640</v>
      </c>
      <c r="C27" s="1107">
        <f ca="1">ROUND(IF('数据-取费表'!B22&lt;=1,(C21+C22+C23)*F25*'数据-取费表'!B24/2,(C21+C22+C23)*(POWER((1+F25),'数据-取费表'!B24/2)-1)),0)</f>
        <v>0</v>
      </c>
      <c r="D27" s="284"/>
      <c r="E27" s="285"/>
      <c r="F27" s="286"/>
      <c r="G27" s="1862" t="str">
        <f>IF('数据-取费表'!B22&lt;=1,"（1）-（3）项×年利率×建设期÷2","（1）-（3）项×((1+年利率)^(建设期÷2)-1)")</f>
        <v>（1）-（3）项×((1+年利率)^(建设期÷2)-1)</v>
      </c>
      <c r="H27" s="806"/>
      <c r="I27" s="806"/>
      <c r="J27" s="806"/>
      <c r="K27" s="807"/>
    </row>
    <row r="28" spans="1:33" s="289" customFormat="1" ht="13.5" customHeight="1">
      <c r="A28" s="789" t="s">
        <v>1641</v>
      </c>
      <c r="B28" s="1863" t="s">
        <v>1642</v>
      </c>
      <c r="C28" s="287">
        <f ca="1">C30</f>
        <v>0</v>
      </c>
      <c r="D28" s="280">
        <f ca="1">C29</f>
        <v>0</v>
      </c>
      <c r="E28" s="282" t="s">
        <v>12</v>
      </c>
      <c r="F28" s="288">
        <f ca="1">IF(C1="",'数据-取费表'!Q16,INDIRECT("'数据-取费表'!q"&amp;$K$1))</f>
        <v>0.2</v>
      </c>
      <c r="G28" s="816"/>
      <c r="H28" s="817"/>
      <c r="I28" s="817"/>
      <c r="J28" s="817"/>
      <c r="K28" s="818"/>
    </row>
    <row r="29" spans="1:33" s="291" customFormat="1" ht="13.5" customHeight="1">
      <c r="A29" s="799" t="s">
        <v>358</v>
      </c>
      <c r="B29" s="821" t="s">
        <v>1643</v>
      </c>
      <c r="C29" s="284">
        <f ca="1">ROUND((1+C24)*F28*'数据-取费表'!B24/'数据-取费表'!B20,4)</f>
        <v>0</v>
      </c>
      <c r="D29" s="284"/>
      <c r="E29" s="285"/>
      <c r="F29" s="290"/>
      <c r="G29" s="131" t="s">
        <v>1644</v>
      </c>
      <c r="H29" s="806"/>
      <c r="I29" s="806"/>
      <c r="J29" s="806"/>
      <c r="K29" s="807"/>
    </row>
    <row r="30" spans="1:33" s="291" customFormat="1" ht="13.5" customHeight="1">
      <c r="A30" s="799" t="s">
        <v>359</v>
      </c>
      <c r="B30" s="821" t="s">
        <v>1645</v>
      </c>
      <c r="C30" s="292">
        <f ca="1">ROUND((C21+C22+C23)*F28,0)</f>
        <v>0</v>
      </c>
      <c r="D30" s="284"/>
      <c r="E30" s="285"/>
      <c r="F30" s="290"/>
      <c r="G30" s="131"/>
      <c r="H30" s="806"/>
      <c r="I30" s="806"/>
      <c r="J30" s="806"/>
      <c r="K30" s="807"/>
    </row>
    <row r="31" spans="1:33" s="802" customFormat="1" ht="13.5" customHeight="1" thickBot="1">
      <c r="A31" s="1864" t="s">
        <v>1646</v>
      </c>
      <c r="B31" s="832" t="s">
        <v>1647</v>
      </c>
      <c r="C31" s="833">
        <f>ROUND(C4*F31/(1+'数据-取费表'!C42),0)</f>
        <v>0</v>
      </c>
      <c r="D31" s="834"/>
      <c r="E31" s="835"/>
      <c r="F31" s="836">
        <f>'数据-取费表'!B41</f>
        <v>5.5000000000000007E-2</v>
      </c>
      <c r="G31" s="837" t="s">
        <v>1648</v>
      </c>
      <c r="H31" s="838"/>
      <c r="I31" s="838"/>
      <c r="J31" s="838"/>
      <c r="K31" s="839"/>
    </row>
    <row r="32" spans="1:33" s="798" customFormat="1" ht="13.5" customHeight="1" thickBot="1">
      <c r="A32" s="827" t="s">
        <v>1649</v>
      </c>
      <c r="B32" s="828"/>
      <c r="C32" s="829">
        <f ca="1">ROUND((C4-C21-C22-C23-C25-C28-C31)/(1+C24+D25+D28),0)</f>
        <v>0</v>
      </c>
      <c r="D32" s="828"/>
      <c r="E32" s="828"/>
      <c r="F32" s="828"/>
      <c r="G32" s="830" t="s">
        <v>1650</v>
      </c>
      <c r="H32" s="828"/>
      <c r="I32" s="828"/>
      <c r="J32" s="828"/>
      <c r="K32" s="831"/>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40" zoomScale="60" zoomScaleNormal="60" workbookViewId="0">
      <selection activeCell="M27" sqref="M27"/>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c r="AD1" s="351"/>
    </row>
    <row r="2" spans="1:30" s="352" customFormat="1" ht="28.5" customHeight="1">
      <c r="A2" s="201" t="s">
        <v>1462</v>
      </c>
      <c r="B2" s="619">
        <f>F65</f>
        <v>10896</v>
      </c>
      <c r="C2" s="906"/>
      <c r="D2" s="906"/>
      <c r="E2" s="907"/>
      <c r="F2" s="908"/>
      <c r="G2" s="907"/>
      <c r="H2" s="907"/>
      <c r="I2" s="907"/>
      <c r="J2" s="907"/>
      <c r="K2" s="909"/>
      <c r="L2" s="2731"/>
      <c r="M2" s="2732"/>
      <c r="N2" s="2732"/>
      <c r="O2" s="2732"/>
      <c r="P2" s="698"/>
      <c r="Q2" s="698"/>
      <c r="R2" s="698"/>
      <c r="S2" s="698"/>
      <c r="T2" s="698"/>
      <c r="U2" s="698"/>
      <c r="V2" s="698"/>
      <c r="W2" s="698"/>
      <c r="X2" s="698"/>
      <c r="Y2" s="698"/>
      <c r="Z2" s="698"/>
      <c r="AA2" s="698"/>
      <c r="AB2" s="698"/>
      <c r="AC2" s="699"/>
      <c r="AD2" s="351"/>
    </row>
    <row r="3" spans="1:30" s="352" customFormat="1" ht="28.5" customHeight="1" thickBot="1">
      <c r="A3" s="203" t="s">
        <v>1464</v>
      </c>
      <c r="B3" s="558">
        <f>ROUND(IF(D3="",B2*10000/'数据-汇总表'!E3,B2*10000/D3),0)</f>
        <v>5431</v>
      </c>
      <c r="C3" s="203" t="s">
        <v>1869</v>
      </c>
      <c r="D3" s="1191"/>
      <c r="E3" s="907"/>
      <c r="F3" s="908"/>
      <c r="G3" s="907"/>
      <c r="H3" s="907"/>
      <c r="I3" s="907"/>
      <c r="J3" s="907"/>
      <c r="K3" s="909"/>
      <c r="L3" s="2731"/>
      <c r="M3" s="2732"/>
      <c r="N3" s="2732"/>
      <c r="O3" s="2732"/>
      <c r="P3" s="698"/>
      <c r="Q3" s="698"/>
      <c r="R3" s="698"/>
      <c r="S3" s="698"/>
      <c r="T3" s="698"/>
      <c r="U3" s="698"/>
      <c r="V3" s="698"/>
      <c r="W3" s="698"/>
      <c r="X3" s="698"/>
      <c r="Y3" s="698"/>
      <c r="Z3" s="698"/>
      <c r="AA3" s="698"/>
      <c r="AB3" s="715"/>
      <c r="AC3" s="712"/>
    </row>
    <row r="4" spans="1:30" ht="15">
      <c r="A4" s="355" t="s">
        <v>1769</v>
      </c>
      <c r="B4" s="356"/>
      <c r="C4" s="3730" t="s">
        <v>1770</v>
      </c>
      <c r="D4" s="3731"/>
      <c r="E4" s="3732" t="s">
        <v>1771</v>
      </c>
      <c r="F4" s="3733"/>
      <c r="G4" s="3730" t="s">
        <v>1772</v>
      </c>
      <c r="H4" s="3731"/>
      <c r="I4" s="3730" t="s">
        <v>1773</v>
      </c>
      <c r="J4" s="3731"/>
      <c r="K4" s="559" t="s">
        <v>1774</v>
      </c>
      <c r="L4" s="2712"/>
      <c r="M4" s="2713"/>
      <c r="N4" s="2713"/>
      <c r="O4" s="2713"/>
      <c r="P4" s="3734" t="s">
        <v>1775</v>
      </c>
      <c r="Q4" s="3735"/>
      <c r="R4" s="3716" t="s">
        <v>1771</v>
      </c>
      <c r="S4" s="3717"/>
      <c r="T4" s="3716" t="s">
        <v>1772</v>
      </c>
      <c r="U4" s="3717"/>
      <c r="V4" s="3713" t="s">
        <v>1773</v>
      </c>
      <c r="W4" s="3713"/>
      <c r="X4" s="1353"/>
      <c r="Y4" s="3716" t="s">
        <v>1775</v>
      </c>
      <c r="Z4" s="3717"/>
      <c r="AA4" s="3710" t="s">
        <v>1771</v>
      </c>
      <c r="AB4" s="3711" t="s">
        <v>1772</v>
      </c>
      <c r="AC4" s="3710" t="s">
        <v>1773</v>
      </c>
    </row>
    <row r="5" spans="1:30" ht="15">
      <c r="A5" s="358"/>
      <c r="B5" s="359"/>
      <c r="C5" s="3722" t="s">
        <v>1673</v>
      </c>
      <c r="D5" s="3723"/>
      <c r="E5" s="3760" t="str">
        <f>土地案例!A10</f>
        <v>北京经济技术开发区河西区X78C2地块B4综合性商业金融服务业用地</v>
      </c>
      <c r="F5" s="3721"/>
      <c r="G5" s="3722" t="str">
        <f>土地案例!A8</f>
        <v>北京市房山区长阳镇06、07街区棚户区改造土地开发七片区项目FS10-0107-0005地块F3其他类多功能用地</v>
      </c>
      <c r="H5" s="3723"/>
      <c r="I5" s="3722" t="str">
        <f>土地案例!A14</f>
        <v>北京市门头沟区永定镇MC00-0018-0060、0061地块B4综合性商业金融服务业用地</v>
      </c>
      <c r="J5" s="3723"/>
      <c r="K5" s="559"/>
      <c r="L5" s="2712"/>
      <c r="M5" s="2713"/>
      <c r="N5" s="2713"/>
      <c r="O5" s="2713"/>
      <c r="P5" s="3736"/>
      <c r="Q5" s="3737"/>
      <c r="R5" s="3718"/>
      <c r="S5" s="3719"/>
      <c r="T5" s="3718"/>
      <c r="U5" s="3719"/>
      <c r="V5" s="3713"/>
      <c r="W5" s="3713"/>
      <c r="X5" s="1353"/>
      <c r="Y5" s="3718"/>
      <c r="Z5" s="3719"/>
      <c r="AA5" s="3711"/>
      <c r="AB5" s="3711"/>
      <c r="AC5" s="3711"/>
    </row>
    <row r="6" spans="1:30" ht="15.75" thickBot="1">
      <c r="A6" s="360"/>
      <c r="B6" s="361"/>
      <c r="C6" s="3724" t="s">
        <v>1677</v>
      </c>
      <c r="D6" s="3725"/>
      <c r="E6" s="3727" t="s">
        <v>1677</v>
      </c>
      <c r="F6" s="3728"/>
      <c r="G6" s="3724" t="s">
        <v>1677</v>
      </c>
      <c r="H6" s="3725"/>
      <c r="I6" s="3724" t="s">
        <v>1677</v>
      </c>
      <c r="J6" s="3725"/>
      <c r="K6" s="559" t="s">
        <v>1678</v>
      </c>
      <c r="L6" s="2712"/>
      <c r="M6" s="2713"/>
      <c r="N6" s="2713"/>
      <c r="O6" s="2713"/>
      <c r="P6" s="3738"/>
      <c r="Q6" s="3739"/>
      <c r="R6" s="3718"/>
      <c r="S6" s="3719"/>
      <c r="T6" s="3740"/>
      <c r="U6" s="3741"/>
      <c r="V6" s="3713"/>
      <c r="W6" s="3713"/>
      <c r="X6" s="1353"/>
      <c r="Y6" s="3740"/>
      <c r="Z6" s="3741"/>
      <c r="AA6" s="3712"/>
      <c r="AB6" s="3712"/>
      <c r="AC6" s="3712"/>
    </row>
    <row r="7" spans="1:30" s="108" customFormat="1" ht="15.75" thickBot="1">
      <c r="A7" s="362" t="s">
        <v>1679</v>
      </c>
      <c r="B7" s="363"/>
      <c r="C7" s="364">
        <f>'数据-取费表'!B2</f>
        <v>45068</v>
      </c>
      <c r="D7" s="365">
        <v>100</v>
      </c>
      <c r="E7" s="366" t="str">
        <f>土地案例!K10</f>
        <v>2019-08-29</v>
      </c>
      <c r="F7" s="367">
        <f>SUMIF(69:69,YEAR(E7)&amp;"-"&amp;INT((MONTH(E7)+2)/3),70:70)</f>
        <v>92.5</v>
      </c>
      <c r="G7" s="1971" t="str">
        <f>土地案例!K8</f>
        <v>2020-12-28</v>
      </c>
      <c r="H7" s="365">
        <f>SUMIF(69:69,YEAR(G7)&amp;"-"&amp;INT((MONTH(G7)+2)/3),70:70)</f>
        <v>95</v>
      </c>
      <c r="I7" s="1971" t="str">
        <f>土地案例!K14</f>
        <v>2018-02-28</v>
      </c>
      <c r="J7" s="365">
        <f>SUMIF(69:69,YEAR(I7)&amp;"-"&amp;INT((MONTH(I7)+2)/3),70:70)</f>
        <v>89.5</v>
      </c>
      <c r="K7" s="560"/>
      <c r="L7" s="2714"/>
      <c r="M7" s="2715"/>
      <c r="N7" s="2715"/>
      <c r="O7" s="2715"/>
      <c r="P7" s="3714" t="s">
        <v>1680</v>
      </c>
      <c r="Q7" s="3742"/>
      <c r="R7" s="700" t="s">
        <v>14</v>
      </c>
      <c r="S7" s="701">
        <f t="shared" ref="S7:S15" si="0">F7</f>
        <v>92.5</v>
      </c>
      <c r="T7" s="700" t="s">
        <v>14</v>
      </c>
      <c r="U7" s="701">
        <f t="shared" ref="U7:U15" si="1">H7</f>
        <v>95</v>
      </c>
      <c r="V7" s="700" t="s">
        <v>14</v>
      </c>
      <c r="W7" s="701">
        <f t="shared" ref="W7:W15" si="2">J7</f>
        <v>89.5</v>
      </c>
      <c r="X7" s="702"/>
      <c r="Y7" s="3714" t="s">
        <v>1680</v>
      </c>
      <c r="Z7" s="3715"/>
      <c r="AA7" s="703">
        <f>D7/F7</f>
        <v>1.0810810810810811</v>
      </c>
      <c r="AB7" s="703">
        <f>D7/H7</f>
        <v>1.0526315789473684</v>
      </c>
      <c r="AC7" s="703">
        <f>D7/J7</f>
        <v>1.1173184357541899</v>
      </c>
    </row>
    <row r="8" spans="1:30" s="108" customFormat="1" ht="15.75" thickBot="1">
      <c r="A8" s="362" t="s">
        <v>1681</v>
      </c>
      <c r="B8" s="363"/>
      <c r="C8" s="368" t="s">
        <v>1682</v>
      </c>
      <c r="D8" s="365">
        <v>100</v>
      </c>
      <c r="E8" s="3460" t="s">
        <v>3452</v>
      </c>
      <c r="F8" s="367">
        <f>SUMIF(72:72,E8,73:73)-SUMIF(72:72,C8,73:73)+100</f>
        <v>100</v>
      </c>
      <c r="G8" s="3460" t="s">
        <v>3453</v>
      </c>
      <c r="H8" s="365">
        <f>SUMIF(72:72,G8,73:73)-SUMIF(72:72,C8,73:73)+100</f>
        <v>100</v>
      </c>
      <c r="I8" s="3460" t="s">
        <v>3452</v>
      </c>
      <c r="J8" s="365">
        <f>SUMIF(72:72,I8,73:73)-SUMIF(72:72,C8,73:73)+100</f>
        <v>100</v>
      </c>
      <c r="K8" s="560"/>
      <c r="L8" s="2714"/>
      <c r="M8" s="2715"/>
      <c r="N8" s="2715"/>
      <c r="O8" s="2715"/>
      <c r="P8" s="3714" t="s">
        <v>1683</v>
      </c>
      <c r="Q8" s="3715"/>
      <c r="R8" s="700" t="s">
        <v>14</v>
      </c>
      <c r="S8" s="701">
        <f t="shared" si="0"/>
        <v>100</v>
      </c>
      <c r="T8" s="700" t="s">
        <v>14</v>
      </c>
      <c r="U8" s="701">
        <f t="shared" si="1"/>
        <v>100</v>
      </c>
      <c r="V8" s="700" t="s">
        <v>14</v>
      </c>
      <c r="W8" s="701">
        <f t="shared" si="2"/>
        <v>100</v>
      </c>
      <c r="X8" s="702"/>
      <c r="Y8" s="3714" t="s">
        <v>1683</v>
      </c>
      <c r="Z8" s="3715"/>
      <c r="AA8" s="703">
        <f t="shared" ref="AA8:AA45" si="3">D8/F8</f>
        <v>1</v>
      </c>
      <c r="AB8" s="703">
        <f t="shared" ref="AB8:AB45" si="4">D8/H8</f>
        <v>1</v>
      </c>
      <c r="AC8" s="703">
        <f t="shared" ref="AC8:AC45" si="5">D8/J8</f>
        <v>1</v>
      </c>
    </row>
    <row r="9" spans="1:30" s="108" customFormat="1" ht="15">
      <c r="A9" s="369" t="s">
        <v>1684</v>
      </c>
      <c r="B9" s="63" t="s">
        <v>1685</v>
      </c>
      <c r="C9" s="1974" t="s">
        <v>673</v>
      </c>
      <c r="D9" s="126">
        <v>100</v>
      </c>
      <c r="E9" s="1974" t="s">
        <v>3638</v>
      </c>
      <c r="F9" s="126">
        <f>SUMIF(74:74,E9,75:75)-SUMIF(74:74,C9,75:75)+100</f>
        <v>100</v>
      </c>
      <c r="G9" s="1974" t="s">
        <v>3640</v>
      </c>
      <c r="H9" s="126">
        <f>SUMIF(74:74,G9,75:75)-SUMIF(74:74,C9,75:75)+100</f>
        <v>95</v>
      </c>
      <c r="I9" s="1974" t="s">
        <v>3638</v>
      </c>
      <c r="J9" s="126">
        <f>SUMIF(74:74,I9,75:75)-SUMIF(74:74,C9,75:75)+100</f>
        <v>100</v>
      </c>
      <c r="K9" s="560"/>
      <c r="L9" s="2714"/>
      <c r="M9" s="2715"/>
      <c r="N9" s="2715"/>
      <c r="O9" s="2768"/>
      <c r="P9" s="3752" t="s">
        <v>1686</v>
      </c>
      <c r="Q9" s="1341" t="str">
        <f t="shared" ref="Q9:Q15" si="6">B9</f>
        <v>用途</v>
      </c>
      <c r="R9" s="700" t="s">
        <v>14</v>
      </c>
      <c r="S9" s="701">
        <f t="shared" si="0"/>
        <v>100</v>
      </c>
      <c r="T9" s="700" t="s">
        <v>14</v>
      </c>
      <c r="U9" s="701">
        <f t="shared" si="1"/>
        <v>95</v>
      </c>
      <c r="V9" s="700" t="s">
        <v>14</v>
      </c>
      <c r="W9" s="701">
        <f t="shared" si="2"/>
        <v>100</v>
      </c>
      <c r="X9" s="702"/>
      <c r="Y9" s="3686" t="s">
        <v>1687</v>
      </c>
      <c r="Z9" s="52" t="str">
        <f t="shared" ref="Z9:Z15" si="7">Q9</f>
        <v>用途</v>
      </c>
      <c r="AA9" s="703">
        <f t="shared" si="3"/>
        <v>1</v>
      </c>
      <c r="AB9" s="703">
        <f t="shared" si="4"/>
        <v>1.0526315789473684</v>
      </c>
      <c r="AC9" s="703">
        <f t="shared" si="5"/>
        <v>1</v>
      </c>
    </row>
    <row r="10" spans="1:30" s="378" customFormat="1" ht="27">
      <c r="A10" s="374"/>
      <c r="B10" s="375" t="s">
        <v>1688</v>
      </c>
      <c r="C10" s="383"/>
      <c r="D10" s="127">
        <v>100</v>
      </c>
      <c r="E10" s="416"/>
      <c r="F10" s="3525">
        <v>100</v>
      </c>
      <c r="G10" s="414"/>
      <c r="H10" s="3525">
        <v>100</v>
      </c>
      <c r="I10" s="414"/>
      <c r="J10" s="3525">
        <v>100</v>
      </c>
      <c r="K10" s="620"/>
      <c r="L10" s="2716"/>
      <c r="M10" s="2717"/>
      <c r="N10" s="2717"/>
      <c r="O10" s="2769"/>
      <c r="P10" s="3752"/>
      <c r="Q10" s="1341" t="str">
        <f t="shared" si="6"/>
        <v>土地使用年限（年）</v>
      </c>
      <c r="R10" s="700" t="s">
        <v>14</v>
      </c>
      <c r="S10" s="701">
        <f t="shared" si="0"/>
        <v>100</v>
      </c>
      <c r="T10" s="700" t="s">
        <v>14</v>
      </c>
      <c r="U10" s="701">
        <f t="shared" si="1"/>
        <v>100</v>
      </c>
      <c r="V10" s="700" t="s">
        <v>14</v>
      </c>
      <c r="W10" s="701">
        <f t="shared" si="2"/>
        <v>100</v>
      </c>
      <c r="X10" s="702"/>
      <c r="Y10" s="3686"/>
      <c r="Z10" s="52" t="str">
        <f t="shared" si="7"/>
        <v>土地使用年限（年）</v>
      </c>
      <c r="AA10" s="703">
        <f t="shared" si="3"/>
        <v>1</v>
      </c>
      <c r="AB10" s="703">
        <f t="shared" si="4"/>
        <v>1</v>
      </c>
      <c r="AC10" s="703">
        <f t="shared" si="5"/>
        <v>1</v>
      </c>
    </row>
    <row r="11" spans="1:30" ht="15">
      <c r="A11" s="379"/>
      <c r="B11" s="375" t="s">
        <v>1689</v>
      </c>
      <c r="C11" s="380">
        <v>1</v>
      </c>
      <c r="D11" s="127">
        <v>100</v>
      </c>
      <c r="E11" s="380">
        <v>1</v>
      </c>
      <c r="F11" s="127">
        <f>LOOKUP(E11,79:79,80:80)-LOOKUP(C11,79:79,80:80)+100</f>
        <v>100</v>
      </c>
      <c r="G11" s="381">
        <v>1</v>
      </c>
      <c r="H11" s="127">
        <f>LOOKUP(G11,79:79,80:80)-LOOKUP(C11,79:79,80:80)+100</f>
        <v>100</v>
      </c>
      <c r="I11" s="380">
        <v>1</v>
      </c>
      <c r="J11" s="127">
        <f>LOOKUP(I11,79:79,80:80)-LOOKUP(C11,79:79,80:80)+100</f>
        <v>100</v>
      </c>
      <c r="K11" s="621">
        <v>2</v>
      </c>
      <c r="L11" s="2718"/>
      <c r="M11" s="2713"/>
      <c r="N11" s="2713"/>
      <c r="O11" s="2770"/>
      <c r="P11" s="3752"/>
      <c r="Q11" s="1341" t="str">
        <f t="shared" si="6"/>
        <v>容积率</v>
      </c>
      <c r="R11" s="700" t="s">
        <v>14</v>
      </c>
      <c r="S11" s="701">
        <f t="shared" si="0"/>
        <v>100</v>
      </c>
      <c r="T11" s="700" t="s">
        <v>14</v>
      </c>
      <c r="U11" s="701">
        <f t="shared" si="1"/>
        <v>100</v>
      </c>
      <c r="V11" s="700" t="s">
        <v>14</v>
      </c>
      <c r="W11" s="701">
        <f t="shared" si="2"/>
        <v>100</v>
      </c>
      <c r="X11" s="702"/>
      <c r="Y11" s="3686"/>
      <c r="Z11" s="52" t="str">
        <f t="shared" si="7"/>
        <v>容积率</v>
      </c>
      <c r="AA11" s="703">
        <f t="shared" si="3"/>
        <v>1</v>
      </c>
      <c r="AB11" s="703">
        <f t="shared" si="4"/>
        <v>1</v>
      </c>
      <c r="AC11" s="703">
        <f t="shared" si="5"/>
        <v>1</v>
      </c>
    </row>
    <row r="12" spans="1:30" s="108" customFormat="1" ht="15">
      <c r="A12" s="382"/>
      <c r="B12" s="1891" t="s">
        <v>1870</v>
      </c>
      <c r="C12" s="383"/>
      <c r="D12" s="384">
        <v>100</v>
      </c>
      <c r="E12" s="416"/>
      <c r="F12" s="127">
        <f>SUMIF(81:81,E12,82:82)-SUMIF(81:81,C12,82:82)+100</f>
        <v>100</v>
      </c>
      <c r="G12" s="414"/>
      <c r="H12" s="127">
        <f>SUMIF(81:81,G12,82:82)-SUMIF(81:81,C12,82:82)+100</f>
        <v>100</v>
      </c>
      <c r="I12" s="416"/>
      <c r="J12" s="127">
        <f>SUMIF(81:81,I12,82:82)-SUMIF(81:81,C12,82:82)+100</f>
        <v>100</v>
      </c>
      <c r="K12" s="620"/>
      <c r="L12" s="2714"/>
      <c r="M12" s="2715"/>
      <c r="N12" s="2715"/>
      <c r="O12" s="2768"/>
      <c r="P12" s="3752"/>
      <c r="Q12" s="1341" t="str">
        <f t="shared" si="6"/>
        <v>配建</v>
      </c>
      <c r="R12" s="700" t="s">
        <v>14</v>
      </c>
      <c r="S12" s="701">
        <f t="shared" si="0"/>
        <v>100</v>
      </c>
      <c r="T12" s="700" t="s">
        <v>14</v>
      </c>
      <c r="U12" s="701">
        <f t="shared" si="1"/>
        <v>100</v>
      </c>
      <c r="V12" s="700" t="s">
        <v>14</v>
      </c>
      <c r="W12" s="701">
        <f t="shared" si="2"/>
        <v>100</v>
      </c>
      <c r="X12" s="702"/>
      <c r="Y12" s="3686"/>
      <c r="Z12" s="52" t="str">
        <f t="shared" si="7"/>
        <v>配建</v>
      </c>
      <c r="AA12" s="703">
        <f>D12/F12</f>
        <v>1</v>
      </c>
      <c r="AB12" s="703">
        <f>D12/H12</f>
        <v>1</v>
      </c>
      <c r="AC12" s="703">
        <f>D12/J12</f>
        <v>1</v>
      </c>
    </row>
    <row r="13" spans="1:30" ht="15">
      <c r="A13" s="379"/>
      <c r="B13" s="1891">
        <v>111</v>
      </c>
      <c r="C13" s="385"/>
      <c r="D13" s="386">
        <v>100</v>
      </c>
      <c r="E13" s="498"/>
      <c r="F13" s="127">
        <f>SUMIF(83:83,E13,84:84)-SUMIF(83:83,C13,84:84)+100</f>
        <v>100</v>
      </c>
      <c r="G13" s="622"/>
      <c r="H13" s="386">
        <f>SUMIF(83:83,G13,84:84)-SUMIF(83:83,C13,84:84)+100</f>
        <v>100</v>
      </c>
      <c r="I13" s="622"/>
      <c r="J13" s="386">
        <f>SUMIF(83:83,I13,84:84)-SUMIF(83:83,C13,84:84)+100</f>
        <v>100</v>
      </c>
      <c r="K13" s="620"/>
      <c r="L13" s="2719"/>
      <c r="M13" s="2713"/>
      <c r="N13" s="2713"/>
      <c r="O13" s="2770"/>
      <c r="P13" s="3752"/>
      <c r="Q13" s="1341">
        <f t="shared" si="6"/>
        <v>111</v>
      </c>
      <c r="R13" s="700" t="s">
        <v>14</v>
      </c>
      <c r="S13" s="701">
        <f t="shared" si="0"/>
        <v>100</v>
      </c>
      <c r="T13" s="700" t="s">
        <v>14</v>
      </c>
      <c r="U13" s="701">
        <f t="shared" si="1"/>
        <v>100</v>
      </c>
      <c r="V13" s="700" t="s">
        <v>14</v>
      </c>
      <c r="W13" s="701">
        <f t="shared" si="2"/>
        <v>100</v>
      </c>
      <c r="X13" s="702"/>
      <c r="Y13" s="3686"/>
      <c r="Z13" s="52">
        <f t="shared" si="7"/>
        <v>111</v>
      </c>
      <c r="AA13" s="703">
        <f>D13/F13</f>
        <v>1</v>
      </c>
      <c r="AB13" s="703">
        <f>D13/H13</f>
        <v>1</v>
      </c>
      <c r="AC13" s="703">
        <f>D13/J13</f>
        <v>1</v>
      </c>
    </row>
    <row r="14" spans="1:30" ht="15.75" thickBot="1">
      <c r="A14" s="387"/>
      <c r="B14" s="1893">
        <v>111</v>
      </c>
      <c r="C14" s="388"/>
      <c r="D14" s="389">
        <v>100</v>
      </c>
      <c r="E14" s="498"/>
      <c r="F14" s="389">
        <f>SUMIF(85:85,E14,86:86)-SUMIF(85:85,C14,86:86)+100</f>
        <v>100</v>
      </c>
      <c r="G14" s="622"/>
      <c r="H14" s="389">
        <f>SUMIF(85:85,G14,86:86)-SUMIF(85:85,C14,86:86)+100</f>
        <v>100</v>
      </c>
      <c r="I14" s="622"/>
      <c r="J14" s="389">
        <f>SUMIF(85:85,I14,86:86)-SUMIF(85:85,C14,86:86)+100</f>
        <v>100</v>
      </c>
      <c r="K14" s="620"/>
      <c r="L14" s="2719"/>
      <c r="M14" s="2713"/>
      <c r="N14" s="2713"/>
      <c r="O14" s="2770"/>
      <c r="P14" s="3752"/>
      <c r="Q14" s="1341">
        <f t="shared" si="6"/>
        <v>111</v>
      </c>
      <c r="R14" s="700" t="s">
        <v>14</v>
      </c>
      <c r="S14" s="701">
        <f t="shared" si="0"/>
        <v>100</v>
      </c>
      <c r="T14" s="700" t="s">
        <v>14</v>
      </c>
      <c r="U14" s="701">
        <f t="shared" si="1"/>
        <v>100</v>
      </c>
      <c r="V14" s="700" t="s">
        <v>14</v>
      </c>
      <c r="W14" s="701">
        <f t="shared" si="2"/>
        <v>100</v>
      </c>
      <c r="X14" s="702"/>
      <c r="Y14" s="3686"/>
      <c r="Z14" s="52">
        <f t="shared" si="7"/>
        <v>111</v>
      </c>
      <c r="AA14" s="703">
        <f>D14/F14</f>
        <v>1</v>
      </c>
      <c r="AB14" s="703">
        <f>D14/H14</f>
        <v>1</v>
      </c>
      <c r="AC14" s="703">
        <f>D14/J14</f>
        <v>1</v>
      </c>
    </row>
    <row r="15" spans="1:30" ht="99.75">
      <c r="A15" s="391" t="s">
        <v>1690</v>
      </c>
      <c r="B15" s="61" t="s">
        <v>1257</v>
      </c>
      <c r="C15" s="1894"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v>2</v>
      </c>
      <c r="L15" s="2719"/>
      <c r="M15" s="2713"/>
      <c r="N15" s="2713"/>
      <c r="O15" s="2770"/>
      <c r="P15" s="3745" t="s">
        <v>1691</v>
      </c>
      <c r="Q15" s="1350" t="str">
        <f t="shared" si="6"/>
        <v>居住社区成熟度</v>
      </c>
      <c r="R15" s="704" t="s">
        <v>14</v>
      </c>
      <c r="S15" s="705">
        <f t="shared" si="0"/>
        <v>100</v>
      </c>
      <c r="T15" s="704" t="s">
        <v>14</v>
      </c>
      <c r="U15" s="705">
        <f t="shared" si="1"/>
        <v>100</v>
      </c>
      <c r="V15" s="704" t="s">
        <v>14</v>
      </c>
      <c r="W15" s="705">
        <f t="shared" si="2"/>
        <v>100</v>
      </c>
      <c r="X15" s="1353"/>
      <c r="Y15" s="3745" t="s">
        <v>1691</v>
      </c>
      <c r="Z15" s="1354" t="str">
        <f t="shared" si="7"/>
        <v>居住社区成熟度</v>
      </c>
      <c r="AA15" s="1351">
        <f t="shared" si="3"/>
        <v>1</v>
      </c>
      <c r="AB15" s="1351">
        <f t="shared" si="4"/>
        <v>1</v>
      </c>
      <c r="AC15" s="1351">
        <f t="shared" si="5"/>
        <v>1</v>
      </c>
    </row>
    <row r="16" spans="1:30" ht="15">
      <c r="A16" s="379"/>
      <c r="B16" s="397"/>
      <c r="C16" s="398"/>
      <c r="D16" s="399"/>
      <c r="E16" s="1896"/>
      <c r="F16" s="399"/>
      <c r="G16" s="1896"/>
      <c r="H16" s="401"/>
      <c r="I16" s="1895"/>
      <c r="J16" s="399"/>
      <c r="K16" s="620"/>
      <c r="L16" s="2719"/>
      <c r="M16" s="2713"/>
      <c r="N16" s="2713"/>
      <c r="O16" s="2770"/>
      <c r="P16" s="3746"/>
      <c r="Q16" s="1350"/>
      <c r="R16" s="704"/>
      <c r="S16" s="705"/>
      <c r="T16" s="704"/>
      <c r="U16" s="705"/>
      <c r="V16" s="704"/>
      <c r="W16" s="705"/>
      <c r="X16" s="1353"/>
      <c r="Y16" s="3746"/>
      <c r="Z16" s="1354"/>
      <c r="AA16" s="1351">
        <v>1</v>
      </c>
      <c r="AB16" s="1351">
        <v>1</v>
      </c>
      <c r="AC16" s="1351">
        <v>1</v>
      </c>
    </row>
    <row r="17" spans="1:29" ht="71.25">
      <c r="A17" s="379"/>
      <c r="B17" s="402" t="s">
        <v>1777</v>
      </c>
      <c r="C17" s="1953"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v>1</v>
      </c>
      <c r="L17" s="2719"/>
      <c r="M17" s="2713"/>
      <c r="N17" s="2713"/>
      <c r="O17" s="2770"/>
      <c r="P17" s="3746"/>
      <c r="Q17" s="1350" t="str">
        <f>B17</f>
        <v>商业繁华度</v>
      </c>
      <c r="R17" s="704" t="s">
        <v>14</v>
      </c>
      <c r="S17" s="705">
        <f>F17</f>
        <v>100</v>
      </c>
      <c r="T17" s="704" t="s">
        <v>14</v>
      </c>
      <c r="U17" s="705">
        <f>H17</f>
        <v>100</v>
      </c>
      <c r="V17" s="704" t="s">
        <v>14</v>
      </c>
      <c r="W17" s="705">
        <f>J17</f>
        <v>100</v>
      </c>
      <c r="X17" s="1353"/>
      <c r="Y17" s="3746"/>
      <c r="Z17" s="1354" t="str">
        <f>Q17</f>
        <v>商业繁华度</v>
      </c>
      <c r="AA17" s="1351">
        <f t="shared" si="3"/>
        <v>1</v>
      </c>
      <c r="AB17" s="1351">
        <f t="shared" si="4"/>
        <v>1</v>
      </c>
      <c r="AC17" s="1351">
        <f t="shared" si="5"/>
        <v>1</v>
      </c>
    </row>
    <row r="18" spans="1:29" ht="15">
      <c r="A18" s="379"/>
      <c r="B18" s="407"/>
      <c r="C18" s="3462" t="s">
        <v>3461</v>
      </c>
      <c r="D18" s="401"/>
      <c r="E18" s="3463" t="s">
        <v>3461</v>
      </c>
      <c r="F18" s="401"/>
      <c r="G18" s="3463" t="s">
        <v>3393</v>
      </c>
      <c r="H18" s="399"/>
      <c r="I18" s="3464" t="s">
        <v>3393</v>
      </c>
      <c r="J18" s="399"/>
      <c r="K18" s="620"/>
      <c r="L18" s="2719"/>
      <c r="M18" s="2713"/>
      <c r="N18" s="2713"/>
      <c r="O18" s="2770"/>
      <c r="P18" s="3746"/>
      <c r="Q18" s="1350"/>
      <c r="R18" s="704"/>
      <c r="S18" s="705"/>
      <c r="T18" s="704"/>
      <c r="U18" s="705"/>
      <c r="V18" s="704"/>
      <c r="W18" s="705"/>
      <c r="X18" s="1353"/>
      <c r="Y18" s="3746"/>
      <c r="Z18" s="1354"/>
      <c r="AA18" s="1351">
        <v>1</v>
      </c>
      <c r="AB18" s="1351">
        <v>1</v>
      </c>
      <c r="AC18" s="1351">
        <v>1</v>
      </c>
    </row>
    <row r="19" spans="1:29" ht="71.25">
      <c r="A19" s="379"/>
      <c r="B19" s="402" t="s">
        <v>1811</v>
      </c>
      <c r="C19" s="1953"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v>2</v>
      </c>
      <c r="L19" s="2719"/>
      <c r="M19" s="2713"/>
      <c r="N19" s="2713"/>
      <c r="O19" s="2770"/>
      <c r="P19" s="3746"/>
      <c r="Q19" s="1350" t="str">
        <f>B19</f>
        <v>办公集聚程度</v>
      </c>
      <c r="R19" s="704" t="s">
        <v>14</v>
      </c>
      <c r="S19" s="705">
        <f>F19</f>
        <v>100</v>
      </c>
      <c r="T19" s="704" t="s">
        <v>14</v>
      </c>
      <c r="U19" s="705">
        <f>H19</f>
        <v>100</v>
      </c>
      <c r="V19" s="704" t="s">
        <v>14</v>
      </c>
      <c r="W19" s="705">
        <f>J19</f>
        <v>100</v>
      </c>
      <c r="X19" s="1353"/>
      <c r="Y19" s="3746"/>
      <c r="Z19" s="1354" t="str">
        <f>Q19</f>
        <v>办公集聚程度</v>
      </c>
      <c r="AA19" s="1351">
        <f t="shared" si="3"/>
        <v>1</v>
      </c>
      <c r="AB19" s="1351">
        <f t="shared" si="4"/>
        <v>1</v>
      </c>
      <c r="AC19" s="1351">
        <f t="shared" si="5"/>
        <v>1</v>
      </c>
    </row>
    <row r="20" spans="1:29" ht="15">
      <c r="A20" s="379"/>
      <c r="B20" s="407"/>
      <c r="C20" s="398"/>
      <c r="D20" s="399"/>
      <c r="E20" s="1896"/>
      <c r="F20" s="399"/>
      <c r="G20" s="1896"/>
      <c r="H20" s="399"/>
      <c r="I20" s="1895"/>
      <c r="J20" s="399"/>
      <c r="K20" s="620"/>
      <c r="L20" s="2719"/>
      <c r="M20" s="2713"/>
      <c r="N20" s="2713"/>
      <c r="O20" s="2770"/>
      <c r="P20" s="3746"/>
      <c r="Q20" s="1350"/>
      <c r="R20" s="704"/>
      <c r="S20" s="705"/>
      <c r="T20" s="704"/>
      <c r="U20" s="705"/>
      <c r="V20" s="704"/>
      <c r="W20" s="705"/>
      <c r="X20" s="1353"/>
      <c r="Y20" s="3746"/>
      <c r="Z20" s="1354"/>
      <c r="AA20" s="1351">
        <v>1</v>
      </c>
      <c r="AB20" s="1351">
        <v>1</v>
      </c>
      <c r="AC20" s="1351">
        <v>1</v>
      </c>
    </row>
    <row r="21" spans="1:29" ht="85.5">
      <c r="A21" s="379"/>
      <c r="B21" s="402" t="s">
        <v>1833</v>
      </c>
      <c r="C21" s="1898"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101</v>
      </c>
      <c r="I21" s="405"/>
      <c r="J21" s="401">
        <f>SUMIF(93:93,I22,94:94)-SUMIF(93:93,C22,94:94)+100</f>
        <v>101</v>
      </c>
      <c r="K21" s="621">
        <v>1</v>
      </c>
      <c r="L21" s="2719"/>
      <c r="M21" s="2713"/>
      <c r="N21" s="2713"/>
      <c r="O21" s="2770"/>
      <c r="P21" s="3746"/>
      <c r="Q21" s="1350" t="str">
        <f>B21</f>
        <v>交通便捷度</v>
      </c>
      <c r="R21" s="704" t="s">
        <v>14</v>
      </c>
      <c r="S21" s="705">
        <f>F21</f>
        <v>100</v>
      </c>
      <c r="T21" s="704" t="s">
        <v>14</v>
      </c>
      <c r="U21" s="705">
        <f>H21</f>
        <v>101</v>
      </c>
      <c r="V21" s="704" t="s">
        <v>14</v>
      </c>
      <c r="W21" s="705">
        <f>J21</f>
        <v>101</v>
      </c>
      <c r="X21" s="1353"/>
      <c r="Y21" s="3746"/>
      <c r="Z21" s="1354" t="str">
        <f>Q21</f>
        <v>交通便捷度</v>
      </c>
      <c r="AA21" s="1351">
        <f t="shared" si="3"/>
        <v>1</v>
      </c>
      <c r="AB21" s="1351">
        <f t="shared" si="4"/>
        <v>0.99009900990099009</v>
      </c>
      <c r="AC21" s="1351">
        <f t="shared" si="5"/>
        <v>0.99009900990099009</v>
      </c>
    </row>
    <row r="22" spans="1:29" ht="15">
      <c r="A22" s="379"/>
      <c r="B22" s="1130"/>
      <c r="C22" s="3465" t="s">
        <v>3461</v>
      </c>
      <c r="D22" s="401"/>
      <c r="E22" s="3466" t="s">
        <v>3461</v>
      </c>
      <c r="F22" s="399"/>
      <c r="G22" s="3466" t="s">
        <v>3628</v>
      </c>
      <c r="H22" s="399"/>
      <c r="I22" s="3467" t="s">
        <v>3462</v>
      </c>
      <c r="J22" s="399"/>
      <c r="K22" s="620"/>
      <c r="L22" s="2719"/>
      <c r="M22" s="2713"/>
      <c r="N22" s="2713"/>
      <c r="O22" s="2770"/>
      <c r="P22" s="3746"/>
      <c r="Q22" s="1350"/>
      <c r="R22" s="704"/>
      <c r="S22" s="705"/>
      <c r="T22" s="704"/>
      <c r="U22" s="705"/>
      <c r="V22" s="704"/>
      <c r="W22" s="705"/>
      <c r="X22" s="1353"/>
      <c r="Y22" s="3746"/>
      <c r="Z22" s="1354"/>
      <c r="AA22" s="1351">
        <v>1</v>
      </c>
      <c r="AB22" s="1351">
        <v>1</v>
      </c>
      <c r="AC22" s="1351">
        <v>1</v>
      </c>
    </row>
    <row r="23" spans="1:29" ht="15">
      <c r="A23" s="358"/>
      <c r="B23" s="402" t="s">
        <v>1871</v>
      </c>
      <c r="C23" s="1135">
        <f>估价对象房地状况!C19</f>
        <v>0</v>
      </c>
      <c r="D23" s="406">
        <v>100</v>
      </c>
      <c r="E23" s="403"/>
      <c r="F23" s="406">
        <f>SUMIF(95:95,E24,96:96)-SUMIF(95:95,C24,96:96)+100</f>
        <v>100</v>
      </c>
      <c r="G23" s="405"/>
      <c r="H23" s="406">
        <f>SUMIF(95:95,G24,96:96)-SUMIF(95:95,C24,96:96)+100</f>
        <v>100</v>
      </c>
      <c r="I23" s="405"/>
      <c r="J23" s="406">
        <f>SUMIF(95:95,I24,96:96)-SUMIF(95:95,C24,96:96)+100</f>
        <v>100</v>
      </c>
      <c r="K23" s="621">
        <v>2</v>
      </c>
      <c r="L23" s="2719"/>
      <c r="M23" s="2713"/>
      <c r="N23" s="2713"/>
      <c r="O23" s="2770"/>
      <c r="P23" s="3746"/>
      <c r="Q23" s="1350" t="str">
        <f t="shared" ref="Q23:Q37" si="8">B23</f>
        <v>区域土地利用方向</v>
      </c>
      <c r="R23" s="704" t="s">
        <v>14</v>
      </c>
      <c r="S23" s="705">
        <f>F23</f>
        <v>100</v>
      </c>
      <c r="T23" s="704" t="s">
        <v>14</v>
      </c>
      <c r="U23" s="705">
        <f>H23</f>
        <v>100</v>
      </c>
      <c r="V23" s="704" t="s">
        <v>14</v>
      </c>
      <c r="W23" s="705">
        <f>J23</f>
        <v>100</v>
      </c>
      <c r="X23" s="1353"/>
      <c r="Y23" s="3746"/>
      <c r="Z23" s="1354" t="str">
        <f>Q23</f>
        <v>区域土地利用方向</v>
      </c>
      <c r="AA23" s="1351">
        <f t="shared" si="3"/>
        <v>1</v>
      </c>
      <c r="AB23" s="1351">
        <f t="shared" si="4"/>
        <v>1</v>
      </c>
      <c r="AC23" s="1351">
        <f t="shared" si="5"/>
        <v>1</v>
      </c>
    </row>
    <row r="24" spans="1:29" ht="15">
      <c r="A24" s="358"/>
      <c r="B24" s="407"/>
      <c r="C24" s="3468" t="s">
        <v>3462</v>
      </c>
      <c r="D24" s="399"/>
      <c r="E24" s="3466" t="s">
        <v>3462</v>
      </c>
      <c r="F24" s="399"/>
      <c r="G24" s="3467" t="s">
        <v>3462</v>
      </c>
      <c r="H24" s="399"/>
      <c r="I24" s="3467" t="s">
        <v>3462</v>
      </c>
      <c r="J24" s="399"/>
      <c r="K24" s="739"/>
      <c r="L24" s="2719"/>
      <c r="M24" s="2713"/>
      <c r="N24" s="2713"/>
      <c r="O24" s="2770"/>
      <c r="P24" s="3746"/>
      <c r="Q24" s="1350"/>
      <c r="R24" s="704"/>
      <c r="S24" s="705"/>
      <c r="T24" s="704"/>
      <c r="U24" s="705"/>
      <c r="V24" s="704"/>
      <c r="W24" s="705"/>
      <c r="X24" s="1353"/>
      <c r="Y24" s="3746"/>
      <c r="Z24" s="1354"/>
      <c r="AA24" s="1351"/>
      <c r="AB24" s="1351"/>
      <c r="AC24" s="1351"/>
    </row>
    <row r="25" spans="1:29" ht="57">
      <c r="A25" s="358"/>
      <c r="B25" s="1130" t="s">
        <v>1872</v>
      </c>
      <c r="C25" s="1953"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v>1</v>
      </c>
      <c r="L25" s="2719"/>
      <c r="M25" s="2713"/>
      <c r="N25" s="2713"/>
      <c r="O25" s="2770"/>
      <c r="P25" s="3746"/>
      <c r="Q25" s="1350" t="str">
        <f t="shared" si="8"/>
        <v>自然及人文环境状况</v>
      </c>
      <c r="R25" s="704" t="s">
        <v>14</v>
      </c>
      <c r="S25" s="705">
        <f>F25</f>
        <v>100</v>
      </c>
      <c r="T25" s="704" t="s">
        <v>14</v>
      </c>
      <c r="U25" s="705">
        <f>H25</f>
        <v>100</v>
      </c>
      <c r="V25" s="704" t="s">
        <v>14</v>
      </c>
      <c r="W25" s="705">
        <f>J25</f>
        <v>100</v>
      </c>
      <c r="X25" s="1353"/>
      <c r="Y25" s="3746"/>
      <c r="Z25" s="1354" t="str">
        <f>Q25</f>
        <v>自然及人文环境状况</v>
      </c>
      <c r="AA25" s="1351">
        <f t="shared" si="3"/>
        <v>1</v>
      </c>
      <c r="AB25" s="1351">
        <f t="shared" si="4"/>
        <v>1</v>
      </c>
      <c r="AC25" s="1351">
        <f t="shared" si="5"/>
        <v>1</v>
      </c>
    </row>
    <row r="26" spans="1:29" ht="15">
      <c r="A26" s="358"/>
      <c r="B26" s="407"/>
      <c r="C26" s="3465" t="s">
        <v>3461</v>
      </c>
      <c r="D26" s="399"/>
      <c r="E26" s="3469" t="s">
        <v>3629</v>
      </c>
      <c r="F26" s="399"/>
      <c r="G26" s="3469" t="s">
        <v>3393</v>
      </c>
      <c r="H26" s="399"/>
      <c r="I26" s="3465" t="s">
        <v>3393</v>
      </c>
      <c r="J26" s="399"/>
      <c r="K26" s="620"/>
      <c r="L26" s="2719"/>
      <c r="M26" s="2713"/>
      <c r="N26" s="2713"/>
      <c r="O26" s="2770"/>
      <c r="P26" s="3746"/>
      <c r="Q26" s="1350"/>
      <c r="R26" s="704"/>
      <c r="S26" s="705"/>
      <c r="T26" s="704"/>
      <c r="U26" s="705"/>
      <c r="V26" s="704"/>
      <c r="W26" s="705"/>
      <c r="X26" s="1353"/>
      <c r="Y26" s="3746"/>
      <c r="Z26" s="1354"/>
      <c r="AA26" s="1351">
        <v>1</v>
      </c>
      <c r="AB26" s="1351">
        <v>1</v>
      </c>
      <c r="AC26" s="1351">
        <v>1</v>
      </c>
    </row>
    <row r="27" spans="1:29" s="108" customFormat="1" ht="42.75">
      <c r="A27" s="597"/>
      <c r="B27" s="1130" t="s">
        <v>1778</v>
      </c>
      <c r="C27" s="1898"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v>1</v>
      </c>
      <c r="L27" s="2714"/>
      <c r="M27" s="2715"/>
      <c r="N27" s="2715"/>
      <c r="O27" s="2768"/>
      <c r="P27" s="3746"/>
      <c r="Q27" s="1341" t="str">
        <f t="shared" si="8"/>
        <v>公共配套设施</v>
      </c>
      <c r="R27" s="700" t="s">
        <v>14</v>
      </c>
      <c r="S27" s="701">
        <f>F27</f>
        <v>100</v>
      </c>
      <c r="T27" s="700" t="s">
        <v>14</v>
      </c>
      <c r="U27" s="701">
        <f>H27</f>
        <v>100</v>
      </c>
      <c r="V27" s="700" t="s">
        <v>14</v>
      </c>
      <c r="W27" s="701">
        <f>J27</f>
        <v>100</v>
      </c>
      <c r="X27" s="702"/>
      <c r="Y27" s="3746"/>
      <c r="Z27" s="52" t="str">
        <f>Q27</f>
        <v>公共配套设施</v>
      </c>
      <c r="AA27" s="1351">
        <f>D27/F27</f>
        <v>1</v>
      </c>
      <c r="AB27" s="1351">
        <f>D27/H27</f>
        <v>1</v>
      </c>
      <c r="AC27" s="1351">
        <f>D27/J27</f>
        <v>1</v>
      </c>
    </row>
    <row r="28" spans="1:29" s="108" customFormat="1" ht="15">
      <c r="A28" s="597"/>
      <c r="B28" s="407"/>
      <c r="C28" s="3470" t="s">
        <v>3393</v>
      </c>
      <c r="D28" s="399"/>
      <c r="E28" s="3469" t="s">
        <v>3461</v>
      </c>
      <c r="F28" s="399"/>
      <c r="G28" s="3469" t="s">
        <v>3461</v>
      </c>
      <c r="H28" s="399"/>
      <c r="I28" s="3465" t="s">
        <v>3393</v>
      </c>
      <c r="J28" s="399"/>
      <c r="K28" s="620"/>
      <c r="L28" s="2714"/>
      <c r="M28" s="2715"/>
      <c r="N28" s="2715"/>
      <c r="O28" s="2768"/>
      <c r="P28" s="3746"/>
      <c r="Q28" s="1341"/>
      <c r="R28" s="700"/>
      <c r="S28" s="701"/>
      <c r="T28" s="700"/>
      <c r="U28" s="701"/>
      <c r="V28" s="700"/>
      <c r="W28" s="701"/>
      <c r="X28" s="702"/>
      <c r="Y28" s="3746"/>
      <c r="Z28" s="52"/>
      <c r="AA28" s="1351">
        <v>1</v>
      </c>
      <c r="AB28" s="1351">
        <v>1</v>
      </c>
      <c r="AC28" s="1351">
        <v>1</v>
      </c>
    </row>
    <row r="29" spans="1:29" s="108" customFormat="1" ht="28.5">
      <c r="A29" s="597"/>
      <c r="B29" s="1130" t="s">
        <v>1779</v>
      </c>
      <c r="C29" s="1898"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v>2</v>
      </c>
      <c r="L29" s="2714"/>
      <c r="M29" s="2715"/>
      <c r="N29" s="2715"/>
      <c r="O29" s="2768"/>
      <c r="P29" s="3746"/>
      <c r="Q29" s="1341" t="str">
        <f t="shared" ref="Q29" si="9">B29</f>
        <v>基础设施水平</v>
      </c>
      <c r="R29" s="700" t="s">
        <v>14</v>
      </c>
      <c r="S29" s="701">
        <f>F29</f>
        <v>100</v>
      </c>
      <c r="T29" s="700" t="s">
        <v>14</v>
      </c>
      <c r="U29" s="701">
        <f>H29</f>
        <v>100</v>
      </c>
      <c r="V29" s="700" t="s">
        <v>14</v>
      </c>
      <c r="W29" s="701">
        <f>J29</f>
        <v>100</v>
      </c>
      <c r="X29" s="702"/>
      <c r="Y29" s="3746"/>
      <c r="Z29" s="52" t="str">
        <f>Q29</f>
        <v>基础设施水平</v>
      </c>
      <c r="AA29" s="1351">
        <f>D29/F29</f>
        <v>1</v>
      </c>
      <c r="AB29" s="1351">
        <f>D29/H29</f>
        <v>1</v>
      </c>
      <c r="AC29" s="1351">
        <f>D29/J29</f>
        <v>1</v>
      </c>
    </row>
    <row r="30" spans="1:29" s="108" customFormat="1" ht="15">
      <c r="A30" s="597"/>
      <c r="B30" s="407"/>
      <c r="C30" s="3470" t="s">
        <v>3463</v>
      </c>
      <c r="D30" s="399"/>
      <c r="E30" s="3471" t="s">
        <v>3464</v>
      </c>
      <c r="F30" s="399"/>
      <c r="G30" s="3471" t="s">
        <v>3464</v>
      </c>
      <c r="H30" s="399"/>
      <c r="I30" s="3471" t="s">
        <v>3463</v>
      </c>
      <c r="J30" s="399"/>
      <c r="K30" s="620"/>
      <c r="L30" s="2714"/>
      <c r="M30" s="2715"/>
      <c r="N30" s="2715"/>
      <c r="O30" s="2768"/>
      <c r="P30" s="3746"/>
      <c r="Q30" s="1341"/>
      <c r="R30" s="700"/>
      <c r="S30" s="701"/>
      <c r="T30" s="700"/>
      <c r="U30" s="701"/>
      <c r="V30" s="700"/>
      <c r="W30" s="701"/>
      <c r="X30" s="702"/>
      <c r="Y30" s="3746"/>
      <c r="Z30" s="52"/>
      <c r="AA30" s="1351">
        <v>1</v>
      </c>
      <c r="AB30" s="1351">
        <v>1</v>
      </c>
      <c r="AC30" s="1351">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19"/>
      <c r="M31" s="2713"/>
      <c r="N31" s="2713"/>
      <c r="O31" s="2770"/>
      <c r="P31" s="3746"/>
      <c r="Q31" s="1350" t="str">
        <f t="shared" si="8"/>
        <v>临街状况</v>
      </c>
      <c r="R31" s="704" t="s">
        <v>14</v>
      </c>
      <c r="S31" s="705">
        <f t="shared" ref="S31:S45" si="10">F31</f>
        <v>100</v>
      </c>
      <c r="T31" s="704" t="s">
        <v>14</v>
      </c>
      <c r="U31" s="705">
        <f t="shared" ref="U31:U45" si="11">H31</f>
        <v>100</v>
      </c>
      <c r="V31" s="704" t="s">
        <v>14</v>
      </c>
      <c r="W31" s="705">
        <f t="shared" ref="W31:W45" si="12">J31</f>
        <v>100</v>
      </c>
      <c r="X31" s="1353"/>
      <c r="Y31" s="3746"/>
      <c r="Z31" s="1354" t="str">
        <f t="shared" ref="Z31:Z45" si="13">Q31</f>
        <v>临街状况</v>
      </c>
      <c r="AA31" s="1351">
        <f t="shared" si="3"/>
        <v>1</v>
      </c>
      <c r="AB31" s="1351">
        <f t="shared" si="4"/>
        <v>1</v>
      </c>
      <c r="AC31" s="1351">
        <f t="shared" si="5"/>
        <v>1</v>
      </c>
    </row>
    <row r="32" spans="1:29" ht="27">
      <c r="A32" s="379"/>
      <c r="B32" s="1130"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19"/>
      <c r="M32" s="2713"/>
      <c r="N32" s="2713"/>
      <c r="O32" s="2770"/>
      <c r="P32" s="3746"/>
      <c r="Q32" s="1350" t="str">
        <f t="shared" si="8"/>
        <v>毗邻道路的类型与等级</v>
      </c>
      <c r="R32" s="704" t="s">
        <v>14</v>
      </c>
      <c r="S32" s="705">
        <f t="shared" si="10"/>
        <v>100</v>
      </c>
      <c r="T32" s="704" t="s">
        <v>14</v>
      </c>
      <c r="U32" s="705">
        <f t="shared" si="11"/>
        <v>100</v>
      </c>
      <c r="V32" s="704" t="s">
        <v>14</v>
      </c>
      <c r="W32" s="705">
        <f t="shared" si="12"/>
        <v>100</v>
      </c>
      <c r="X32" s="1353"/>
      <c r="Y32" s="3746"/>
      <c r="Z32" s="1354" t="str">
        <f t="shared" si="13"/>
        <v>毗邻道路的类型与等级</v>
      </c>
      <c r="AA32" s="1351">
        <f t="shared" si="3"/>
        <v>1</v>
      </c>
      <c r="AB32" s="1351">
        <f t="shared" si="4"/>
        <v>1</v>
      </c>
      <c r="AC32" s="1351">
        <f t="shared" si="5"/>
        <v>1</v>
      </c>
    </row>
    <row r="33" spans="1:29" ht="15">
      <c r="A33" s="379"/>
      <c r="B33" s="407"/>
      <c r="C33" s="398"/>
      <c r="D33" s="399"/>
      <c r="E33" s="1902"/>
      <c r="F33" s="399"/>
      <c r="G33" s="1902"/>
      <c r="H33" s="399"/>
      <c r="I33" s="398"/>
      <c r="J33" s="399"/>
      <c r="K33" s="562"/>
      <c r="L33" s="2719"/>
      <c r="M33" s="2713"/>
      <c r="N33" s="2713"/>
      <c r="O33" s="2770"/>
      <c r="P33" s="3746"/>
      <c r="Q33" s="1350"/>
      <c r="R33" s="704"/>
      <c r="S33" s="705"/>
      <c r="T33" s="704"/>
      <c r="U33" s="705"/>
      <c r="V33" s="704"/>
      <c r="W33" s="705"/>
      <c r="X33" s="1353"/>
      <c r="Y33" s="3746"/>
      <c r="Z33" s="1354"/>
      <c r="AA33" s="1351">
        <v>1</v>
      </c>
      <c r="AB33" s="1351">
        <v>1</v>
      </c>
      <c r="AC33" s="1351">
        <v>1</v>
      </c>
    </row>
    <row r="34" spans="1:29" ht="15">
      <c r="A34" s="379"/>
      <c r="B34" s="375" t="s">
        <v>1873</v>
      </c>
      <c r="C34" s="3468" t="s">
        <v>3632</v>
      </c>
      <c r="D34" s="386">
        <v>100</v>
      </c>
      <c r="E34" s="582" t="str">
        <f>土地案例!U4</f>
        <v>九级</v>
      </c>
      <c r="F34" s="386">
        <f>SUMIF(107:107,E34,108:108)-SUMIF(107:107,C34,108:108)+100</f>
        <v>100</v>
      </c>
      <c r="G34" s="582" t="str">
        <f>土地案例!U8</f>
        <v>七级</v>
      </c>
      <c r="H34" s="386">
        <f>SUMIF(107:107,G34,108:108)-SUMIF(107:107,C34,108:108)+100</f>
        <v>100</v>
      </c>
      <c r="I34" s="565" t="str">
        <f>土地案例!U14</f>
        <v>七级</v>
      </c>
      <c r="J34" s="386">
        <f>SUMIF(107:107,I34,108:108)-SUMIF(107:107,C34,108:108)+100</f>
        <v>100</v>
      </c>
      <c r="K34" s="561">
        <v>0</v>
      </c>
      <c r="L34" s="2719"/>
      <c r="M34" s="2713"/>
      <c r="N34" s="2713"/>
      <c r="O34" s="2770"/>
      <c r="P34" s="3746"/>
      <c r="Q34" s="1350" t="str">
        <f t="shared" si="8"/>
        <v>土地级别</v>
      </c>
      <c r="R34" s="704" t="s">
        <v>14</v>
      </c>
      <c r="S34" s="705">
        <f t="shared" si="10"/>
        <v>100</v>
      </c>
      <c r="T34" s="704" t="s">
        <v>14</v>
      </c>
      <c r="U34" s="705">
        <f t="shared" si="11"/>
        <v>100</v>
      </c>
      <c r="V34" s="704" t="s">
        <v>14</v>
      </c>
      <c r="W34" s="705">
        <f t="shared" si="12"/>
        <v>100</v>
      </c>
      <c r="X34" s="1353"/>
      <c r="Y34" s="3746"/>
      <c r="Z34" s="1354" t="str">
        <f t="shared" si="13"/>
        <v>土地级别</v>
      </c>
      <c r="AA34" s="1351">
        <f t="shared" si="3"/>
        <v>1</v>
      </c>
      <c r="AB34" s="1351">
        <f t="shared" si="4"/>
        <v>1</v>
      </c>
      <c r="AC34" s="1351">
        <f t="shared" si="5"/>
        <v>1</v>
      </c>
    </row>
    <row r="35" spans="1:29" ht="15">
      <c r="A35" s="358"/>
      <c r="B35" s="1132">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19"/>
      <c r="M35" s="2713"/>
      <c r="N35" s="2713"/>
      <c r="O35" s="2770"/>
      <c r="P35" s="3746"/>
      <c r="Q35" s="1350">
        <f t="shared" si="8"/>
        <v>111</v>
      </c>
      <c r="R35" s="704" t="s">
        <v>14</v>
      </c>
      <c r="S35" s="705">
        <f t="shared" si="10"/>
        <v>100</v>
      </c>
      <c r="T35" s="704" t="s">
        <v>14</v>
      </c>
      <c r="U35" s="705">
        <f t="shared" si="11"/>
        <v>100</v>
      </c>
      <c r="V35" s="704" t="s">
        <v>14</v>
      </c>
      <c r="W35" s="705">
        <f t="shared" si="12"/>
        <v>100</v>
      </c>
      <c r="X35" s="1353"/>
      <c r="Y35" s="3746"/>
      <c r="Z35" s="1354">
        <f t="shared" si="13"/>
        <v>111</v>
      </c>
      <c r="AA35" s="1351">
        <f t="shared" si="3"/>
        <v>1</v>
      </c>
      <c r="AB35" s="1351">
        <f t="shared" si="4"/>
        <v>1</v>
      </c>
      <c r="AC35" s="1351">
        <f t="shared" si="5"/>
        <v>1</v>
      </c>
    </row>
    <row r="36" spans="1:29" ht="15">
      <c r="A36" s="623"/>
      <c r="B36" s="1133">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19"/>
      <c r="M36" s="2713"/>
      <c r="N36" s="2713"/>
      <c r="O36" s="2770"/>
      <c r="P36" s="3761" t="s">
        <v>1696</v>
      </c>
      <c r="Q36" s="1350">
        <f t="shared" si="8"/>
        <v>111</v>
      </c>
      <c r="R36" s="704" t="s">
        <v>14</v>
      </c>
      <c r="S36" s="705">
        <f t="shared" si="10"/>
        <v>100</v>
      </c>
      <c r="T36" s="704" t="s">
        <v>14</v>
      </c>
      <c r="U36" s="705">
        <f t="shared" si="11"/>
        <v>100</v>
      </c>
      <c r="V36" s="704" t="s">
        <v>14</v>
      </c>
      <c r="W36" s="705">
        <f t="shared" si="12"/>
        <v>100</v>
      </c>
      <c r="X36" s="1353"/>
      <c r="Y36" s="3750" t="s">
        <v>1696</v>
      </c>
      <c r="Z36" s="1354">
        <f t="shared" si="13"/>
        <v>111</v>
      </c>
      <c r="AA36" s="1351">
        <f t="shared" si="3"/>
        <v>1</v>
      </c>
      <c r="AB36" s="1351">
        <f t="shared" si="4"/>
        <v>1</v>
      </c>
      <c r="AC36" s="1351">
        <f t="shared" si="5"/>
        <v>1</v>
      </c>
    </row>
    <row r="37" spans="1:29" s="422" customFormat="1" ht="15.75" thickBot="1">
      <c r="A37" s="624"/>
      <c r="B37" s="1134">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18"/>
      <c r="M37" s="2720"/>
      <c r="N37" s="2720"/>
      <c r="O37" s="2771"/>
      <c r="P37" s="3750"/>
      <c r="Q37" s="1350">
        <f t="shared" si="8"/>
        <v>111</v>
      </c>
      <c r="R37" s="707" t="s">
        <v>14</v>
      </c>
      <c r="S37" s="708">
        <f t="shared" si="10"/>
        <v>100</v>
      </c>
      <c r="T37" s="707" t="s">
        <v>14</v>
      </c>
      <c r="U37" s="708">
        <f t="shared" si="11"/>
        <v>100</v>
      </c>
      <c r="V37" s="707" t="s">
        <v>14</v>
      </c>
      <c r="W37" s="708">
        <f t="shared" si="12"/>
        <v>100</v>
      </c>
      <c r="X37" s="709"/>
      <c r="Y37" s="3750"/>
      <c r="Z37" s="710">
        <f t="shared" si="13"/>
        <v>111</v>
      </c>
      <c r="AA37" s="1351">
        <f t="shared" si="3"/>
        <v>1</v>
      </c>
      <c r="AB37" s="1351">
        <f t="shared" si="4"/>
        <v>1</v>
      </c>
      <c r="AC37" s="1351">
        <f t="shared" si="5"/>
        <v>1</v>
      </c>
    </row>
    <row r="38" spans="1:29" ht="15">
      <c r="A38" s="423" t="s">
        <v>1694</v>
      </c>
      <c r="B38" s="407" t="s">
        <v>1874</v>
      </c>
      <c r="C38" s="627">
        <f>'数据-基础表'!A3</f>
        <v>10405.33</v>
      </c>
      <c r="D38" s="418">
        <v>100</v>
      </c>
      <c r="E38" s="627">
        <f>Sheet3!D2</f>
        <v>19258.580000000002</v>
      </c>
      <c r="F38" s="418">
        <f>LOOKUP(E38,116:116,117:117)-LOOKUP(C38,116:116,117:117)+100</f>
        <v>100</v>
      </c>
      <c r="G38" s="627">
        <f>Sheet3!D3</f>
        <v>28547.88</v>
      </c>
      <c r="H38" s="418">
        <f>LOOKUP(G38,116:116,117:117)-LOOKUP(C38,116:116,117:117)+100</f>
        <v>101</v>
      </c>
      <c r="I38" s="479">
        <f>Sheet3!D5</f>
        <v>25224.15</v>
      </c>
      <c r="J38" s="418">
        <f>LOOKUP(I38,116:116,117:117)-LOOKUP(C38,116:116,117:117)+100</f>
        <v>101</v>
      </c>
      <c r="K38" s="562"/>
      <c r="L38" s="2719"/>
      <c r="M38" s="2713"/>
      <c r="N38" s="2713"/>
      <c r="O38" s="2770"/>
      <c r="P38" s="3750"/>
      <c r="Q38" s="1350" t="str">
        <f>B38</f>
        <v>宗地面积</v>
      </c>
      <c r="R38" s="704" t="s">
        <v>14</v>
      </c>
      <c r="S38" s="705">
        <f t="shared" si="10"/>
        <v>100</v>
      </c>
      <c r="T38" s="704" t="s">
        <v>14</v>
      </c>
      <c r="U38" s="705">
        <f t="shared" si="11"/>
        <v>101</v>
      </c>
      <c r="V38" s="704" t="s">
        <v>14</v>
      </c>
      <c r="W38" s="705">
        <f t="shared" si="12"/>
        <v>101</v>
      </c>
      <c r="X38" s="1353"/>
      <c r="Y38" s="3750"/>
      <c r="Z38" s="1354" t="str">
        <f t="shared" si="13"/>
        <v>宗地面积</v>
      </c>
      <c r="AA38" s="1351">
        <f t="shared" si="3"/>
        <v>1</v>
      </c>
      <c r="AB38" s="1351">
        <f t="shared" si="4"/>
        <v>0.99009900990099009</v>
      </c>
      <c r="AC38" s="1351">
        <f t="shared" si="5"/>
        <v>0.99009900990099009</v>
      </c>
    </row>
    <row r="39" spans="1:29" ht="15">
      <c r="A39" s="423"/>
      <c r="B39" s="375" t="s">
        <v>1875</v>
      </c>
      <c r="C39" s="1904"/>
      <c r="D39" s="386">
        <v>100</v>
      </c>
      <c r="E39" s="1904"/>
      <c r="F39" s="386">
        <f>SUMIF(118:118,E39,119:119)-SUMIF(118:118,C39,119:119)+100</f>
        <v>100</v>
      </c>
      <c r="G39" s="1904"/>
      <c r="H39" s="386">
        <f>SUMIF(118:118,G39,119:119)-SUMIF(118:118,C39,119:119)+100</f>
        <v>100</v>
      </c>
      <c r="I39" s="1904"/>
      <c r="J39" s="386">
        <f>SUMIF(118:118,I39,119:119)-SUMIF(118:118,C39,119:119)+100</f>
        <v>100</v>
      </c>
      <c r="K39" s="561"/>
      <c r="L39" s="2719"/>
      <c r="M39" s="2713"/>
      <c r="N39" s="2713"/>
      <c r="O39" s="2770"/>
      <c r="P39" s="3750"/>
      <c r="Q39" s="1350" t="str">
        <f t="shared" ref="Q39:Q45" si="14">B39</f>
        <v>宗地形状</v>
      </c>
      <c r="R39" s="704" t="s">
        <v>14</v>
      </c>
      <c r="S39" s="705">
        <f t="shared" si="10"/>
        <v>100</v>
      </c>
      <c r="T39" s="704" t="s">
        <v>14</v>
      </c>
      <c r="U39" s="705">
        <f t="shared" si="11"/>
        <v>100</v>
      </c>
      <c r="V39" s="704" t="s">
        <v>14</v>
      </c>
      <c r="W39" s="705">
        <f t="shared" si="12"/>
        <v>100</v>
      </c>
      <c r="X39" s="1353"/>
      <c r="Y39" s="3750"/>
      <c r="Z39" s="1354" t="str">
        <f t="shared" si="13"/>
        <v>宗地形状</v>
      </c>
      <c r="AA39" s="1351">
        <f t="shared" si="3"/>
        <v>1</v>
      </c>
      <c r="AB39" s="1351">
        <f t="shared" si="4"/>
        <v>1</v>
      </c>
      <c r="AC39" s="1351">
        <f t="shared" si="5"/>
        <v>1</v>
      </c>
    </row>
    <row r="40" spans="1:29" ht="15">
      <c r="A40" s="423"/>
      <c r="B40" s="375" t="s">
        <v>1876</v>
      </c>
      <c r="C40" s="1904"/>
      <c r="D40" s="386">
        <v>100</v>
      </c>
      <c r="E40" s="1904"/>
      <c r="F40" s="386">
        <f>SUMIF(120:120,E40,121:121)-SUMIF(120:120,C40,121:121)+100</f>
        <v>100</v>
      </c>
      <c r="G40" s="1904"/>
      <c r="H40" s="386">
        <f>SUMIF(120:120,G40,121:121)-SUMIF(120:120,C40,121:121)+100</f>
        <v>100</v>
      </c>
      <c r="I40" s="1904"/>
      <c r="J40" s="386">
        <f>SUMIF(120:120,I40,121:121)-SUMIF(120:120,C40,121:121)+100</f>
        <v>100</v>
      </c>
      <c r="K40" s="561"/>
      <c r="L40" s="2719"/>
      <c r="M40" s="2713"/>
      <c r="N40" s="2713"/>
      <c r="O40" s="2770"/>
      <c r="P40" s="3750"/>
      <c r="Q40" s="1350" t="str">
        <f t="shared" si="14"/>
        <v>临街宽度及深度</v>
      </c>
      <c r="R40" s="704" t="s">
        <v>14</v>
      </c>
      <c r="S40" s="705">
        <f t="shared" si="10"/>
        <v>100</v>
      </c>
      <c r="T40" s="704" t="s">
        <v>14</v>
      </c>
      <c r="U40" s="705">
        <f t="shared" si="11"/>
        <v>100</v>
      </c>
      <c r="V40" s="704" t="s">
        <v>14</v>
      </c>
      <c r="W40" s="705">
        <f t="shared" si="12"/>
        <v>100</v>
      </c>
      <c r="X40" s="1353"/>
      <c r="Y40" s="3750"/>
      <c r="Z40" s="1354" t="str">
        <f t="shared" si="13"/>
        <v>临街宽度及深度</v>
      </c>
      <c r="AA40" s="1351">
        <f t="shared" si="3"/>
        <v>1</v>
      </c>
      <c r="AB40" s="1351">
        <f t="shared" si="4"/>
        <v>1</v>
      </c>
      <c r="AC40" s="1351">
        <f t="shared" si="5"/>
        <v>1</v>
      </c>
    </row>
    <row r="41" spans="1:29" s="108" customFormat="1" ht="15">
      <c r="A41" s="424"/>
      <c r="B41" s="375" t="s">
        <v>1877</v>
      </c>
      <c r="C41" s="1977"/>
      <c r="D41" s="127">
        <v>100</v>
      </c>
      <c r="E41" s="1977"/>
      <c r="F41" s="386">
        <f>SUMIF(122:122,E41,123:123)-SUMIF(122:122,C41,123:123)+100</f>
        <v>100</v>
      </c>
      <c r="G41" s="1977"/>
      <c r="H41" s="386">
        <f>SUMIF(122:122,G41,123:123)-SUMIF(122:122,C41,123:123)+100</f>
        <v>100</v>
      </c>
      <c r="I41" s="1977"/>
      <c r="J41" s="386">
        <f>SUMIF(122:122,I41,123:123)-SUMIF(122:122,C41,123:123)+100</f>
        <v>100</v>
      </c>
      <c r="K41" s="561"/>
      <c r="L41" s="2714"/>
      <c r="M41" s="2715"/>
      <c r="N41" s="2715"/>
      <c r="O41" s="2768"/>
      <c r="P41" s="3750"/>
      <c r="Q41" s="1350" t="str">
        <f t="shared" si="14"/>
        <v>宗地开发程度</v>
      </c>
      <c r="R41" s="700" t="s">
        <v>14</v>
      </c>
      <c r="S41" s="701">
        <f t="shared" si="10"/>
        <v>100</v>
      </c>
      <c r="T41" s="700" t="s">
        <v>14</v>
      </c>
      <c r="U41" s="701">
        <f t="shared" si="11"/>
        <v>100</v>
      </c>
      <c r="V41" s="700" t="s">
        <v>14</v>
      </c>
      <c r="W41" s="701">
        <f t="shared" si="12"/>
        <v>100</v>
      </c>
      <c r="X41" s="702"/>
      <c r="Y41" s="3750"/>
      <c r="Z41" s="52" t="str">
        <f t="shared" si="13"/>
        <v>宗地开发程度</v>
      </c>
      <c r="AA41" s="703">
        <f t="shared" si="3"/>
        <v>1</v>
      </c>
      <c r="AB41" s="703">
        <f t="shared" si="4"/>
        <v>1</v>
      </c>
      <c r="AC41" s="703">
        <f t="shared" si="5"/>
        <v>1</v>
      </c>
    </row>
    <row r="42" spans="1:29" ht="15">
      <c r="A42" s="423"/>
      <c r="B42" s="375" t="s">
        <v>1878</v>
      </c>
      <c r="C42" s="1904"/>
      <c r="D42" s="386">
        <v>100</v>
      </c>
      <c r="E42" s="1904"/>
      <c r="F42" s="386">
        <f>SUMIF(124:124,E42,125:125)-SUMIF(124:124,C42,125:125)+100</f>
        <v>100</v>
      </c>
      <c r="G42" s="1904"/>
      <c r="H42" s="386">
        <f>SUMIF(124:124,G42,125:125)-SUMIF(124:124,C42,125:125)+100</f>
        <v>100</v>
      </c>
      <c r="I42" s="1904"/>
      <c r="J42" s="386">
        <f>SUMIF(124:124,I42,125:125)-SUMIF(124:124,C42,125:125)+100</f>
        <v>100</v>
      </c>
      <c r="K42" s="561"/>
      <c r="L42" s="2719"/>
      <c r="M42" s="2713"/>
      <c r="N42" s="2713"/>
      <c r="O42" s="2770"/>
      <c r="P42" s="3750" t="s">
        <v>1696</v>
      </c>
      <c r="Q42" s="1350" t="str">
        <f t="shared" si="14"/>
        <v>工程地质条件</v>
      </c>
      <c r="R42" s="704" t="s">
        <v>14</v>
      </c>
      <c r="S42" s="705">
        <f t="shared" si="10"/>
        <v>100</v>
      </c>
      <c r="T42" s="704" t="s">
        <v>14</v>
      </c>
      <c r="U42" s="705">
        <f t="shared" si="11"/>
        <v>100</v>
      </c>
      <c r="V42" s="704" t="s">
        <v>14</v>
      </c>
      <c r="W42" s="705">
        <f t="shared" si="12"/>
        <v>100</v>
      </c>
      <c r="X42" s="1353"/>
      <c r="Y42" s="3750" t="s">
        <v>1696</v>
      </c>
      <c r="Z42" s="1354" t="str">
        <f t="shared" si="13"/>
        <v>工程地质条件</v>
      </c>
      <c r="AA42" s="1351">
        <f t="shared" si="3"/>
        <v>1</v>
      </c>
      <c r="AB42" s="1351">
        <f t="shared" si="4"/>
        <v>1</v>
      </c>
      <c r="AC42" s="1351">
        <f t="shared" si="5"/>
        <v>1</v>
      </c>
    </row>
    <row r="43" spans="1:29" ht="15">
      <c r="A43" s="423"/>
      <c r="B43" s="1133">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19"/>
      <c r="M43" s="2713"/>
      <c r="N43" s="2713"/>
      <c r="O43" s="2770"/>
      <c r="P43" s="3750"/>
      <c r="Q43" s="1350">
        <f t="shared" si="14"/>
        <v>111</v>
      </c>
      <c r="R43" s="704" t="s">
        <v>14</v>
      </c>
      <c r="S43" s="705">
        <f t="shared" si="10"/>
        <v>100</v>
      </c>
      <c r="T43" s="704" t="s">
        <v>14</v>
      </c>
      <c r="U43" s="705">
        <f t="shared" si="11"/>
        <v>100</v>
      </c>
      <c r="V43" s="704" t="s">
        <v>14</v>
      </c>
      <c r="W43" s="705">
        <f t="shared" si="12"/>
        <v>100</v>
      </c>
      <c r="X43" s="1353"/>
      <c r="Y43" s="3750"/>
      <c r="Z43" s="1354">
        <f t="shared" si="13"/>
        <v>111</v>
      </c>
      <c r="AA43" s="1351">
        <f t="shared" si="3"/>
        <v>1</v>
      </c>
      <c r="AB43" s="1351">
        <f t="shared" si="4"/>
        <v>1</v>
      </c>
      <c r="AC43" s="1351">
        <f t="shared" si="5"/>
        <v>1</v>
      </c>
    </row>
    <row r="44" spans="1:29" ht="15">
      <c r="A44" s="423"/>
      <c r="B44" s="1133">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19"/>
      <c r="M44" s="2713"/>
      <c r="N44" s="2713"/>
      <c r="O44" s="2770"/>
      <c r="P44" s="3750"/>
      <c r="Q44" s="1350">
        <f t="shared" si="14"/>
        <v>111</v>
      </c>
      <c r="R44" s="704" t="s">
        <v>14</v>
      </c>
      <c r="S44" s="705">
        <f t="shared" si="10"/>
        <v>100</v>
      </c>
      <c r="T44" s="704" t="s">
        <v>14</v>
      </c>
      <c r="U44" s="705">
        <f t="shared" si="11"/>
        <v>100</v>
      </c>
      <c r="V44" s="704" t="s">
        <v>14</v>
      </c>
      <c r="W44" s="705">
        <f t="shared" si="12"/>
        <v>100</v>
      </c>
      <c r="X44" s="1353"/>
      <c r="Y44" s="3750"/>
      <c r="Z44" s="1354">
        <f t="shared" si="13"/>
        <v>111</v>
      </c>
      <c r="AA44" s="1351">
        <f t="shared" si="3"/>
        <v>1</v>
      </c>
      <c r="AB44" s="1351">
        <f t="shared" si="4"/>
        <v>1</v>
      </c>
      <c r="AC44" s="1351">
        <f t="shared" si="5"/>
        <v>1</v>
      </c>
    </row>
    <row r="45" spans="1:29" s="422" customFormat="1" ht="15.75" thickBot="1">
      <c r="A45" s="419"/>
      <c r="B45" s="1133">
        <v>111</v>
      </c>
      <c r="C45" s="1978"/>
      <c r="D45" s="628">
        <v>100</v>
      </c>
      <c r="E45" s="622"/>
      <c r="F45" s="389">
        <f>SUMIF(130:130,E45,131:131)-SUMIF(130:130,C45,131:131)+100</f>
        <v>100</v>
      </c>
      <c r="G45" s="622"/>
      <c r="H45" s="389">
        <f>SUMIF(130:130,G45,131:131)-SUMIF(130:130,C45,131:131)+100</f>
        <v>100</v>
      </c>
      <c r="I45" s="622"/>
      <c r="J45" s="389">
        <f>SUMIF(130:130,I45,131:131)-SUMIF(130:130,C45,131:131)+100</f>
        <v>100</v>
      </c>
      <c r="K45" s="629"/>
      <c r="L45" s="2718"/>
      <c r="M45" s="2720"/>
      <c r="N45" s="2720"/>
      <c r="O45" s="2771"/>
      <c r="P45" s="3750"/>
      <c r="Q45" s="1350">
        <f t="shared" si="14"/>
        <v>111</v>
      </c>
      <c r="R45" s="707" t="s">
        <v>14</v>
      </c>
      <c r="S45" s="708">
        <f t="shared" si="10"/>
        <v>100</v>
      </c>
      <c r="T45" s="707" t="s">
        <v>14</v>
      </c>
      <c r="U45" s="708">
        <f t="shared" si="11"/>
        <v>100</v>
      </c>
      <c r="V45" s="707" t="s">
        <v>14</v>
      </c>
      <c r="W45" s="708">
        <f t="shared" si="12"/>
        <v>100</v>
      </c>
      <c r="X45" s="709"/>
      <c r="Y45" s="3750"/>
      <c r="Z45" s="710">
        <f t="shared" si="13"/>
        <v>111</v>
      </c>
      <c r="AA45" s="1351">
        <f t="shared" si="3"/>
        <v>1</v>
      </c>
      <c r="AB45" s="1351">
        <f t="shared" si="4"/>
        <v>1</v>
      </c>
      <c r="AC45" s="1351">
        <f t="shared" si="5"/>
        <v>1</v>
      </c>
    </row>
    <row r="46" spans="1:29" ht="15">
      <c r="A46" s="430" t="s">
        <v>1844</v>
      </c>
      <c r="B46" s="1979" t="s">
        <v>3460</v>
      </c>
      <c r="C46" s="630" t="s">
        <v>0</v>
      </c>
      <c r="D46" s="432"/>
      <c r="E46" s="433">
        <f>土地案例!W10</f>
        <v>10133</v>
      </c>
      <c r="F46" s="434"/>
      <c r="G46" s="435">
        <f>土地案例!W8</f>
        <v>7871</v>
      </c>
      <c r="H46" s="436"/>
      <c r="I46" s="433">
        <f>土地案例!W14</f>
        <v>10875</v>
      </c>
      <c r="J46" s="436"/>
      <c r="K46" s="713"/>
      <c r="L46" s="2721"/>
      <c r="M46" s="2722"/>
      <c r="N46" s="2713"/>
      <c r="O46" s="2722"/>
      <c r="P46" s="3752" t="str">
        <f>A46</f>
        <v>成交单价</v>
      </c>
      <c r="Q46" s="3752"/>
      <c r="R46" s="3713">
        <f>E46</f>
        <v>10133</v>
      </c>
      <c r="S46" s="3713"/>
      <c r="T46" s="3713">
        <f>G46</f>
        <v>7871</v>
      </c>
      <c r="U46" s="3713"/>
      <c r="V46" s="3713">
        <f>I46</f>
        <v>10875</v>
      </c>
      <c r="W46" s="3713"/>
      <c r="X46" s="689"/>
      <c r="Y46" s="711"/>
      <c r="Z46" s="689"/>
      <c r="AA46" s="689"/>
      <c r="AB46" s="689"/>
      <c r="AC46" s="689"/>
    </row>
    <row r="47" spans="1:29" ht="15.75" thickBot="1">
      <c r="A47" s="437" t="s">
        <v>1793</v>
      </c>
      <c r="B47" s="631"/>
      <c r="C47" s="440">
        <f>R48</f>
        <v>10472</v>
      </c>
      <c r="D47" s="2314" t="s">
        <v>2136</v>
      </c>
      <c r="E47" s="440">
        <f>R47</f>
        <v>10955</v>
      </c>
      <c r="F47" s="2315"/>
      <c r="G47" s="439">
        <f>T47</f>
        <v>8549</v>
      </c>
      <c r="H47" s="2315"/>
      <c r="I47" s="440">
        <f>V47</f>
        <v>11911</v>
      </c>
      <c r="J47" s="2315"/>
      <c r="K47" s="2317">
        <f>F47+H47+J47</f>
        <v>0</v>
      </c>
      <c r="L47" s="2721"/>
      <c r="M47" s="2722"/>
      <c r="N47" s="2722"/>
      <c r="O47" s="2722"/>
      <c r="P47" s="3752" t="str">
        <f>A47</f>
        <v>比较价值（元/平方米）</v>
      </c>
      <c r="Q47" s="3752"/>
      <c r="R47" s="3762">
        <f>ROUND(PRODUCT(R46,AA7:AA45),0)</f>
        <v>10955</v>
      </c>
      <c r="S47" s="3762"/>
      <c r="T47" s="3762">
        <f>ROUND(PRODUCT(T46,AB7:AB45),0)</f>
        <v>8549</v>
      </c>
      <c r="U47" s="3762"/>
      <c r="V47" s="3762">
        <f>ROUND(PRODUCT(V46,AC7:AC45),0)</f>
        <v>11911</v>
      </c>
      <c r="W47" s="3762"/>
      <c r="X47" s="689"/>
      <c r="Y47" s="689"/>
      <c r="Z47" s="689"/>
      <c r="AA47" s="689"/>
      <c r="AB47" s="689"/>
      <c r="AC47" s="689"/>
    </row>
    <row r="48" spans="1:29" ht="15.75" thickBot="1">
      <c r="A48" s="441" t="s">
        <v>1879</v>
      </c>
      <c r="B48" s="442"/>
      <c r="C48" s="443">
        <f>R48</f>
        <v>10472</v>
      </c>
      <c r="D48" s="443"/>
      <c r="E48" s="443"/>
      <c r="F48" s="443"/>
      <c r="G48" s="443"/>
      <c r="H48" s="443"/>
      <c r="I48" s="443"/>
      <c r="J48" s="443"/>
      <c r="K48" s="714"/>
      <c r="L48" s="2721"/>
      <c r="M48" s="2722"/>
      <c r="N48" s="2722"/>
      <c r="O48" s="2722"/>
      <c r="P48" s="3754" t="str">
        <f>A48</f>
        <v>估价对象XX用房的比较价值（楼面单价，元/平方米）</v>
      </c>
      <c r="Q48" s="3755"/>
      <c r="R48" s="3763">
        <f>ROUND(IF(D47="简单平均",AVERAGE(R47:W47),R47*F47+T47*H47+V47*J47),0)</f>
        <v>10472</v>
      </c>
      <c r="S48" s="3763"/>
      <c r="T48" s="3763"/>
      <c r="U48" s="3763"/>
      <c r="V48" s="3763"/>
      <c r="W48" s="3763"/>
      <c r="X48" s="689"/>
      <c r="Y48" s="689"/>
      <c r="Z48" s="689"/>
      <c r="AA48" s="689"/>
      <c r="AB48" s="689"/>
      <c r="AC48" s="689"/>
    </row>
    <row r="49" spans="1:29">
      <c r="A49" s="2722"/>
      <c r="B49" s="2722"/>
      <c r="C49" s="2722"/>
      <c r="D49" s="2722"/>
      <c r="E49" s="2722"/>
      <c r="F49" s="2722"/>
      <c r="G49" s="2726"/>
      <c r="H49" s="2722"/>
      <c r="I49" s="2722"/>
      <c r="J49" s="2722"/>
      <c r="K49" s="2727"/>
      <c r="L49" s="2723"/>
      <c r="M49" s="2722"/>
      <c r="N49" s="2722"/>
      <c r="O49" s="2722"/>
      <c r="P49" s="2722"/>
      <c r="Q49" s="2722"/>
      <c r="R49" s="2722"/>
      <c r="S49" s="2722"/>
      <c r="T49" s="2722"/>
      <c r="U49" s="2722"/>
      <c r="V49" s="2722"/>
      <c r="W49" s="2722"/>
      <c r="X49" s="2722"/>
      <c r="Y49" s="2722"/>
      <c r="Z49" s="2722"/>
      <c r="AA49" s="2722"/>
      <c r="AB49" s="2722"/>
      <c r="AC49" s="2722"/>
    </row>
    <row r="50" spans="1:29">
      <c r="A50" s="2722"/>
      <c r="B50" s="2722"/>
      <c r="C50" s="2722"/>
      <c r="D50" s="2722"/>
      <c r="E50" s="2722"/>
      <c r="F50" s="2722"/>
      <c r="G50" s="2722"/>
      <c r="H50" s="2722"/>
      <c r="I50" s="2722"/>
      <c r="J50" s="2722"/>
      <c r="K50" s="2727"/>
      <c r="L50" s="2723"/>
      <c r="M50" s="2722"/>
      <c r="N50" s="2722"/>
      <c r="O50" s="2722"/>
      <c r="P50" s="2722"/>
      <c r="Q50" s="2722"/>
      <c r="R50" s="2722"/>
      <c r="S50" s="2722"/>
      <c r="T50" s="2722"/>
      <c r="U50" s="2722"/>
      <c r="V50" s="2722"/>
      <c r="W50" s="2722"/>
      <c r="X50" s="2722"/>
      <c r="Y50" s="2722"/>
      <c r="Z50" s="2722"/>
      <c r="AA50" s="2722"/>
      <c r="AB50" s="2722"/>
      <c r="AC50" s="2722"/>
    </row>
    <row r="51" spans="1:29" ht="13.5" customHeight="1">
      <c r="A51" s="2722"/>
      <c r="B51" s="2722"/>
      <c r="C51" s="446" t="s">
        <v>1795</v>
      </c>
      <c r="D51" s="447"/>
      <c r="E51" s="448">
        <f>IF(E46&lt;E47,E47/E46-1,E46/E47-1)</f>
        <v>8.1121089509523348E-2</v>
      </c>
      <c r="F51" s="449" t="str">
        <f>IF(OR(E51&gt;=0.3,E51&lt;=-0.3),"超过30%","")</f>
        <v/>
      </c>
      <c r="G51" s="448">
        <f>IF(G46&lt;G47,G47/G46-1,G46/G47-1)</f>
        <v>8.6138991233642548E-2</v>
      </c>
      <c r="H51" s="449" t="str">
        <f>IF(OR(G51&gt;=0.3,G51&lt;=-0.3),"超过30%","")</f>
        <v/>
      </c>
      <c r="I51" s="448">
        <f>IF(I46&lt;I47,I47/I46-1,I46/I47-1)</f>
        <v>9.5264367816092044E-2</v>
      </c>
      <c r="J51" s="449" t="str">
        <f>IF(OR(I51&gt;=0.3,I51&lt;=-0.3),"超过30%","")</f>
        <v/>
      </c>
      <c r="K51" s="2727"/>
      <c r="L51" s="2723"/>
      <c r="M51" s="2722"/>
      <c r="N51" s="2722"/>
      <c r="O51" s="2722"/>
      <c r="P51" s="2722"/>
      <c r="Q51" s="2722"/>
      <c r="R51" s="2722"/>
      <c r="S51" s="2722"/>
      <c r="T51" s="2722"/>
      <c r="U51" s="2722"/>
      <c r="V51" s="2722"/>
      <c r="W51" s="2722"/>
      <c r="X51" s="2722"/>
      <c r="Y51" s="2722"/>
      <c r="Z51" s="2722"/>
      <c r="AA51" s="2722"/>
      <c r="AB51" s="2722"/>
      <c r="AC51" s="2722"/>
    </row>
    <row r="52" spans="1:29" ht="13.5" customHeight="1">
      <c r="A52" s="2722"/>
      <c r="B52" s="2722"/>
      <c r="C52" s="446" t="s">
        <v>1796</v>
      </c>
      <c r="D52" s="450"/>
      <c r="E52" s="448">
        <f>IF(E47&lt;G47,G47/E47-1,E47/G47-1)</f>
        <v>0.28143642531290203</v>
      </c>
      <c r="F52" s="449" t="str">
        <f>IF(OR(E52&gt;=0.2,E52&lt;=-0.2),"超过20%","")</f>
        <v>超过20%</v>
      </c>
      <c r="G52" s="448">
        <f>IF(G47&lt;I47,I47/G47-1,G47/I47-1)</f>
        <v>0.39326236986782082</v>
      </c>
      <c r="H52" s="449" t="str">
        <f>IF(OR(G52&gt;=0.2,G52&lt;=-0.2),"超过20%","")</f>
        <v>超过20%</v>
      </c>
      <c r="I52" s="448">
        <f>IF(I47&lt;E47,E47/I47-1,I47/E47-1)</f>
        <v>8.7266088544043718E-2</v>
      </c>
      <c r="J52" s="449" t="str">
        <f>IF(OR(I52&gt;=0.2,I52&lt;=-0.2),"超过20%","")</f>
        <v/>
      </c>
      <c r="K52" s="2727"/>
      <c r="L52" s="2723"/>
      <c r="M52" s="2722"/>
      <c r="N52" s="2722"/>
      <c r="O52" s="2722"/>
      <c r="P52" s="2722"/>
      <c r="Q52" s="2722"/>
      <c r="R52" s="2722"/>
      <c r="S52" s="2722"/>
      <c r="T52" s="2722"/>
      <c r="U52" s="2722"/>
      <c r="V52" s="2722"/>
      <c r="W52" s="2722"/>
      <c r="X52" s="2722"/>
      <c r="Y52" s="2722"/>
      <c r="Z52" s="2722"/>
      <c r="AA52" s="2722"/>
      <c r="AB52" s="2722"/>
      <c r="AC52" s="2722"/>
    </row>
    <row r="53" spans="1:29" s="451" customFormat="1" ht="13.5" customHeight="1">
      <c r="A53" s="2725"/>
      <c r="B53" s="2725"/>
      <c r="C53" s="446" t="s">
        <v>1797</v>
      </c>
      <c r="D53" s="450"/>
      <c r="E53" s="448">
        <f>IF(E46&lt;G46,G46/E46-1,E46/G46-1)</f>
        <v>0.28738406809808148</v>
      </c>
      <c r="F53" s="449" t="str">
        <f>IF(OR(E53&gt;=0.3,E53&lt;=-0.3),"超过30%","")</f>
        <v/>
      </c>
      <c r="G53" s="448">
        <f>IF(G46&lt;I46,I46/G46-1,G46/I46-1)</f>
        <v>0.38165417354846909</v>
      </c>
      <c r="H53" s="449" t="str">
        <f>IF(OR(G53&gt;=0.3,G53&lt;=-0.3),"超过30%","")</f>
        <v>超过30%</v>
      </c>
      <c r="I53" s="448">
        <f>IF(I46&lt;E46,E46/I46-1,I46/E46-1)</f>
        <v>7.3226092963584399E-2</v>
      </c>
      <c r="J53" s="449" t="str">
        <f>IF(OR(I53&gt;=0.3,I53&lt;=-0.3),"超过30%","")</f>
        <v/>
      </c>
      <c r="K53" s="2730"/>
      <c r="L53" s="2724"/>
      <c r="M53" s="2725"/>
      <c r="N53" s="2725"/>
      <c r="O53" s="2725"/>
      <c r="P53" s="2725"/>
      <c r="Q53" s="2725"/>
      <c r="R53" s="2725"/>
      <c r="S53" s="2725"/>
      <c r="T53" s="2725"/>
      <c r="U53" s="2725"/>
      <c r="V53" s="2725"/>
      <c r="W53" s="2725"/>
      <c r="X53" s="2725"/>
      <c r="Y53" s="2725"/>
      <c r="Z53" s="2725"/>
      <c r="AA53" s="2725"/>
      <c r="AB53" s="2725"/>
      <c r="AC53" s="2725"/>
    </row>
    <row r="54" spans="1:29" s="451" customFormat="1" ht="15" thickBot="1">
      <c r="A54" s="2725"/>
      <c r="B54" s="2728"/>
      <c r="C54" s="692"/>
      <c r="D54" s="690"/>
      <c r="E54" s="690"/>
      <c r="F54" s="690"/>
      <c r="G54" s="690"/>
      <c r="H54" s="690"/>
      <c r="I54" s="690"/>
      <c r="J54" s="690"/>
      <c r="K54" s="2730"/>
      <c r="L54" s="2724"/>
      <c r="M54" s="2725"/>
      <c r="N54" s="2725"/>
      <c r="O54" s="2725"/>
      <c r="P54" s="2725"/>
      <c r="Q54" s="2725"/>
      <c r="R54" s="2725"/>
      <c r="S54" s="2725"/>
      <c r="T54" s="2725"/>
      <c r="U54" s="2725"/>
      <c r="V54" s="2725"/>
      <c r="W54" s="2725"/>
      <c r="X54" s="2725"/>
      <c r="Y54" s="2725"/>
      <c r="Z54" s="2725"/>
      <c r="AA54" s="2725"/>
      <c r="AB54" s="2725"/>
      <c r="AC54" s="2725"/>
    </row>
    <row r="55" spans="1:29" ht="27" customHeight="1">
      <c r="A55" s="632" t="s">
        <v>1880</v>
      </c>
      <c r="B55" s="633" t="s">
        <v>1881</v>
      </c>
      <c r="C55" s="1980" t="s">
        <v>1882</v>
      </c>
      <c r="D55" s="1981" t="s">
        <v>1883</v>
      </c>
      <c r="E55" s="634" t="s">
        <v>1884</v>
      </c>
      <c r="F55" s="889" t="s">
        <v>1885</v>
      </c>
      <c r="G55" s="3730" t="s">
        <v>1886</v>
      </c>
      <c r="H55" s="3764"/>
      <c r="I55" s="135" t="s">
        <v>1887</v>
      </c>
      <c r="J55" s="1982">
        <f>项目基本情况!F35</f>
        <v>0</v>
      </c>
      <c r="K55" s="1983" t="s">
        <v>1888</v>
      </c>
      <c r="L55" s="2723"/>
      <c r="M55" s="2722"/>
      <c r="N55" s="2722"/>
      <c r="O55" s="2722"/>
      <c r="P55" s="2722"/>
      <c r="Q55" s="2722"/>
      <c r="R55" s="2722"/>
      <c r="S55" s="2722"/>
      <c r="T55" s="2722"/>
      <c r="U55" s="2722"/>
      <c r="V55" s="2722"/>
      <c r="W55" s="2722"/>
      <c r="X55" s="2722"/>
      <c r="Y55" s="2722"/>
      <c r="Z55" s="2722"/>
      <c r="AA55" s="2722"/>
      <c r="AB55" s="2722"/>
      <c r="AC55" s="2722"/>
    </row>
    <row r="56" spans="1:29" s="640" customFormat="1">
      <c r="A56" s="636" t="s">
        <v>1889</v>
      </c>
      <c r="B56" s="637">
        <f>C48</f>
        <v>10472</v>
      </c>
      <c r="C56" s="638">
        <v>1</v>
      </c>
      <c r="D56" s="943">
        <v>1</v>
      </c>
      <c r="E56" s="638">
        <f>'数据-汇总表'!E8+'数据-汇总表'!E9</f>
        <v>17193.62</v>
      </c>
      <c r="F56" s="885">
        <f t="shared" ref="F56:F64" si="15">ROUND(B56*E56/10000,0)</f>
        <v>18005</v>
      </c>
      <c r="G56" s="3729"/>
      <c r="H56" s="3752"/>
      <c r="I56" s="890">
        <v>1</v>
      </c>
      <c r="J56" s="893">
        <v>1</v>
      </c>
      <c r="K56" s="2725"/>
      <c r="L56" s="2778"/>
      <c r="M56" s="2778"/>
      <c r="N56" s="2778"/>
      <c r="O56" s="2778"/>
      <c r="P56" s="2778"/>
      <c r="Q56" s="2778"/>
      <c r="R56" s="2778"/>
      <c r="S56" s="2778"/>
      <c r="T56" s="2778"/>
      <c r="U56" s="2778"/>
      <c r="V56" s="2778"/>
      <c r="W56" s="2778"/>
      <c r="X56" s="2778"/>
      <c r="Y56" s="2778"/>
      <c r="Z56" s="2778"/>
      <c r="AA56" s="2778"/>
      <c r="AB56" s="2778"/>
      <c r="AC56" s="2778"/>
    </row>
    <row r="57" spans="1:29" s="640" customFormat="1">
      <c r="A57" s="641" t="s">
        <v>1890</v>
      </c>
      <c r="B57" s="218">
        <f>ROUND($C$48*C57*D57,0)</f>
        <v>1309</v>
      </c>
      <c r="C57" s="171">
        <f t="shared" ref="C57:C64" si="16">IF($C$55="北京市系数",I57,J57)</f>
        <v>0.5</v>
      </c>
      <c r="D57" s="944">
        <v>0.25</v>
      </c>
      <c r="E57" s="642"/>
      <c r="F57" s="885">
        <f t="shared" si="15"/>
        <v>0</v>
      </c>
      <c r="G57" s="3002" t="s">
        <v>1891</v>
      </c>
      <c r="H57" s="886" t="str">
        <f>项目基本情况!B37</f>
        <v>十级</v>
      </c>
      <c r="I57" s="890">
        <f>SUMIF(修正!A57:A68,H57,修正!B57:B68)</f>
        <v>0.5</v>
      </c>
      <c r="J57" s="894"/>
      <c r="K57" s="2722"/>
      <c r="L57" s="2778"/>
      <c r="M57" s="2778"/>
      <c r="N57" s="2778"/>
      <c r="O57" s="2778"/>
      <c r="P57" s="2778"/>
      <c r="Q57" s="2778"/>
      <c r="R57" s="2778"/>
      <c r="S57" s="2778"/>
      <c r="T57" s="2778"/>
      <c r="U57" s="2778"/>
      <c r="V57" s="2778"/>
      <c r="W57" s="2778"/>
      <c r="X57" s="2778"/>
      <c r="Y57" s="2778"/>
      <c r="Z57" s="2778"/>
      <c r="AA57" s="2778"/>
      <c r="AB57" s="2778"/>
      <c r="AC57" s="2778"/>
    </row>
    <row r="58" spans="1:29" s="640" customFormat="1">
      <c r="A58" s="641" t="s">
        <v>1892</v>
      </c>
      <c r="B58" s="218">
        <f t="shared" ref="B58:B64" si="17">ROUND($C$48*C58*D58,0)</f>
        <v>524</v>
      </c>
      <c r="C58" s="171">
        <f t="shared" si="16"/>
        <v>0.2</v>
      </c>
      <c r="D58" s="944">
        <v>0.25</v>
      </c>
      <c r="E58" s="642"/>
      <c r="F58" s="885">
        <f t="shared" si="15"/>
        <v>0</v>
      </c>
      <c r="G58" s="3003"/>
      <c r="H58" s="886" t="str">
        <f>项目基本情况!B37</f>
        <v>十级</v>
      </c>
      <c r="I58" s="890">
        <f>SUMIF(修正!A57:A68,H58,修正!C57:C68)</f>
        <v>0.2</v>
      </c>
      <c r="J58" s="894"/>
      <c r="K58" s="2725"/>
      <c r="L58" s="2778"/>
      <c r="M58" s="2778"/>
      <c r="N58" s="2778"/>
      <c r="O58" s="2778"/>
      <c r="P58" s="2778"/>
      <c r="Q58" s="2778"/>
      <c r="R58" s="2778"/>
      <c r="S58" s="2778"/>
      <c r="T58" s="2778"/>
      <c r="U58" s="2778"/>
      <c r="V58" s="2778"/>
      <c r="W58" s="2778"/>
      <c r="X58" s="2778"/>
      <c r="Y58" s="2778"/>
      <c r="Z58" s="2778"/>
      <c r="AA58" s="2778"/>
      <c r="AB58" s="2778"/>
      <c r="AC58" s="2778"/>
    </row>
    <row r="59" spans="1:29" s="640" customFormat="1">
      <c r="A59" s="641" t="s">
        <v>1893</v>
      </c>
      <c r="B59" s="218">
        <f t="shared" si="17"/>
        <v>524</v>
      </c>
      <c r="C59" s="171">
        <f t="shared" si="16"/>
        <v>0.2</v>
      </c>
      <c r="D59" s="944">
        <v>0.25</v>
      </c>
      <c r="E59" s="642"/>
      <c r="F59" s="885">
        <f t="shared" si="15"/>
        <v>0</v>
      </c>
      <c r="G59" s="3003"/>
      <c r="H59" s="886" t="str">
        <f>项目基本情况!B37</f>
        <v>十级</v>
      </c>
      <c r="I59" s="890">
        <f>SUMIF(修正!A57:A68,H59,修正!D57:D68)</f>
        <v>0.2</v>
      </c>
      <c r="J59" s="894"/>
      <c r="K59" s="2722"/>
      <c r="L59" s="2778"/>
      <c r="M59" s="2778"/>
      <c r="N59" s="2778"/>
      <c r="O59" s="2778"/>
      <c r="P59" s="2778"/>
      <c r="Q59" s="2778"/>
      <c r="R59" s="2778"/>
      <c r="S59" s="2778"/>
      <c r="T59" s="2778"/>
      <c r="U59" s="2778"/>
      <c r="V59" s="2778"/>
      <c r="W59" s="2778"/>
      <c r="X59" s="2778"/>
      <c r="Y59" s="2778"/>
      <c r="Z59" s="2778"/>
      <c r="AA59" s="2778"/>
      <c r="AB59" s="2778"/>
      <c r="AC59" s="2778"/>
    </row>
    <row r="60" spans="1:29" s="640" customFormat="1">
      <c r="A60" s="641" t="s">
        <v>1894</v>
      </c>
      <c r="B60" s="218">
        <f t="shared" si="17"/>
        <v>0</v>
      </c>
      <c r="C60" s="171">
        <f t="shared" si="16"/>
        <v>0</v>
      </c>
      <c r="D60" s="944">
        <v>0.25</v>
      </c>
      <c r="E60" s="217">
        <f>'数据-汇总表'!E11</f>
        <v>0</v>
      </c>
      <c r="F60" s="885">
        <f t="shared" si="15"/>
        <v>0</v>
      </c>
      <c r="G60" s="1984" t="s">
        <v>1895</v>
      </c>
      <c r="H60" s="886">
        <f>项目基本情况!C37</f>
        <v>0</v>
      </c>
      <c r="I60" s="890">
        <f>SUMIF(修正!A57:A68,H60,修正!E57:E68)</f>
        <v>0</v>
      </c>
      <c r="J60" s="894"/>
      <c r="K60" s="2722"/>
      <c r="L60" s="2778"/>
      <c r="M60" s="2778"/>
      <c r="N60" s="2778"/>
      <c r="O60" s="2778"/>
      <c r="P60" s="2778"/>
      <c r="Q60" s="2778"/>
      <c r="R60" s="2778"/>
      <c r="S60" s="2778"/>
      <c r="T60" s="2778"/>
      <c r="U60" s="2778"/>
      <c r="V60" s="2778"/>
      <c r="W60" s="2778"/>
      <c r="X60" s="2778"/>
      <c r="Y60" s="2778"/>
      <c r="Z60" s="2778"/>
      <c r="AA60" s="2778"/>
      <c r="AB60" s="2778"/>
      <c r="AC60" s="2778"/>
    </row>
    <row r="61" spans="1:29" s="640" customFormat="1">
      <c r="A61" s="641" t="s">
        <v>1896</v>
      </c>
      <c r="B61" s="218">
        <f t="shared" si="17"/>
        <v>0</v>
      </c>
      <c r="C61" s="171">
        <f t="shared" si="16"/>
        <v>0</v>
      </c>
      <c r="D61" s="944">
        <v>0.25</v>
      </c>
      <c r="E61" s="217">
        <f>'数据-汇总表'!E12</f>
        <v>0</v>
      </c>
      <c r="F61" s="885">
        <f t="shared" si="15"/>
        <v>0</v>
      </c>
      <c r="G61" s="891" t="s">
        <v>1897</v>
      </c>
      <c r="H61" s="886">
        <f>IF(G61="商业",项目基本情况!B37,IF(G61="办公",项目基本情况!C37,IF(G61="住宅",项目基本情况!D37,项目基本情况!E37)))</f>
        <v>0</v>
      </c>
      <c r="I61" s="890">
        <f>SUMIF(修正!A57:A68,H61,修正!F57:F68)</f>
        <v>0</v>
      </c>
      <c r="J61" s="894"/>
      <c r="K61" s="2725"/>
      <c r="L61" s="2778"/>
      <c r="M61" s="2778"/>
      <c r="N61" s="2778"/>
      <c r="O61" s="2778"/>
      <c r="P61" s="2778"/>
      <c r="Q61" s="2778"/>
      <c r="R61" s="2778"/>
      <c r="S61" s="2778"/>
      <c r="T61" s="2778"/>
      <c r="U61" s="2778"/>
      <c r="V61" s="2778"/>
      <c r="W61" s="2778"/>
      <c r="X61" s="2778"/>
      <c r="Y61" s="2778"/>
      <c r="Z61" s="2778"/>
      <c r="AA61" s="2778"/>
      <c r="AB61" s="2778"/>
      <c r="AC61" s="2778"/>
    </row>
    <row r="62" spans="1:29" s="640" customFormat="1">
      <c r="A62" s="641" t="s">
        <v>1898</v>
      </c>
      <c r="B62" s="218">
        <f t="shared" si="17"/>
        <v>0</v>
      </c>
      <c r="C62" s="171">
        <f t="shared" si="16"/>
        <v>0</v>
      </c>
      <c r="D62" s="944">
        <v>0.25</v>
      </c>
      <c r="E62" s="217">
        <f>'数据-汇总表'!E13</f>
        <v>0</v>
      </c>
      <c r="F62" s="885">
        <f t="shared" si="15"/>
        <v>0</v>
      </c>
      <c r="G62" s="891" t="s">
        <v>1899</v>
      </c>
      <c r="H62" s="886">
        <f>IF(G62="商业",项目基本情况!B37,IF(G62="办公",项目基本情况!C37,IF(G62="住宅",项目基本情况!D37,项目基本情况!E37)))</f>
        <v>0</v>
      </c>
      <c r="I62" s="890">
        <f>SUMIF(修正!A57:A68,H62,修正!G57:G68)</f>
        <v>0</v>
      </c>
      <c r="J62" s="894"/>
      <c r="K62" s="2722"/>
      <c r="L62" s="2778"/>
      <c r="M62" s="2778"/>
      <c r="N62" s="2778"/>
      <c r="O62" s="2778"/>
      <c r="P62" s="2778"/>
      <c r="Q62" s="2778"/>
      <c r="R62" s="2778"/>
      <c r="S62" s="2778"/>
      <c r="T62" s="2778"/>
      <c r="U62" s="2778"/>
      <c r="V62" s="2778"/>
      <c r="W62" s="2778"/>
      <c r="X62" s="2778"/>
      <c r="Y62" s="2778"/>
      <c r="Z62" s="2778"/>
      <c r="AA62" s="2778"/>
      <c r="AB62" s="2778"/>
      <c r="AC62" s="2778"/>
    </row>
    <row r="63" spans="1:29" s="640" customFormat="1">
      <c r="A63" s="641" t="s">
        <v>1900</v>
      </c>
      <c r="B63" s="218">
        <f t="shared" si="17"/>
        <v>262</v>
      </c>
      <c r="C63" s="171">
        <f t="shared" si="16"/>
        <v>0.1</v>
      </c>
      <c r="D63" s="944">
        <v>0.25</v>
      </c>
      <c r="E63" s="217">
        <f>'数据-汇总表'!E14</f>
        <v>2869.28</v>
      </c>
      <c r="F63" s="885">
        <f t="shared" si="15"/>
        <v>75</v>
      </c>
      <c r="G63" s="1984" t="s">
        <v>1891</v>
      </c>
      <c r="H63" s="886" t="str">
        <f>项目基本情况!B37</f>
        <v>十级</v>
      </c>
      <c r="I63" s="890">
        <f>SUMIF(修正!A57:A68,H63,修正!G57:G68)</f>
        <v>0.1</v>
      </c>
      <c r="J63" s="894"/>
      <c r="K63" s="2725"/>
      <c r="L63" s="2778"/>
      <c r="M63" s="2778"/>
      <c r="N63" s="2778"/>
      <c r="O63" s="2778"/>
      <c r="P63" s="2778"/>
      <c r="Q63" s="2778"/>
      <c r="R63" s="2778"/>
      <c r="S63" s="2778"/>
      <c r="T63" s="2778"/>
      <c r="U63" s="2778"/>
      <c r="V63" s="2778"/>
      <c r="W63" s="2778"/>
      <c r="X63" s="2778"/>
      <c r="Y63" s="2778"/>
      <c r="Z63" s="2778"/>
      <c r="AA63" s="2778"/>
      <c r="AB63" s="2778"/>
      <c r="AC63" s="2778"/>
    </row>
    <row r="64" spans="1:29" s="640" customFormat="1" ht="15" thickBot="1">
      <c r="A64" s="641" t="s">
        <v>1901</v>
      </c>
      <c r="B64" s="218">
        <f t="shared" si="17"/>
        <v>0</v>
      </c>
      <c r="C64" s="171">
        <f t="shared" si="16"/>
        <v>0</v>
      </c>
      <c r="D64" s="944">
        <v>0.25</v>
      </c>
      <c r="E64" s="217">
        <f>'数据-汇总表'!E15</f>
        <v>0</v>
      </c>
      <c r="F64" s="885">
        <f t="shared" si="15"/>
        <v>0</v>
      </c>
      <c r="G64" s="1985" t="s">
        <v>1895</v>
      </c>
      <c r="H64" s="896">
        <f>项目基本情况!C37</f>
        <v>0</v>
      </c>
      <c r="I64" s="892">
        <f>SUMIF(修正!A57:A68,H64,修正!G57:G68)</f>
        <v>0</v>
      </c>
      <c r="J64" s="895"/>
      <c r="K64" s="2722"/>
      <c r="L64" s="2778"/>
      <c r="M64" s="2778"/>
      <c r="N64" s="2778"/>
      <c r="O64" s="2778"/>
      <c r="P64" s="2778"/>
      <c r="Q64" s="2778"/>
      <c r="R64" s="2778"/>
      <c r="S64" s="2778"/>
      <c r="T64" s="2778"/>
      <c r="U64" s="2778"/>
      <c r="V64" s="2778"/>
      <c r="W64" s="2778"/>
      <c r="X64" s="2778"/>
      <c r="Y64" s="2778"/>
      <c r="Z64" s="2778"/>
      <c r="AA64" s="2778"/>
      <c r="AB64" s="2778"/>
      <c r="AC64" s="2778"/>
    </row>
    <row r="65" spans="1:29" s="640" customFormat="1" ht="13.5" thickBot="1">
      <c r="A65" s="643" t="s">
        <v>1902</v>
      </c>
      <c r="B65" s="644" t="s">
        <v>22</v>
      </c>
      <c r="C65" s="644" t="s">
        <v>23</v>
      </c>
      <c r="D65" s="644" t="s">
        <v>392</v>
      </c>
      <c r="E65" s="644">
        <f>IF(B46="楼面地价",SUM(E56:E64),'数据-汇总表'!D3)</f>
        <v>10405.33</v>
      </c>
      <c r="F65" s="645">
        <f>IF(B46="楼面地价",SUM(F56:F64),ROUND(C48*E65/10000,0))</f>
        <v>10896</v>
      </c>
      <c r="G65" s="716"/>
      <c r="H65" s="716"/>
      <c r="I65" s="716"/>
      <c r="J65" s="716"/>
      <c r="K65" s="2779"/>
      <c r="L65" s="2778"/>
      <c r="M65" s="2778"/>
      <c r="N65" s="2778"/>
      <c r="O65" s="2778"/>
      <c r="P65" s="2778"/>
      <c r="Q65" s="2778"/>
      <c r="R65" s="2778"/>
      <c r="S65" s="2778"/>
      <c r="T65" s="2778"/>
      <c r="U65" s="2778"/>
      <c r="V65" s="2778"/>
      <c r="W65" s="2778"/>
      <c r="X65" s="2778"/>
      <c r="Y65" s="2778"/>
      <c r="Z65" s="2778"/>
      <c r="AA65" s="2778"/>
      <c r="AB65" s="2778"/>
      <c r="AC65" s="2778"/>
    </row>
    <row r="66" spans="1:29">
      <c r="A66" s="689"/>
      <c r="B66" s="691"/>
      <c r="C66" s="692"/>
      <c r="D66" s="689"/>
      <c r="E66" s="689"/>
      <c r="F66" s="689"/>
      <c r="G66" s="689"/>
      <c r="H66" s="689"/>
      <c r="I66" s="689"/>
      <c r="J66" s="926"/>
      <c r="K66" s="887"/>
      <c r="L66" s="888"/>
      <c r="M66" s="926"/>
      <c r="N66" s="926"/>
      <c r="O66" s="926"/>
      <c r="P66" s="2722"/>
      <c r="Q66" s="2722"/>
      <c r="R66" s="2722"/>
      <c r="S66" s="2722"/>
      <c r="T66" s="2722"/>
      <c r="U66" s="2722"/>
      <c r="V66" s="2722"/>
      <c r="W66" s="2722"/>
      <c r="X66" s="2722"/>
      <c r="Y66" s="2722"/>
      <c r="Z66" s="2722"/>
      <c r="AA66" s="2722"/>
      <c r="AB66" s="2722"/>
      <c r="AC66" s="2722"/>
    </row>
    <row r="67" spans="1:29">
      <c r="A67" s="689"/>
      <c r="B67" s="691"/>
      <c r="C67" s="691" t="str">
        <f>YEAR(C7)&amp;"-"&amp;MONTH(C7)&amp;"-1"</f>
        <v>2023-5-1</v>
      </c>
      <c r="D67" s="691">
        <f>EDATE(C67,-3)</f>
        <v>44958</v>
      </c>
      <c r="E67" s="691">
        <f>EDATE(D67,-3)</f>
        <v>44866</v>
      </c>
      <c r="F67" s="691">
        <f t="shared" ref="F67:O67" si="18">EDATE(E67,-3)</f>
        <v>44774</v>
      </c>
      <c r="G67" s="691">
        <f t="shared" si="18"/>
        <v>44682</v>
      </c>
      <c r="H67" s="691">
        <f t="shared" si="18"/>
        <v>44593</v>
      </c>
      <c r="I67" s="691">
        <f t="shared" si="18"/>
        <v>44501</v>
      </c>
      <c r="J67" s="691">
        <f t="shared" si="18"/>
        <v>44409</v>
      </c>
      <c r="K67" s="691">
        <f t="shared" si="18"/>
        <v>44317</v>
      </c>
      <c r="L67" s="691">
        <f t="shared" si="18"/>
        <v>44228</v>
      </c>
      <c r="M67" s="691">
        <f t="shared" si="18"/>
        <v>44136</v>
      </c>
      <c r="N67" s="691">
        <f t="shared" si="18"/>
        <v>44044</v>
      </c>
      <c r="O67" s="691">
        <f t="shared" si="18"/>
        <v>43952</v>
      </c>
      <c r="P67" s="928">
        <f t="shared" ref="P67" si="19">EDATE(O67,-3)</f>
        <v>43862</v>
      </c>
      <c r="Q67" s="928">
        <f t="shared" ref="Q67" si="20">EDATE(P67,-3)</f>
        <v>43770</v>
      </c>
      <c r="R67" s="928">
        <f t="shared" ref="R67" si="21">EDATE(Q67,-3)</f>
        <v>43678</v>
      </c>
      <c r="S67" s="928">
        <f t="shared" ref="S67" si="22">EDATE(R67,-3)</f>
        <v>43586</v>
      </c>
      <c r="T67" s="928">
        <f t="shared" ref="T67" si="23">EDATE(S67,-3)</f>
        <v>43497</v>
      </c>
      <c r="U67" s="928">
        <f t="shared" ref="U67" si="24">EDATE(T67,-3)</f>
        <v>43405</v>
      </c>
      <c r="V67" s="928">
        <f t="shared" ref="V67" si="25">EDATE(U67,-3)</f>
        <v>43313</v>
      </c>
      <c r="W67" s="928">
        <f t="shared" ref="W67" si="26">EDATE(V67,-3)</f>
        <v>43221</v>
      </c>
      <c r="X67" s="928">
        <f t="shared" ref="X67" si="27">EDATE(W67,-3)</f>
        <v>43132</v>
      </c>
      <c r="Y67" s="928">
        <f t="shared" ref="Y67" si="28">EDATE(X67,-3)</f>
        <v>43040</v>
      </c>
      <c r="Z67" s="928">
        <f t="shared" ref="Z67" si="29">EDATE(Y67,-3)</f>
        <v>42948</v>
      </c>
      <c r="AA67" s="928">
        <f t="shared" ref="AA67" si="30">EDATE(Z67,-3)</f>
        <v>42856</v>
      </c>
      <c r="AB67" s="2722"/>
      <c r="AC67" s="2722"/>
    </row>
    <row r="68" spans="1:29" ht="21.75" thickBot="1">
      <c r="A68" s="693" t="s">
        <v>1798</v>
      </c>
      <c r="B68" s="689"/>
      <c r="C68" s="694"/>
      <c r="D68" s="694"/>
      <c r="E68" s="694"/>
      <c r="F68" s="695"/>
      <c r="G68" s="695"/>
      <c r="H68" s="694"/>
      <c r="I68" s="694"/>
      <c r="J68" s="939"/>
      <c r="K68" s="940"/>
      <c r="L68" s="941"/>
      <c r="M68" s="939"/>
      <c r="N68" s="2765"/>
      <c r="O68" s="2765"/>
      <c r="P68" s="2765"/>
      <c r="Q68" s="2736"/>
      <c r="R68" s="2722"/>
      <c r="S68" s="2722"/>
      <c r="T68" s="2722"/>
      <c r="U68" s="2722"/>
      <c r="V68" s="2722"/>
      <c r="W68" s="2722"/>
      <c r="X68" s="2722"/>
      <c r="Y68" s="2722"/>
      <c r="Z68" s="2722"/>
      <c r="AA68" s="2722"/>
      <c r="AB68" s="2722"/>
      <c r="AC68" s="2722"/>
    </row>
    <row r="69" spans="1:29" s="457" customFormat="1" ht="42.75">
      <c r="A69" s="1986" t="s">
        <v>1903</v>
      </c>
      <c r="B69" s="1108"/>
      <c r="C69" s="1180" t="str">
        <f>YEAR(C67)&amp;"-"&amp;ROUNDUP(MONTH(C67)/3,0)</f>
        <v>2023-2</v>
      </c>
      <c r="D69" s="1180" t="str">
        <f>YEAR(D67)&amp;"-"&amp;ROUNDUP(MONTH(D67)/3,0)</f>
        <v>2023-1</v>
      </c>
      <c r="E69" s="1180" t="str">
        <f t="shared" ref="E69:AA69" si="31">YEAR(E67)&amp;"-"&amp;ROUNDUP(MONTH(E67)/3,0)</f>
        <v>2022-4</v>
      </c>
      <c r="F69" s="1180" t="str">
        <f t="shared" si="31"/>
        <v>2022-3</v>
      </c>
      <c r="G69" s="1180" t="str">
        <f t="shared" si="31"/>
        <v>2022-2</v>
      </c>
      <c r="H69" s="1180" t="str">
        <f t="shared" si="31"/>
        <v>2022-1</v>
      </c>
      <c r="I69" s="1180" t="str">
        <f t="shared" si="31"/>
        <v>2021-4</v>
      </c>
      <c r="J69" s="1180" t="str">
        <f t="shared" si="31"/>
        <v>2021-3</v>
      </c>
      <c r="K69" s="1180" t="str">
        <f t="shared" si="31"/>
        <v>2021-2</v>
      </c>
      <c r="L69" s="1180" t="str">
        <f t="shared" si="31"/>
        <v>2021-1</v>
      </c>
      <c r="M69" s="1180" t="str">
        <f t="shared" si="31"/>
        <v>2020-4</v>
      </c>
      <c r="N69" s="1180" t="str">
        <f t="shared" si="31"/>
        <v>2020-3</v>
      </c>
      <c r="O69" s="1180" t="str">
        <f t="shared" si="31"/>
        <v>2020-2</v>
      </c>
      <c r="P69" s="3524" t="str">
        <f t="shared" si="31"/>
        <v>2020-1</v>
      </c>
      <c r="Q69" s="3524" t="str">
        <f t="shared" si="31"/>
        <v>2019-4</v>
      </c>
      <c r="R69" s="3524" t="str">
        <f t="shared" si="31"/>
        <v>2019-3</v>
      </c>
      <c r="S69" s="3524" t="str">
        <f t="shared" si="31"/>
        <v>2019-2</v>
      </c>
      <c r="T69" s="3524" t="str">
        <f t="shared" si="31"/>
        <v>2019-1</v>
      </c>
      <c r="U69" s="3524" t="str">
        <f t="shared" si="31"/>
        <v>2018-4</v>
      </c>
      <c r="V69" s="3524" t="str">
        <f t="shared" si="31"/>
        <v>2018-3</v>
      </c>
      <c r="W69" s="3524" t="str">
        <f t="shared" si="31"/>
        <v>2018-2</v>
      </c>
      <c r="X69" s="3524" t="str">
        <f t="shared" si="31"/>
        <v>2018-1</v>
      </c>
      <c r="Y69" s="3524" t="str">
        <f t="shared" si="31"/>
        <v>2017-4</v>
      </c>
      <c r="Z69" s="3524" t="str">
        <f t="shared" si="31"/>
        <v>2017-3</v>
      </c>
      <c r="AA69" s="3524" t="str">
        <f t="shared" si="31"/>
        <v>2017-2</v>
      </c>
      <c r="AB69" s="2737"/>
      <c r="AC69" s="2737"/>
    </row>
    <row r="70" spans="1:29" s="108" customFormat="1" ht="30" customHeight="1">
      <c r="A70" s="1987" t="s">
        <v>1904</v>
      </c>
      <c r="B70" s="288" t="str">
        <f>"北京市平均增长率"&amp;TEXT(SUMIF(基准地价修正!N25:N29,A70,基准地价修正!P25:P29),"0.00%")</f>
        <v>北京市平均增长率0.00%</v>
      </c>
      <c r="C70" s="552">
        <v>100</v>
      </c>
      <c r="D70" s="544">
        <v>99.5</v>
      </c>
      <c r="E70" s="544">
        <v>99</v>
      </c>
      <c r="F70" s="544">
        <v>98.5</v>
      </c>
      <c r="G70" s="544">
        <v>98</v>
      </c>
      <c r="H70" s="544">
        <v>97.5</v>
      </c>
      <c r="I70" s="544">
        <v>97</v>
      </c>
      <c r="J70" s="544">
        <v>96.5</v>
      </c>
      <c r="K70" s="544">
        <v>96</v>
      </c>
      <c r="L70" s="544">
        <v>95.5</v>
      </c>
      <c r="M70" s="544">
        <v>95</v>
      </c>
      <c r="N70" s="544">
        <v>94.5</v>
      </c>
      <c r="O70" s="544">
        <v>94</v>
      </c>
      <c r="P70" s="544">
        <v>93.5</v>
      </c>
      <c r="Q70" s="544">
        <v>93</v>
      </c>
      <c r="R70" s="544">
        <v>92.5</v>
      </c>
      <c r="S70" s="544">
        <v>92</v>
      </c>
      <c r="T70" s="544">
        <v>91.5</v>
      </c>
      <c r="U70" s="544">
        <v>91</v>
      </c>
      <c r="V70" s="544">
        <v>90.5</v>
      </c>
      <c r="W70" s="544">
        <v>90</v>
      </c>
      <c r="X70" s="544">
        <v>89.5</v>
      </c>
      <c r="Y70" s="544">
        <v>89</v>
      </c>
      <c r="Z70" s="544">
        <v>88.5</v>
      </c>
      <c r="AA70" s="544">
        <v>88</v>
      </c>
      <c r="AB70" s="2658"/>
      <c r="AC70" s="2658"/>
    </row>
    <row r="71" spans="1:29" s="108" customFormat="1" ht="15.75" thickBot="1">
      <c r="A71" s="464" t="s">
        <v>1716</v>
      </c>
      <c r="B71" s="465"/>
      <c r="C71" s="466"/>
      <c r="D71" s="467"/>
      <c r="E71" s="467"/>
      <c r="F71" s="467"/>
      <c r="G71" s="467"/>
      <c r="H71" s="467"/>
      <c r="I71" s="467"/>
      <c r="J71" s="467"/>
      <c r="K71" s="467"/>
      <c r="L71" s="467"/>
      <c r="M71" s="468"/>
      <c r="N71" s="467"/>
      <c r="O71" s="942"/>
      <c r="P71" s="2736"/>
      <c r="Q71" s="2736"/>
      <c r="R71" s="2658"/>
      <c r="S71" s="2658"/>
      <c r="T71" s="2658"/>
      <c r="U71" s="2658"/>
      <c r="V71" s="2658"/>
      <c r="W71" s="2658"/>
      <c r="X71" s="2658"/>
      <c r="Y71" s="2658"/>
      <c r="Z71" s="2658"/>
      <c r="AA71" s="2658"/>
      <c r="AB71" s="2658"/>
      <c r="AC71" s="2658"/>
    </row>
    <row r="72" spans="1:29" s="108" customFormat="1" ht="15">
      <c r="A72" s="470" t="s">
        <v>1681</v>
      </c>
      <c r="B72" s="459"/>
      <c r="C72" s="471" t="s">
        <v>1776</v>
      </c>
      <c r="D72" s="472"/>
      <c r="E72" s="472"/>
      <c r="F72" s="472"/>
      <c r="G72" s="472"/>
      <c r="H72" s="472"/>
      <c r="I72" s="472"/>
      <c r="J72" s="472"/>
      <c r="K72" s="472"/>
      <c r="L72" s="473"/>
      <c r="M72" s="474"/>
      <c r="N72" s="2748"/>
      <c r="O72" s="2748"/>
      <c r="P72" s="2773"/>
      <c r="Q72" s="2736"/>
      <c r="R72" s="2658"/>
      <c r="S72" s="2658"/>
      <c r="T72" s="2658"/>
      <c r="U72" s="2658"/>
      <c r="V72" s="2658"/>
      <c r="W72" s="2658"/>
      <c r="X72" s="2658"/>
      <c r="Y72" s="2658"/>
      <c r="Z72" s="2658"/>
      <c r="AA72" s="2658"/>
      <c r="AB72" s="2658"/>
      <c r="AC72" s="2658"/>
    </row>
    <row r="73" spans="1:29" s="108" customFormat="1" ht="15.75" thickBot="1">
      <c r="A73" s="470"/>
      <c r="B73" s="459"/>
      <c r="C73" s="587">
        <v>100</v>
      </c>
      <c r="D73" s="461"/>
      <c r="E73" s="461"/>
      <c r="F73" s="461"/>
      <c r="G73" s="461"/>
      <c r="H73" s="461"/>
      <c r="I73" s="461"/>
      <c r="J73" s="461"/>
      <c r="K73" s="461"/>
      <c r="L73" s="461"/>
      <c r="M73" s="463"/>
      <c r="N73" s="2748"/>
      <c r="O73" s="2748"/>
      <c r="P73" s="2736"/>
      <c r="Q73" s="2736"/>
      <c r="R73" s="2658"/>
      <c r="S73" s="2658"/>
      <c r="T73" s="2658"/>
      <c r="U73" s="2658"/>
      <c r="V73" s="2658"/>
      <c r="W73" s="2658"/>
      <c r="X73" s="2658"/>
      <c r="Y73" s="2658"/>
      <c r="Z73" s="2658"/>
      <c r="AA73" s="2658"/>
      <c r="AB73" s="2658"/>
      <c r="AC73" s="2658"/>
    </row>
    <row r="74" spans="1:29">
      <c r="A74" s="476" t="s">
        <v>1719</v>
      </c>
      <c r="B74" s="477" t="s">
        <v>1685</v>
      </c>
      <c r="C74" s="3495" t="s">
        <v>3637</v>
      </c>
      <c r="D74" s="479" t="s">
        <v>3639</v>
      </c>
      <c r="E74" s="479" t="s">
        <v>3641</v>
      </c>
      <c r="F74" s="479"/>
      <c r="G74" s="479"/>
      <c r="H74" s="479"/>
      <c r="I74" s="479"/>
      <c r="J74" s="479"/>
      <c r="K74" s="480"/>
      <c r="L74" s="481"/>
      <c r="M74" s="482"/>
      <c r="N74" s="2749"/>
      <c r="O74" s="2749"/>
      <c r="P74" s="2774"/>
      <c r="Q74" s="2736"/>
      <c r="R74" s="2722"/>
      <c r="S74" s="2722"/>
      <c r="T74" s="2722"/>
      <c r="U74" s="2722"/>
      <c r="V74" s="2722"/>
      <c r="W74" s="2722"/>
      <c r="X74" s="2722"/>
      <c r="Y74" s="2722"/>
      <c r="Z74" s="2722"/>
      <c r="AA74" s="2722"/>
      <c r="AB74" s="2722"/>
      <c r="AC74" s="2722"/>
    </row>
    <row r="75" spans="1:29" ht="15.75" thickBot="1">
      <c r="A75" s="483"/>
      <c r="B75" s="484"/>
      <c r="C75" s="485">
        <v>100</v>
      </c>
      <c r="D75" s="485">
        <v>100</v>
      </c>
      <c r="E75" s="485">
        <v>95</v>
      </c>
      <c r="F75" s="485"/>
      <c r="G75" s="485"/>
      <c r="H75" s="485"/>
      <c r="I75" s="485"/>
      <c r="J75" s="485"/>
      <c r="K75" s="485"/>
      <c r="L75" s="485"/>
      <c r="M75" s="486"/>
      <c r="N75" s="2750"/>
      <c r="O75" s="2750"/>
      <c r="P75" s="2774"/>
      <c r="Q75" s="2736"/>
      <c r="R75" s="2722"/>
      <c r="S75" s="2722"/>
      <c r="T75" s="2722"/>
      <c r="U75" s="2722"/>
      <c r="V75" s="2722"/>
      <c r="W75" s="2722"/>
      <c r="X75" s="2722"/>
      <c r="Y75" s="2722"/>
      <c r="Z75" s="2722"/>
      <c r="AA75" s="2722"/>
      <c r="AB75" s="2722"/>
      <c r="AC75" s="2722"/>
    </row>
    <row r="76" spans="1:29" ht="27.75" thickTop="1">
      <c r="A76" s="483"/>
      <c r="B76" s="487" t="s">
        <v>1688</v>
      </c>
      <c r="C76" s="488"/>
      <c r="D76" s="488"/>
      <c r="E76" s="488"/>
      <c r="F76" s="488"/>
      <c r="G76" s="488"/>
      <c r="H76" s="488"/>
      <c r="I76" s="488"/>
      <c r="J76" s="488"/>
      <c r="K76" s="489"/>
      <c r="L76" s="490"/>
      <c r="M76" s="491"/>
      <c r="N76" s="2749"/>
      <c r="O76" s="2749"/>
      <c r="P76" s="2774"/>
      <c r="Q76" s="2736"/>
      <c r="R76" s="2722"/>
      <c r="S76" s="2722"/>
      <c r="T76" s="2722"/>
      <c r="U76" s="2722"/>
      <c r="V76" s="2722"/>
      <c r="W76" s="2722"/>
      <c r="X76" s="2722"/>
      <c r="Y76" s="2722"/>
      <c r="Z76" s="2722"/>
      <c r="AA76" s="2722"/>
      <c r="AB76" s="2722"/>
      <c r="AC76" s="2722"/>
    </row>
    <row r="77" spans="1:29" ht="15.75" thickBot="1">
      <c r="A77" s="483"/>
      <c r="B77" s="492"/>
      <c r="C77" s="493"/>
      <c r="D77" s="493"/>
      <c r="E77" s="493"/>
      <c r="F77" s="493"/>
      <c r="G77" s="493"/>
      <c r="H77" s="493"/>
      <c r="I77" s="493"/>
      <c r="J77" s="493"/>
      <c r="K77" s="493"/>
      <c r="L77" s="493"/>
      <c r="M77" s="494"/>
      <c r="N77" s="2750"/>
      <c r="O77" s="2750"/>
      <c r="P77" s="2774"/>
      <c r="Q77" s="2736"/>
      <c r="R77" s="2722"/>
      <c r="S77" s="2722"/>
      <c r="T77" s="2722"/>
      <c r="U77" s="2722"/>
      <c r="V77" s="2722"/>
      <c r="W77" s="2722"/>
      <c r="X77" s="2722"/>
      <c r="Y77" s="2722"/>
      <c r="Z77" s="2722"/>
      <c r="AA77" s="2722"/>
      <c r="AB77" s="2722"/>
      <c r="AC77" s="2722"/>
    </row>
    <row r="78" spans="1:29" ht="15.75" thickTop="1">
      <c r="A78" s="483"/>
      <c r="B78" s="495" t="s">
        <v>1689</v>
      </c>
      <c r="C78" s="496" t="str">
        <f>C79&amp;"（含）"&amp;"-"&amp;D79</f>
        <v>0（含）-1</v>
      </c>
      <c r="D78" s="496" t="str">
        <f t="shared" ref="D78:L78" si="32">D79&amp;"（含）"&amp;"-"&amp;E79</f>
        <v>1（含）-2</v>
      </c>
      <c r="E78" s="496" t="str">
        <f t="shared" si="32"/>
        <v>2（含）-3</v>
      </c>
      <c r="F78" s="496" t="str">
        <f t="shared" si="32"/>
        <v>3（含）-4</v>
      </c>
      <c r="G78" s="496" t="str">
        <f t="shared" si="32"/>
        <v>4（含）-</v>
      </c>
      <c r="H78" s="496" t="str">
        <f t="shared" si="32"/>
        <v>（含）-</v>
      </c>
      <c r="I78" s="496" t="str">
        <f t="shared" si="32"/>
        <v>（含）-</v>
      </c>
      <c r="J78" s="496" t="str">
        <f t="shared" si="32"/>
        <v>（含）-</v>
      </c>
      <c r="K78" s="496" t="str">
        <f t="shared" si="32"/>
        <v>（含）-</v>
      </c>
      <c r="L78" s="496" t="str">
        <f t="shared" si="32"/>
        <v>（含）-</v>
      </c>
      <c r="M78" s="399" t="str">
        <f>M79&amp;"（含）"&amp;"-"&amp;P79</f>
        <v>（含）-</v>
      </c>
      <c r="N78" s="2750"/>
      <c r="O78" s="2750"/>
      <c r="P78" s="2774"/>
      <c r="Q78" s="2736"/>
      <c r="R78" s="2722"/>
      <c r="S78" s="2722"/>
      <c r="T78" s="2722"/>
      <c r="U78" s="2722"/>
      <c r="V78" s="2722"/>
      <c r="W78" s="2722"/>
      <c r="X78" s="2722"/>
      <c r="Y78" s="2722"/>
      <c r="Z78" s="2722"/>
      <c r="AA78" s="2722"/>
      <c r="AB78" s="2722"/>
      <c r="AC78" s="2722"/>
    </row>
    <row r="79" spans="1:29" ht="15">
      <c r="A79" s="483"/>
      <c r="B79" s="497"/>
      <c r="C79" s="498">
        <v>0</v>
      </c>
      <c r="D79" s="498">
        <v>1</v>
      </c>
      <c r="E79" s="498">
        <v>2</v>
      </c>
      <c r="F79" s="498">
        <v>3</v>
      </c>
      <c r="G79" s="498">
        <v>4</v>
      </c>
      <c r="H79" s="498"/>
      <c r="I79" s="498"/>
      <c r="J79" s="498"/>
      <c r="K79" s="499"/>
      <c r="L79" s="500"/>
      <c r="M79" s="501"/>
      <c r="N79" s="2749"/>
      <c r="O79" s="2749"/>
      <c r="P79" s="2774"/>
      <c r="Q79" s="2736"/>
      <c r="R79" s="2722"/>
      <c r="S79" s="2722"/>
      <c r="T79" s="2722"/>
      <c r="U79" s="2722"/>
      <c r="V79" s="2722"/>
      <c r="W79" s="2722"/>
      <c r="X79" s="2722"/>
      <c r="Y79" s="2722"/>
      <c r="Z79" s="2722"/>
      <c r="AA79" s="2722"/>
      <c r="AB79" s="2722"/>
      <c r="AC79" s="2722"/>
    </row>
    <row r="80" spans="1:29" ht="15.75" thickBot="1">
      <c r="A80" s="483"/>
      <c r="B80" s="484"/>
      <c r="C80" s="493">
        <v>100</v>
      </c>
      <c r="D80" s="493">
        <f t="shared" ref="D80:M80" si="33">IF($B$46="单位面积地价",C80+$K11,C80-$K11)</f>
        <v>102</v>
      </c>
      <c r="E80" s="493">
        <f t="shared" si="33"/>
        <v>104</v>
      </c>
      <c r="F80" s="493">
        <f t="shared" si="33"/>
        <v>106</v>
      </c>
      <c r="G80" s="493">
        <f t="shared" si="33"/>
        <v>108</v>
      </c>
      <c r="H80" s="493">
        <f t="shared" si="33"/>
        <v>110</v>
      </c>
      <c r="I80" s="493">
        <f t="shared" si="33"/>
        <v>112</v>
      </c>
      <c r="J80" s="493">
        <f t="shared" si="33"/>
        <v>114</v>
      </c>
      <c r="K80" s="493">
        <f t="shared" si="33"/>
        <v>116</v>
      </c>
      <c r="L80" s="493">
        <f t="shared" si="33"/>
        <v>118</v>
      </c>
      <c r="M80" s="493">
        <f t="shared" si="33"/>
        <v>120</v>
      </c>
      <c r="N80" s="2750"/>
      <c r="O80" s="2750"/>
      <c r="P80" s="2774"/>
      <c r="Q80" s="2736"/>
      <c r="R80" s="2722"/>
      <c r="S80" s="2722"/>
      <c r="T80" s="2722"/>
      <c r="U80" s="2722"/>
      <c r="V80" s="2722"/>
      <c r="W80" s="2722"/>
      <c r="X80" s="2722"/>
      <c r="Y80" s="2722"/>
      <c r="Z80" s="2722"/>
      <c r="AA80" s="2722"/>
      <c r="AB80" s="2722"/>
      <c r="AC80" s="2722"/>
    </row>
    <row r="81" spans="1:29" s="422" customFormat="1" ht="15.75" thickTop="1">
      <c r="A81" s="502"/>
      <c r="B81" s="487" t="str">
        <f>B12</f>
        <v>配建</v>
      </c>
      <c r="C81" s="503"/>
      <c r="D81" s="503"/>
      <c r="E81" s="503"/>
      <c r="F81" s="503"/>
      <c r="G81" s="503"/>
      <c r="H81" s="504"/>
      <c r="I81" s="504"/>
      <c r="J81" s="504"/>
      <c r="K81" s="504"/>
      <c r="L81" s="505"/>
      <c r="M81" s="506"/>
      <c r="N81" s="2751"/>
      <c r="O81" s="2751"/>
      <c r="P81" s="2775"/>
      <c r="Q81" s="2742"/>
      <c r="R81" s="2743"/>
      <c r="S81" s="2743"/>
      <c r="T81" s="2743"/>
      <c r="U81" s="2743"/>
      <c r="V81" s="2743"/>
      <c r="W81" s="2743"/>
      <c r="X81" s="2743"/>
      <c r="Y81" s="2743"/>
      <c r="Z81" s="2743"/>
      <c r="AA81" s="2743"/>
      <c r="AB81" s="2743"/>
      <c r="AC81" s="2743"/>
    </row>
    <row r="82" spans="1:29" s="422" customFormat="1" ht="15.75" thickBot="1">
      <c r="A82" s="502"/>
      <c r="B82" s="492"/>
      <c r="C82" s="509"/>
      <c r="D82" s="485"/>
      <c r="E82" s="485"/>
      <c r="F82" s="485"/>
      <c r="G82" s="485"/>
      <c r="H82" s="485"/>
      <c r="I82" s="485"/>
      <c r="J82" s="485"/>
      <c r="K82" s="485"/>
      <c r="L82" s="485"/>
      <c r="M82" s="486"/>
      <c r="N82" s="2750"/>
      <c r="O82" s="2750"/>
      <c r="P82" s="2775"/>
      <c r="Q82" s="2742"/>
      <c r="R82" s="2743"/>
      <c r="S82" s="2743"/>
      <c r="T82" s="2743"/>
      <c r="U82" s="2743"/>
      <c r="V82" s="2743"/>
      <c r="W82" s="2743"/>
      <c r="X82" s="2743"/>
      <c r="Y82" s="2743"/>
      <c r="Z82" s="2743"/>
      <c r="AA82" s="2743"/>
      <c r="AB82" s="2743"/>
      <c r="AC82" s="2743"/>
    </row>
    <row r="83" spans="1:29" s="422" customFormat="1" ht="15.75" thickTop="1">
      <c r="A83" s="502"/>
      <c r="B83" s="487">
        <f>B13</f>
        <v>111</v>
      </c>
      <c r="C83" s="503"/>
      <c r="D83" s="503"/>
      <c r="E83" s="503"/>
      <c r="F83" s="503"/>
      <c r="G83" s="503"/>
      <c r="H83" s="504"/>
      <c r="I83" s="504"/>
      <c r="J83" s="504"/>
      <c r="K83" s="504"/>
      <c r="L83" s="505"/>
      <c r="M83" s="506"/>
      <c r="N83" s="2751"/>
      <c r="O83" s="2751"/>
      <c r="P83" s="2720"/>
      <c r="Q83" s="2745"/>
      <c r="R83" s="2743"/>
      <c r="S83" s="2743"/>
      <c r="T83" s="2743"/>
      <c r="U83" s="2743"/>
      <c r="V83" s="2743"/>
      <c r="W83" s="2743"/>
      <c r="X83" s="2743"/>
      <c r="Y83" s="2743"/>
      <c r="Z83" s="2743"/>
      <c r="AA83" s="2743"/>
      <c r="AB83" s="2743"/>
      <c r="AC83" s="2743"/>
    </row>
    <row r="84" spans="1:29" s="422" customFormat="1" ht="15.75" thickBot="1">
      <c r="A84" s="502"/>
      <c r="B84" s="492"/>
      <c r="C84" s="509"/>
      <c r="D84" s="509"/>
      <c r="E84" s="509"/>
      <c r="F84" s="509"/>
      <c r="G84" s="509"/>
      <c r="H84" s="511"/>
      <c r="I84" s="511"/>
      <c r="J84" s="511"/>
      <c r="K84" s="511"/>
      <c r="L84" s="511"/>
      <c r="M84" s="512"/>
      <c r="N84" s="2751"/>
      <c r="O84" s="2751"/>
      <c r="P84" s="2775"/>
      <c r="Q84" s="2742"/>
      <c r="R84" s="2743"/>
      <c r="S84" s="2743"/>
      <c r="T84" s="2743"/>
      <c r="U84" s="2743"/>
      <c r="V84" s="2743"/>
      <c r="W84" s="2743"/>
      <c r="X84" s="2743"/>
      <c r="Y84" s="2743"/>
      <c r="Z84" s="2743"/>
      <c r="AA84" s="2743"/>
      <c r="AB84" s="2743"/>
      <c r="AC84" s="2743"/>
    </row>
    <row r="85" spans="1:29" s="422" customFormat="1" ht="15.75" thickTop="1">
      <c r="A85" s="502"/>
      <c r="B85" s="495">
        <f>B14</f>
        <v>111</v>
      </c>
      <c r="C85" s="472"/>
      <c r="D85" s="472"/>
      <c r="E85" s="472"/>
      <c r="F85" s="472"/>
      <c r="G85" s="472"/>
      <c r="H85" s="513"/>
      <c r="I85" s="513"/>
      <c r="J85" s="513"/>
      <c r="K85" s="513"/>
      <c r="L85" s="514"/>
      <c r="M85" s="515"/>
      <c r="N85" s="2751"/>
      <c r="O85" s="2751"/>
      <c r="P85" s="2780"/>
      <c r="Q85" s="2742"/>
      <c r="R85" s="2743"/>
      <c r="S85" s="2743"/>
      <c r="T85" s="2743"/>
      <c r="U85" s="2743"/>
      <c r="V85" s="2743"/>
      <c r="W85" s="2743"/>
      <c r="X85" s="2743"/>
      <c r="Y85" s="2743"/>
      <c r="Z85" s="2743"/>
      <c r="AA85" s="2743"/>
      <c r="AB85" s="2743"/>
      <c r="AC85" s="2743"/>
    </row>
    <row r="86" spans="1:29" s="422" customFormat="1" ht="15.75" thickBot="1">
      <c r="A86" s="517"/>
      <c r="B86" s="518"/>
      <c r="C86" s="519"/>
      <c r="D86" s="519"/>
      <c r="E86" s="519"/>
      <c r="F86" s="519"/>
      <c r="G86" s="519"/>
      <c r="H86" s="520"/>
      <c r="I86" s="520"/>
      <c r="J86" s="520"/>
      <c r="K86" s="520"/>
      <c r="L86" s="520"/>
      <c r="M86" s="521"/>
      <c r="N86" s="2751"/>
      <c r="O86" s="2751"/>
      <c r="P86" s="2775"/>
      <c r="Q86" s="2742"/>
      <c r="R86" s="2743"/>
      <c r="S86" s="2743"/>
      <c r="T86" s="2743"/>
      <c r="U86" s="2743"/>
      <c r="V86" s="2743"/>
      <c r="W86" s="2743"/>
      <c r="X86" s="2743"/>
      <c r="Y86" s="2743"/>
      <c r="Z86" s="2743"/>
      <c r="AA86" s="2743"/>
      <c r="AB86" s="2743"/>
      <c r="AC86" s="2743"/>
    </row>
    <row r="87" spans="1:29">
      <c r="A87" s="476" t="s">
        <v>1690</v>
      </c>
      <c r="B87" s="477" t="s">
        <v>1720</v>
      </c>
      <c r="C87" s="522" t="s">
        <v>1721</v>
      </c>
      <c r="D87" s="522" t="s">
        <v>1722</v>
      </c>
      <c r="E87" s="522" t="s">
        <v>1723</v>
      </c>
      <c r="F87" s="522" t="s">
        <v>1724</v>
      </c>
      <c r="G87" s="522" t="s">
        <v>1725</v>
      </c>
      <c r="H87" s="478"/>
      <c r="I87" s="478"/>
      <c r="J87" s="478"/>
      <c r="K87" s="523"/>
      <c r="L87" s="524"/>
      <c r="M87" s="525"/>
      <c r="N87" s="2749"/>
      <c r="O87" s="2749"/>
      <c r="P87" s="2776"/>
      <c r="Q87" s="2736"/>
      <c r="R87" s="2722"/>
      <c r="S87" s="2722"/>
      <c r="T87" s="2722"/>
      <c r="U87" s="2722"/>
      <c r="V87" s="2722"/>
      <c r="W87" s="2722"/>
      <c r="X87" s="2722"/>
      <c r="Y87" s="2722"/>
      <c r="Z87" s="2722"/>
      <c r="AA87" s="2722"/>
      <c r="AB87" s="2722"/>
      <c r="AC87" s="2722"/>
    </row>
    <row r="88" spans="1:29" ht="15.75" thickBot="1">
      <c r="A88" s="483"/>
      <c r="B88" s="492"/>
      <c r="C88" s="493">
        <v>100</v>
      </c>
      <c r="D88" s="493">
        <f>C88-$K15</f>
        <v>98</v>
      </c>
      <c r="E88" s="493">
        <f>D88-$K15</f>
        <v>96</v>
      </c>
      <c r="F88" s="493">
        <f>E88-$K15</f>
        <v>94</v>
      </c>
      <c r="G88" s="493">
        <f>F88-$K15</f>
        <v>92</v>
      </c>
      <c r="H88" s="493"/>
      <c r="I88" s="493"/>
      <c r="J88" s="493"/>
      <c r="K88" s="493"/>
      <c r="L88" s="493"/>
      <c r="M88" s="494"/>
      <c r="N88" s="2750"/>
      <c r="O88" s="2750"/>
      <c r="P88" s="2774"/>
      <c r="Q88" s="2736"/>
      <c r="R88" s="2722"/>
      <c r="S88" s="2722"/>
      <c r="T88" s="2722"/>
      <c r="U88" s="2722"/>
      <c r="V88" s="2722"/>
      <c r="W88" s="2722"/>
      <c r="X88" s="2722"/>
      <c r="Y88" s="2722"/>
      <c r="Z88" s="2722"/>
      <c r="AA88" s="2722"/>
      <c r="AB88" s="2722"/>
      <c r="AC88" s="2722"/>
    </row>
    <row r="89" spans="1:29" ht="15.75" thickTop="1">
      <c r="A89" s="483"/>
      <c r="B89" s="487" t="s">
        <v>1905</v>
      </c>
      <c r="C89" s="527" t="s">
        <v>1721</v>
      </c>
      <c r="D89" s="527" t="s">
        <v>1722</v>
      </c>
      <c r="E89" s="527" t="s">
        <v>1723</v>
      </c>
      <c r="F89" s="527" t="s">
        <v>1724</v>
      </c>
      <c r="G89" s="527" t="s">
        <v>1725</v>
      </c>
      <c r="H89" s="488"/>
      <c r="I89" s="488"/>
      <c r="J89" s="488"/>
      <c r="K89" s="489"/>
      <c r="L89" s="490"/>
      <c r="M89" s="491"/>
      <c r="N89" s="2749"/>
      <c r="O89" s="2749"/>
      <c r="P89" s="2774"/>
      <c r="Q89" s="2736"/>
      <c r="R89" s="2722"/>
      <c r="S89" s="2722"/>
      <c r="T89" s="2722"/>
      <c r="U89" s="2722"/>
      <c r="V89" s="2722"/>
      <c r="W89" s="2722"/>
      <c r="X89" s="2722"/>
      <c r="Y89" s="2722"/>
      <c r="Z89" s="2722"/>
      <c r="AA89" s="2722"/>
      <c r="AB89" s="2722"/>
      <c r="AC89" s="2722"/>
    </row>
    <row r="90" spans="1:29" ht="15.75" thickBot="1">
      <c r="A90" s="483"/>
      <c r="B90" s="492"/>
      <c r="C90" s="493">
        <v>100</v>
      </c>
      <c r="D90" s="493">
        <f>C90-$K17</f>
        <v>99</v>
      </c>
      <c r="E90" s="493">
        <f>D90-$K17</f>
        <v>98</v>
      </c>
      <c r="F90" s="493">
        <f>E90-$K17</f>
        <v>97</v>
      </c>
      <c r="G90" s="493">
        <f>F90-$K17</f>
        <v>96</v>
      </c>
      <c r="H90" s="493"/>
      <c r="I90" s="493"/>
      <c r="J90" s="493"/>
      <c r="K90" s="493"/>
      <c r="L90" s="493"/>
      <c r="M90" s="494"/>
      <c r="N90" s="2750"/>
      <c r="O90" s="2750"/>
      <c r="P90" s="2774"/>
      <c r="Q90" s="2736"/>
      <c r="R90" s="2722"/>
      <c r="S90" s="2722"/>
      <c r="T90" s="2722"/>
      <c r="U90" s="2722"/>
      <c r="V90" s="2722"/>
      <c r="W90" s="2722"/>
      <c r="X90" s="2722"/>
      <c r="Y90" s="2722"/>
      <c r="Z90" s="2722"/>
      <c r="AA90" s="2722"/>
      <c r="AB90" s="2722"/>
      <c r="AC90" s="2722"/>
    </row>
    <row r="91" spans="1:29" ht="15.75" thickTop="1">
      <c r="A91" s="483"/>
      <c r="B91" s="487" t="s">
        <v>1821</v>
      </c>
      <c r="C91" s="527" t="s">
        <v>1721</v>
      </c>
      <c r="D91" s="527" t="s">
        <v>1722</v>
      </c>
      <c r="E91" s="527" t="s">
        <v>1723</v>
      </c>
      <c r="F91" s="527" t="s">
        <v>1724</v>
      </c>
      <c r="G91" s="527" t="s">
        <v>1725</v>
      </c>
      <c r="H91" s="488"/>
      <c r="I91" s="488"/>
      <c r="J91" s="488"/>
      <c r="K91" s="489"/>
      <c r="L91" s="490"/>
      <c r="M91" s="491"/>
      <c r="N91" s="2749"/>
      <c r="O91" s="2749"/>
      <c r="P91" s="2774"/>
      <c r="Q91" s="2736"/>
      <c r="R91" s="2722"/>
      <c r="S91" s="2722"/>
      <c r="T91" s="2722"/>
      <c r="U91" s="2722"/>
      <c r="V91" s="2722"/>
      <c r="W91" s="2722"/>
      <c r="X91" s="2722"/>
      <c r="Y91" s="2722"/>
      <c r="Z91" s="2722"/>
      <c r="AA91" s="2722"/>
      <c r="AB91" s="2722"/>
      <c r="AC91" s="2722"/>
    </row>
    <row r="92" spans="1:29" ht="15.75" thickBot="1">
      <c r="A92" s="483"/>
      <c r="B92" s="492"/>
      <c r="C92" s="493">
        <v>100</v>
      </c>
      <c r="D92" s="493">
        <f>C92-$K19</f>
        <v>98</v>
      </c>
      <c r="E92" s="493">
        <f>D92-$K19</f>
        <v>96</v>
      </c>
      <c r="F92" s="493">
        <f>E92-$K19</f>
        <v>94</v>
      </c>
      <c r="G92" s="493">
        <f>F92-$K19</f>
        <v>92</v>
      </c>
      <c r="H92" s="493"/>
      <c r="I92" s="493"/>
      <c r="J92" s="493"/>
      <c r="K92" s="493"/>
      <c r="L92" s="493"/>
      <c r="M92" s="494"/>
      <c r="N92" s="2750"/>
      <c r="O92" s="2750"/>
      <c r="P92" s="2774"/>
      <c r="Q92" s="2736"/>
      <c r="R92" s="2722"/>
      <c r="S92" s="2722"/>
      <c r="T92" s="2722"/>
      <c r="U92" s="2722"/>
      <c r="V92" s="2722"/>
      <c r="W92" s="2722"/>
      <c r="X92" s="2722"/>
      <c r="Y92" s="2722"/>
      <c r="Z92" s="2722"/>
      <c r="AA92" s="2722"/>
      <c r="AB92" s="2722"/>
      <c r="AC92" s="2722"/>
    </row>
    <row r="93" spans="1:29" ht="15.75" thickTop="1">
      <c r="A93" s="483"/>
      <c r="B93" s="487" t="s">
        <v>1726</v>
      </c>
      <c r="C93" s="527" t="s">
        <v>1721</v>
      </c>
      <c r="D93" s="527" t="s">
        <v>1722</v>
      </c>
      <c r="E93" s="527" t="s">
        <v>1723</v>
      </c>
      <c r="F93" s="527" t="s">
        <v>1724</v>
      </c>
      <c r="G93" s="527" t="s">
        <v>1725</v>
      </c>
      <c r="H93" s="488"/>
      <c r="I93" s="488"/>
      <c r="J93" s="488"/>
      <c r="K93" s="489"/>
      <c r="L93" s="490"/>
      <c r="M93" s="491"/>
      <c r="N93" s="2749"/>
      <c r="O93" s="2749"/>
      <c r="P93" s="2774"/>
      <c r="Q93" s="2736"/>
      <c r="R93" s="2722"/>
      <c r="S93" s="2722"/>
      <c r="T93" s="2722"/>
      <c r="U93" s="2722"/>
      <c r="V93" s="2722"/>
      <c r="W93" s="2722"/>
      <c r="X93" s="2722"/>
      <c r="Y93" s="2722"/>
      <c r="Z93" s="2722"/>
      <c r="AA93" s="2722"/>
      <c r="AB93" s="2722"/>
      <c r="AC93" s="2722"/>
    </row>
    <row r="94" spans="1:29" ht="15.75" thickBot="1">
      <c r="A94" s="483"/>
      <c r="B94" s="492"/>
      <c r="C94" s="493">
        <v>100</v>
      </c>
      <c r="D94" s="493">
        <f>C94-$K21</f>
        <v>99</v>
      </c>
      <c r="E94" s="493">
        <f>D94-$K21</f>
        <v>98</v>
      </c>
      <c r="F94" s="493">
        <f>E94-$K21</f>
        <v>97</v>
      </c>
      <c r="G94" s="493">
        <f>F94-$K21</f>
        <v>96</v>
      </c>
      <c r="H94" s="493"/>
      <c r="I94" s="493"/>
      <c r="J94" s="493"/>
      <c r="K94" s="493"/>
      <c r="L94" s="493"/>
      <c r="M94" s="494"/>
      <c r="N94" s="2750"/>
      <c r="O94" s="2750"/>
      <c r="P94" s="2774"/>
      <c r="Q94" s="2736"/>
      <c r="R94" s="2722"/>
      <c r="S94" s="2722"/>
      <c r="T94" s="2722"/>
      <c r="U94" s="2722"/>
      <c r="V94" s="2722"/>
      <c r="W94" s="2722"/>
      <c r="X94" s="2722"/>
      <c r="Y94" s="2722"/>
      <c r="Z94" s="2722"/>
      <c r="AA94" s="2722"/>
      <c r="AB94" s="2722"/>
      <c r="AC94" s="2722"/>
    </row>
    <row r="95" spans="1:29" s="108" customFormat="1" ht="15.75" thickTop="1">
      <c r="A95" s="528"/>
      <c r="B95" s="487" t="s">
        <v>1906</v>
      </c>
      <c r="C95" s="527" t="s">
        <v>1721</v>
      </c>
      <c r="D95" s="527" t="s">
        <v>1722</v>
      </c>
      <c r="E95" s="527" t="s">
        <v>1723</v>
      </c>
      <c r="F95" s="527" t="s">
        <v>1724</v>
      </c>
      <c r="G95" s="527" t="s">
        <v>1725</v>
      </c>
      <c r="H95" s="527"/>
      <c r="I95" s="527"/>
      <c r="J95" s="527"/>
      <c r="K95" s="527"/>
      <c r="L95" s="646"/>
      <c r="M95" s="570"/>
      <c r="N95" s="2748"/>
      <c r="O95" s="2748"/>
      <c r="P95" s="2774"/>
      <c r="Q95" s="2736"/>
      <c r="R95" s="2658"/>
      <c r="S95" s="2658"/>
      <c r="T95" s="2658"/>
      <c r="U95" s="2658"/>
      <c r="V95" s="2658"/>
      <c r="W95" s="2658"/>
      <c r="X95" s="2658"/>
      <c r="Y95" s="2658"/>
      <c r="Z95" s="2658"/>
      <c r="AA95" s="2658"/>
      <c r="AB95" s="2658"/>
      <c r="AC95" s="2658"/>
    </row>
    <row r="96" spans="1:29" s="108" customFormat="1" ht="15.75" thickBot="1">
      <c r="A96" s="528"/>
      <c r="B96" s="492"/>
      <c r="C96" s="531">
        <v>100</v>
      </c>
      <c r="D96" s="493">
        <f>C96-$K23</f>
        <v>98</v>
      </c>
      <c r="E96" s="493">
        <f>D96-$K23</f>
        <v>96</v>
      </c>
      <c r="F96" s="493">
        <f>E96-$K23</f>
        <v>94</v>
      </c>
      <c r="G96" s="493">
        <f>F96-$K23</f>
        <v>92</v>
      </c>
      <c r="H96" s="493"/>
      <c r="I96" s="493"/>
      <c r="J96" s="493"/>
      <c r="K96" s="493"/>
      <c r="L96" s="493"/>
      <c r="M96" s="494"/>
      <c r="N96" s="2750"/>
      <c r="O96" s="2750"/>
      <c r="P96" s="2774"/>
      <c r="Q96" s="2736"/>
      <c r="R96" s="2658"/>
      <c r="S96" s="2658"/>
      <c r="T96" s="2658"/>
      <c r="U96" s="2658"/>
      <c r="V96" s="2658"/>
      <c r="W96" s="2658"/>
      <c r="X96" s="2658"/>
      <c r="Y96" s="2658"/>
      <c r="Z96" s="2658"/>
      <c r="AA96" s="2658"/>
      <c r="AB96" s="2658"/>
      <c r="AC96" s="2658"/>
    </row>
    <row r="97" spans="1:29" s="108" customFormat="1" ht="27.75" thickTop="1">
      <c r="A97" s="528"/>
      <c r="B97" s="487" t="s">
        <v>1907</v>
      </c>
      <c r="C97" s="522" t="s">
        <v>1721</v>
      </c>
      <c r="D97" s="522" t="s">
        <v>1722</v>
      </c>
      <c r="E97" s="522" t="s">
        <v>1723</v>
      </c>
      <c r="F97" s="522" t="s">
        <v>1724</v>
      </c>
      <c r="G97" s="522" t="s">
        <v>1725</v>
      </c>
      <c r="H97" s="527"/>
      <c r="I97" s="527"/>
      <c r="J97" s="527"/>
      <c r="K97" s="527"/>
      <c r="L97" s="527"/>
      <c r="M97" s="570"/>
      <c r="N97" s="2748"/>
      <c r="O97" s="2748"/>
      <c r="P97" s="2774"/>
      <c r="Q97" s="2736"/>
      <c r="R97" s="2658"/>
      <c r="S97" s="2658"/>
      <c r="T97" s="2658"/>
      <c r="U97" s="2658"/>
      <c r="V97" s="2658"/>
      <c r="W97" s="2658"/>
      <c r="X97" s="2658"/>
      <c r="Y97" s="2658"/>
      <c r="Z97" s="2658"/>
      <c r="AA97" s="2658"/>
      <c r="AB97" s="2658"/>
      <c r="AC97" s="2658"/>
    </row>
    <row r="98" spans="1:29" s="108" customFormat="1" ht="15.75" thickBot="1">
      <c r="A98" s="528"/>
      <c r="B98" s="492"/>
      <c r="C98" s="493">
        <v>100</v>
      </c>
      <c r="D98" s="493">
        <f>C98-$K25</f>
        <v>99</v>
      </c>
      <c r="E98" s="493">
        <f>D98-$K25</f>
        <v>98</v>
      </c>
      <c r="F98" s="493">
        <f>E98-$K25</f>
        <v>97</v>
      </c>
      <c r="G98" s="493">
        <f>F98-$K25</f>
        <v>96</v>
      </c>
      <c r="H98" s="493"/>
      <c r="I98" s="493"/>
      <c r="J98" s="493"/>
      <c r="K98" s="493"/>
      <c r="L98" s="493"/>
      <c r="M98" s="494"/>
      <c r="N98" s="2750"/>
      <c r="O98" s="2750"/>
      <c r="P98" s="2774"/>
      <c r="Q98" s="2736"/>
      <c r="R98" s="2658"/>
      <c r="S98" s="2658"/>
      <c r="T98" s="2658"/>
      <c r="U98" s="2658"/>
      <c r="V98" s="2658"/>
      <c r="W98" s="2658"/>
      <c r="X98" s="2658"/>
      <c r="Y98" s="2658"/>
      <c r="Z98" s="2658"/>
      <c r="AA98" s="2658"/>
      <c r="AB98" s="2658"/>
      <c r="AC98" s="2658"/>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1"/>
      <c r="O99" s="2751"/>
      <c r="P99" s="2775"/>
      <c r="Q99" s="2742"/>
      <c r="R99" s="2743"/>
      <c r="S99" s="2743"/>
      <c r="T99" s="2743"/>
      <c r="U99" s="2743"/>
      <c r="V99" s="2743"/>
      <c r="W99" s="2743"/>
      <c r="X99" s="2743"/>
      <c r="Y99" s="2743"/>
      <c r="Z99" s="2743"/>
      <c r="AA99" s="2743"/>
      <c r="AB99" s="2743"/>
      <c r="AC99" s="2743"/>
    </row>
    <row r="100" spans="1:29" s="422" customFormat="1" ht="15.75" thickBot="1">
      <c r="A100" s="502"/>
      <c r="B100" s="492"/>
      <c r="C100" s="493">
        <v>100</v>
      </c>
      <c r="D100" s="493">
        <f>C100-$K27</f>
        <v>99</v>
      </c>
      <c r="E100" s="493">
        <f>D100-$K27</f>
        <v>98</v>
      </c>
      <c r="F100" s="493">
        <f>E100-$K27</f>
        <v>97</v>
      </c>
      <c r="G100" s="493">
        <f>F100-$K27</f>
        <v>96</v>
      </c>
      <c r="H100" s="556"/>
      <c r="I100" s="556"/>
      <c r="J100" s="556"/>
      <c r="K100" s="556"/>
      <c r="L100" s="556"/>
      <c r="M100" s="557"/>
      <c r="N100" s="2751"/>
      <c r="O100" s="2751"/>
      <c r="P100" s="2775"/>
      <c r="Q100" s="2742"/>
      <c r="R100" s="2743"/>
      <c r="S100" s="2743"/>
      <c r="T100" s="2743"/>
      <c r="U100" s="2743"/>
      <c r="V100" s="2743"/>
      <c r="W100" s="2743"/>
      <c r="X100" s="2743"/>
      <c r="Y100" s="2743"/>
      <c r="Z100" s="2743"/>
      <c r="AA100" s="2743"/>
      <c r="AB100" s="2743"/>
      <c r="AC100" s="2743"/>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1"/>
      <c r="N101" s="2751"/>
      <c r="O101" s="2751"/>
      <c r="P101" s="2775"/>
      <c r="Q101" s="2742"/>
      <c r="R101" s="2743"/>
      <c r="S101" s="2743"/>
      <c r="T101" s="2743"/>
      <c r="U101" s="2743"/>
      <c r="V101" s="2743"/>
      <c r="W101" s="2743"/>
      <c r="X101" s="2743"/>
      <c r="Y101" s="2743"/>
      <c r="Z101" s="2743"/>
      <c r="AA101" s="2743"/>
      <c r="AB101" s="2743"/>
      <c r="AC101" s="2743"/>
    </row>
    <row r="102" spans="1:29" s="422" customFormat="1" ht="15.75" thickBot="1">
      <c r="A102" s="502"/>
      <c r="B102" s="495"/>
      <c r="C102" s="493">
        <v>100</v>
      </c>
      <c r="D102" s="493">
        <f>C102-$K29</f>
        <v>98</v>
      </c>
      <c r="E102" s="493">
        <f>D102-$K29</f>
        <v>96</v>
      </c>
      <c r="F102" s="493">
        <f>E102-$K29</f>
        <v>94</v>
      </c>
      <c r="G102" s="493">
        <f>F102-$K29</f>
        <v>92</v>
      </c>
      <c r="H102" s="497"/>
      <c r="I102" s="497"/>
      <c r="J102" s="497"/>
      <c r="K102" s="497"/>
      <c r="L102" s="497"/>
      <c r="M102" s="1131"/>
      <c r="N102" s="2751"/>
      <c r="O102" s="2751"/>
      <c r="P102" s="2775"/>
      <c r="Q102" s="2742"/>
      <c r="R102" s="2743"/>
      <c r="S102" s="2743"/>
      <c r="T102" s="2743"/>
      <c r="U102" s="2743"/>
      <c r="V102" s="2743"/>
      <c r="W102" s="2743"/>
      <c r="X102" s="2743"/>
      <c r="Y102" s="2743"/>
      <c r="Z102" s="2743"/>
      <c r="AA102" s="2743"/>
      <c r="AB102" s="2743"/>
      <c r="AC102" s="2743"/>
    </row>
    <row r="103" spans="1:29" ht="15.75" thickTop="1">
      <c r="A103" s="483"/>
      <c r="B103" s="487" t="str">
        <f>B31</f>
        <v>临街状况</v>
      </c>
      <c r="C103" s="488" t="s">
        <v>1908</v>
      </c>
      <c r="D103" s="488" t="s">
        <v>1909</v>
      </c>
      <c r="E103" s="488" t="s">
        <v>1910</v>
      </c>
      <c r="F103" s="488" t="s">
        <v>1911</v>
      </c>
      <c r="G103" s="488"/>
      <c r="H103" s="488"/>
      <c r="I103" s="488"/>
      <c r="J103" s="488"/>
      <c r="K103" s="489"/>
      <c r="L103" s="490"/>
      <c r="M103" s="491"/>
      <c r="N103" s="2749"/>
      <c r="O103" s="2749"/>
      <c r="P103" s="2774"/>
      <c r="Q103" s="2736"/>
      <c r="R103" s="2722"/>
      <c r="S103" s="2722"/>
      <c r="T103" s="2722"/>
      <c r="U103" s="2722"/>
      <c r="V103" s="2722"/>
      <c r="W103" s="2722"/>
      <c r="X103" s="2722"/>
      <c r="Y103" s="2722"/>
      <c r="Z103" s="2722"/>
      <c r="AA103" s="2722"/>
      <c r="AB103" s="2722"/>
      <c r="AC103" s="2722"/>
    </row>
    <row r="104" spans="1:29" ht="15.75" thickBot="1">
      <c r="A104" s="483"/>
      <c r="B104" s="492"/>
      <c r="C104" s="493">
        <v>100</v>
      </c>
      <c r="D104" s="493">
        <f t="shared" ref="D104:M104" si="34">C104-$K31</f>
        <v>100</v>
      </c>
      <c r="E104" s="493">
        <f t="shared" si="34"/>
        <v>100</v>
      </c>
      <c r="F104" s="493">
        <f t="shared" si="34"/>
        <v>100</v>
      </c>
      <c r="G104" s="493">
        <f t="shared" si="34"/>
        <v>100</v>
      </c>
      <c r="H104" s="493">
        <f t="shared" si="34"/>
        <v>100</v>
      </c>
      <c r="I104" s="493">
        <f t="shared" si="34"/>
        <v>100</v>
      </c>
      <c r="J104" s="493">
        <f t="shared" si="34"/>
        <v>100</v>
      </c>
      <c r="K104" s="493">
        <f t="shared" si="34"/>
        <v>100</v>
      </c>
      <c r="L104" s="493">
        <f t="shared" si="34"/>
        <v>100</v>
      </c>
      <c r="M104" s="493">
        <f t="shared" si="34"/>
        <v>100</v>
      </c>
      <c r="N104" s="2750"/>
      <c r="O104" s="2750"/>
      <c r="P104" s="2774"/>
      <c r="Q104" s="2736"/>
      <c r="R104" s="2722"/>
      <c r="S104" s="2722"/>
      <c r="T104" s="2722"/>
      <c r="U104" s="2722"/>
      <c r="V104" s="2722"/>
      <c r="W104" s="2722"/>
      <c r="X104" s="2722"/>
      <c r="Y104" s="2722"/>
      <c r="Z104" s="2722"/>
      <c r="AA104" s="2722"/>
      <c r="AB104" s="2722"/>
      <c r="AC104" s="2722"/>
    </row>
    <row r="105" spans="1:29" ht="27.75" thickTop="1">
      <c r="A105" s="483"/>
      <c r="B105" s="487" t="s">
        <v>1815</v>
      </c>
      <c r="C105" s="503"/>
      <c r="D105" s="503"/>
      <c r="E105" s="503"/>
      <c r="F105" s="503"/>
      <c r="G105" s="503"/>
      <c r="H105" s="532"/>
      <c r="I105" s="532"/>
      <c r="J105" s="532"/>
      <c r="K105" s="533"/>
      <c r="L105" s="534"/>
      <c r="M105" s="535"/>
      <c r="N105" s="2749"/>
      <c r="O105" s="2749"/>
      <c r="P105" s="2774"/>
      <c r="Q105" s="2736"/>
      <c r="R105" s="2722"/>
      <c r="S105" s="2722"/>
      <c r="T105" s="2722"/>
      <c r="U105" s="2722"/>
      <c r="V105" s="2722"/>
      <c r="W105" s="2722"/>
      <c r="X105" s="2722"/>
      <c r="Y105" s="2722"/>
      <c r="Z105" s="2722"/>
      <c r="AA105" s="2722"/>
      <c r="AB105" s="2722"/>
      <c r="AC105" s="2722"/>
    </row>
    <row r="106" spans="1:29" ht="15.75" thickBot="1">
      <c r="A106" s="483"/>
      <c r="B106" s="492"/>
      <c r="C106" s="493">
        <v>100</v>
      </c>
      <c r="D106" s="493">
        <f t="shared" ref="D106:M106" si="35">C106-$K32</f>
        <v>100</v>
      </c>
      <c r="E106" s="493">
        <f t="shared" si="35"/>
        <v>100</v>
      </c>
      <c r="F106" s="493">
        <f t="shared" si="35"/>
        <v>100</v>
      </c>
      <c r="G106" s="493">
        <f t="shared" si="35"/>
        <v>100</v>
      </c>
      <c r="H106" s="493">
        <f t="shared" si="35"/>
        <v>100</v>
      </c>
      <c r="I106" s="493">
        <f t="shared" si="35"/>
        <v>100</v>
      </c>
      <c r="J106" s="493">
        <f t="shared" si="35"/>
        <v>100</v>
      </c>
      <c r="K106" s="493">
        <f t="shared" si="35"/>
        <v>100</v>
      </c>
      <c r="L106" s="493">
        <f t="shared" si="35"/>
        <v>100</v>
      </c>
      <c r="M106" s="493">
        <f t="shared" si="35"/>
        <v>100</v>
      </c>
      <c r="N106" s="2750"/>
      <c r="O106" s="2750"/>
      <c r="P106" s="2774"/>
      <c r="Q106" s="2736"/>
      <c r="R106" s="2722"/>
      <c r="S106" s="2722"/>
      <c r="T106" s="2722"/>
      <c r="U106" s="2722"/>
      <c r="V106" s="2722"/>
      <c r="W106" s="2722"/>
      <c r="X106" s="2722"/>
      <c r="Y106" s="2722"/>
      <c r="Z106" s="2722"/>
      <c r="AA106" s="2722"/>
      <c r="AB106" s="2722"/>
      <c r="AC106" s="2722"/>
    </row>
    <row r="107" spans="1:29" ht="15.75" thickTop="1">
      <c r="A107" s="483"/>
      <c r="B107" s="487" t="s">
        <v>1873</v>
      </c>
      <c r="C107" s="3513" t="s">
        <v>3633</v>
      </c>
      <c r="D107" s="3513" t="s">
        <v>3634</v>
      </c>
      <c r="E107" s="3513" t="s">
        <v>3635</v>
      </c>
      <c r="F107" s="3513" t="s">
        <v>3636</v>
      </c>
      <c r="G107" s="3513" t="s">
        <v>3632</v>
      </c>
      <c r="H107" s="532"/>
      <c r="I107" s="532"/>
      <c r="J107" s="532"/>
      <c r="K107" s="533"/>
      <c r="L107" s="534"/>
      <c r="M107" s="535"/>
      <c r="N107" s="2749"/>
      <c r="O107" s="2749"/>
      <c r="P107" s="2774"/>
      <c r="Q107" s="2736"/>
      <c r="R107" s="2722"/>
      <c r="S107" s="2722"/>
      <c r="T107" s="2722"/>
      <c r="U107" s="2722"/>
      <c r="V107" s="2722"/>
      <c r="W107" s="2722"/>
      <c r="X107" s="2722"/>
      <c r="Y107" s="2722"/>
      <c r="Z107" s="2722"/>
      <c r="AA107" s="2722"/>
      <c r="AB107" s="2722"/>
      <c r="AC107" s="2722"/>
    </row>
    <row r="108" spans="1:29" ht="15.75" thickBot="1">
      <c r="A108" s="483"/>
      <c r="B108" s="492"/>
      <c r="C108" s="493">
        <v>100</v>
      </c>
      <c r="D108" s="493">
        <f t="shared" ref="D108:M108" si="36">C108-$K34</f>
        <v>100</v>
      </c>
      <c r="E108" s="493">
        <f t="shared" si="36"/>
        <v>100</v>
      </c>
      <c r="F108" s="493">
        <f t="shared" si="36"/>
        <v>100</v>
      </c>
      <c r="G108" s="493">
        <f t="shared" si="36"/>
        <v>100</v>
      </c>
      <c r="H108" s="493">
        <f t="shared" si="36"/>
        <v>100</v>
      </c>
      <c r="I108" s="493">
        <f t="shared" si="36"/>
        <v>100</v>
      </c>
      <c r="J108" s="493">
        <f t="shared" si="36"/>
        <v>100</v>
      </c>
      <c r="K108" s="493">
        <f t="shared" si="36"/>
        <v>100</v>
      </c>
      <c r="L108" s="493">
        <f t="shared" si="36"/>
        <v>100</v>
      </c>
      <c r="M108" s="493">
        <f t="shared" si="36"/>
        <v>100</v>
      </c>
      <c r="N108" s="2750"/>
      <c r="O108" s="2750"/>
      <c r="P108" s="2774"/>
      <c r="Q108" s="2736"/>
      <c r="R108" s="2722"/>
      <c r="S108" s="2722"/>
      <c r="T108" s="2722"/>
      <c r="U108" s="2722"/>
      <c r="V108" s="2722"/>
      <c r="W108" s="2722"/>
      <c r="X108" s="2722"/>
      <c r="Y108" s="2722"/>
      <c r="Z108" s="2722"/>
      <c r="AA108" s="2722"/>
      <c r="AB108" s="2722"/>
      <c r="AC108" s="2722"/>
    </row>
    <row r="109" spans="1:29" ht="15.75" thickTop="1">
      <c r="A109" s="483"/>
      <c r="B109" s="495">
        <f>B35</f>
        <v>111</v>
      </c>
      <c r="C109" s="503"/>
      <c r="D109" s="503"/>
      <c r="E109" s="503"/>
      <c r="F109" s="503"/>
      <c r="G109" s="536"/>
      <c r="H109" s="536"/>
      <c r="I109" s="536"/>
      <c r="J109" s="536"/>
      <c r="K109" s="537"/>
      <c r="L109" s="538"/>
      <c r="M109" s="539"/>
      <c r="N109" s="2749"/>
      <c r="O109" s="2749"/>
      <c r="P109" s="2774"/>
      <c r="Q109" s="2736"/>
      <c r="R109" s="2722"/>
      <c r="S109" s="2722"/>
      <c r="T109" s="2722"/>
      <c r="U109" s="2722"/>
      <c r="V109" s="2722"/>
      <c r="W109" s="2722"/>
      <c r="X109" s="2722"/>
      <c r="Y109" s="2722"/>
      <c r="Z109" s="2722"/>
      <c r="AA109" s="2722"/>
      <c r="AB109" s="2722"/>
      <c r="AC109" s="2722"/>
    </row>
    <row r="110" spans="1:29" ht="15.75" thickBot="1">
      <c r="A110" s="483"/>
      <c r="B110" s="518"/>
      <c r="C110" s="509"/>
      <c r="D110" s="509"/>
      <c r="E110" s="509"/>
      <c r="F110" s="509"/>
      <c r="G110" s="540"/>
      <c r="H110" s="540"/>
      <c r="I110" s="540"/>
      <c r="J110" s="540"/>
      <c r="K110" s="540"/>
      <c r="L110" s="540"/>
      <c r="M110" s="541"/>
      <c r="N110" s="2750"/>
      <c r="O110" s="2750"/>
      <c r="P110" s="2774"/>
      <c r="Q110" s="2736"/>
      <c r="R110" s="2722"/>
      <c r="S110" s="2722"/>
      <c r="T110" s="2722"/>
      <c r="U110" s="2722"/>
      <c r="V110" s="2722"/>
      <c r="W110" s="2722"/>
      <c r="X110" s="2722"/>
      <c r="Y110" s="2722"/>
      <c r="Z110" s="2722"/>
      <c r="AA110" s="2722"/>
      <c r="AB110" s="2722"/>
      <c r="AC110" s="2722"/>
    </row>
    <row r="111" spans="1:29" ht="15" thickTop="1">
      <c r="A111" s="623"/>
      <c r="B111" s="487">
        <f>B36</f>
        <v>111</v>
      </c>
      <c r="C111" s="472"/>
      <c r="D111" s="472"/>
      <c r="E111" s="472"/>
      <c r="F111" s="472"/>
      <c r="G111" s="532"/>
      <c r="H111" s="532"/>
      <c r="I111" s="532"/>
      <c r="J111" s="532"/>
      <c r="K111" s="533"/>
      <c r="L111" s="534"/>
      <c r="M111" s="535"/>
      <c r="N111" s="2749"/>
      <c r="O111" s="2749"/>
      <c r="P111" s="2774"/>
      <c r="Q111" s="2736"/>
      <c r="R111" s="2722"/>
      <c r="S111" s="2722"/>
      <c r="T111" s="2722"/>
      <c r="U111" s="2722"/>
      <c r="V111" s="2722"/>
      <c r="W111" s="2722"/>
      <c r="X111" s="2722"/>
      <c r="Y111" s="2722"/>
      <c r="Z111" s="2722"/>
      <c r="AA111" s="2722"/>
      <c r="AB111" s="2722"/>
      <c r="AC111" s="2722"/>
    </row>
    <row r="112" spans="1:29" ht="15.75" thickBot="1">
      <c r="A112" s="483"/>
      <c r="B112" s="492"/>
      <c r="C112" s="519"/>
      <c r="D112" s="519"/>
      <c r="E112" s="519"/>
      <c r="F112" s="519"/>
      <c r="G112" s="485"/>
      <c r="H112" s="485"/>
      <c r="I112" s="485"/>
      <c r="J112" s="485"/>
      <c r="K112" s="485"/>
      <c r="L112" s="485"/>
      <c r="M112" s="486"/>
      <c r="N112" s="2750"/>
      <c r="O112" s="2750"/>
      <c r="P112" s="2774"/>
      <c r="Q112" s="2736"/>
      <c r="R112" s="2722"/>
      <c r="S112" s="2722"/>
      <c r="T112" s="2722"/>
      <c r="U112" s="2722"/>
      <c r="V112" s="2722"/>
      <c r="W112" s="2722"/>
      <c r="X112" s="2722"/>
      <c r="Y112" s="2722"/>
      <c r="Z112" s="2722"/>
      <c r="AA112" s="2722"/>
      <c r="AB112" s="2722"/>
      <c r="AC112" s="2722"/>
    </row>
    <row r="113" spans="1:29" s="422" customFormat="1" ht="15" thickTop="1">
      <c r="A113" s="542"/>
      <c r="B113" s="543">
        <f>B37</f>
        <v>111</v>
      </c>
      <c r="C113" s="544"/>
      <c r="D113" s="544"/>
      <c r="E113" s="544"/>
      <c r="F113" s="544"/>
      <c r="G113" s="544"/>
      <c r="H113" s="544"/>
      <c r="I113" s="544"/>
      <c r="J113" s="545"/>
      <c r="K113" s="545"/>
      <c r="L113" s="546"/>
      <c r="M113" s="547"/>
      <c r="N113" s="2751"/>
      <c r="O113" s="2751"/>
      <c r="P113" s="2775"/>
      <c r="Q113" s="2742"/>
      <c r="R113" s="2743"/>
      <c r="S113" s="2743"/>
      <c r="T113" s="2743"/>
      <c r="U113" s="2743"/>
      <c r="V113" s="2743"/>
      <c r="W113" s="2743"/>
      <c r="X113" s="2743"/>
      <c r="Y113" s="2743"/>
      <c r="Z113" s="2743"/>
      <c r="AA113" s="2743"/>
      <c r="AB113" s="2743"/>
      <c r="AC113" s="2743"/>
    </row>
    <row r="114" spans="1:29" s="422" customFormat="1" ht="15.75" thickBot="1">
      <c r="A114" s="502"/>
      <c r="B114" s="495"/>
      <c r="C114" s="461"/>
      <c r="D114" s="625"/>
      <c r="E114" s="625"/>
      <c r="F114" s="625"/>
      <c r="G114" s="625"/>
      <c r="H114" s="625"/>
      <c r="I114" s="625"/>
      <c r="J114" s="625"/>
      <c r="K114" s="625"/>
      <c r="L114" s="625"/>
      <c r="M114" s="647"/>
      <c r="N114" s="2750"/>
      <c r="O114" s="2750"/>
      <c r="P114" s="2775"/>
      <c r="Q114" s="2742"/>
      <c r="R114" s="2743"/>
      <c r="S114" s="2743"/>
      <c r="T114" s="2743"/>
      <c r="U114" s="2743"/>
      <c r="V114" s="2743"/>
      <c r="W114" s="2743"/>
      <c r="X114" s="2743"/>
      <c r="Y114" s="2743"/>
      <c r="Z114" s="2743"/>
      <c r="AA114" s="2743"/>
      <c r="AB114" s="2743"/>
      <c r="AC114" s="2743"/>
    </row>
    <row r="115" spans="1:29" ht="28.5">
      <c r="A115" s="476" t="s">
        <v>1694</v>
      </c>
      <c r="B115" s="477" t="s">
        <v>1912</v>
      </c>
      <c r="C115" s="478" t="str">
        <f>C116&amp;"(含)"&amp;"-"&amp;D116</f>
        <v>0(含)-10000</v>
      </c>
      <c r="D115" s="478" t="str">
        <f t="shared" ref="D115:M115" si="37">D116&amp;"(含)"&amp;"-"&amp;E116</f>
        <v>10000(含)-20000</v>
      </c>
      <c r="E115" s="478" t="str">
        <f t="shared" si="37"/>
        <v>20000(含)-30000</v>
      </c>
      <c r="F115" s="478" t="str">
        <f t="shared" si="37"/>
        <v>30000(含)-40000</v>
      </c>
      <c r="G115" s="478" t="str">
        <f t="shared" si="37"/>
        <v>40000(含)-</v>
      </c>
      <c r="H115" s="478" t="str">
        <f t="shared" si="37"/>
        <v>(含)-</v>
      </c>
      <c r="I115" s="478" t="str">
        <f t="shared" si="37"/>
        <v>(含)-</v>
      </c>
      <c r="J115" s="478" t="str">
        <f t="shared" si="37"/>
        <v>(含)-</v>
      </c>
      <c r="K115" s="478" t="str">
        <f t="shared" si="37"/>
        <v>(含)-</v>
      </c>
      <c r="L115" s="478" t="str">
        <f t="shared" si="37"/>
        <v>(含)-</v>
      </c>
      <c r="M115" s="478" t="str">
        <f t="shared" si="37"/>
        <v>(含)-</v>
      </c>
      <c r="N115" s="2749"/>
      <c r="O115" s="2749"/>
      <c r="P115" s="2774"/>
      <c r="Q115" s="2736"/>
      <c r="R115" s="2722"/>
      <c r="S115" s="2722"/>
      <c r="T115" s="2722"/>
      <c r="U115" s="2722"/>
      <c r="V115" s="2722"/>
      <c r="W115" s="2722"/>
      <c r="X115" s="2722"/>
      <c r="Y115" s="2722"/>
      <c r="Z115" s="2722"/>
      <c r="AA115" s="2722"/>
      <c r="AB115" s="2722"/>
      <c r="AC115" s="2722"/>
    </row>
    <row r="116" spans="1:29" ht="15">
      <c r="A116" s="483"/>
      <c r="B116" s="495"/>
      <c r="C116" s="544">
        <v>0</v>
      </c>
      <c r="D116" s="544">
        <v>10000</v>
      </c>
      <c r="E116" s="544">
        <v>20000</v>
      </c>
      <c r="F116" s="544">
        <v>30000</v>
      </c>
      <c r="G116" s="544">
        <v>40000</v>
      </c>
      <c r="H116" s="544"/>
      <c r="I116" s="544"/>
      <c r="J116" s="545"/>
      <c r="K116" s="545"/>
      <c r="L116" s="546"/>
      <c r="M116" s="547"/>
      <c r="N116" s="2749"/>
      <c r="O116" s="2749"/>
      <c r="P116" s="2774"/>
      <c r="Q116" s="2736"/>
      <c r="R116" s="2722"/>
      <c r="S116" s="2722"/>
      <c r="T116" s="2722"/>
      <c r="U116" s="2722"/>
      <c r="V116" s="2722"/>
      <c r="W116" s="2722"/>
      <c r="X116" s="2722"/>
      <c r="Y116" s="2722"/>
      <c r="Z116" s="2722"/>
      <c r="AA116" s="2722"/>
      <c r="AB116" s="2722"/>
      <c r="AC116" s="2722"/>
    </row>
    <row r="117" spans="1:29" ht="15.75" thickBot="1">
      <c r="A117" s="483"/>
      <c r="B117" s="492"/>
      <c r="C117" s="519">
        <v>100</v>
      </c>
      <c r="D117" s="540">
        <v>101</v>
      </c>
      <c r="E117" s="540">
        <v>102</v>
      </c>
      <c r="F117" s="540">
        <v>103</v>
      </c>
      <c r="G117" s="540">
        <v>104</v>
      </c>
      <c r="H117" s="540"/>
      <c r="I117" s="540"/>
      <c r="J117" s="540"/>
      <c r="K117" s="540"/>
      <c r="L117" s="540"/>
      <c r="M117" s="541"/>
      <c r="N117" s="2750"/>
      <c r="O117" s="2750"/>
      <c r="P117" s="2774"/>
      <c r="Q117" s="2736"/>
      <c r="R117" s="2722"/>
      <c r="S117" s="2722"/>
      <c r="T117" s="2722"/>
      <c r="U117" s="2722"/>
      <c r="V117" s="2722"/>
      <c r="W117" s="2722"/>
      <c r="X117" s="2722"/>
      <c r="Y117" s="2722"/>
      <c r="Z117" s="2722"/>
      <c r="AA117" s="2722"/>
      <c r="AB117" s="2722"/>
      <c r="AC117" s="2722"/>
    </row>
    <row r="118" spans="1:29" ht="15" thickTop="1">
      <c r="A118" s="548"/>
      <c r="B118" s="487" t="s">
        <v>1913</v>
      </c>
      <c r="C118" s="532"/>
      <c r="D118" s="532"/>
      <c r="E118" s="532"/>
      <c r="F118" s="532"/>
      <c r="G118" s="532"/>
      <c r="H118" s="532"/>
      <c r="I118" s="532"/>
      <c r="J118" s="532"/>
      <c r="K118" s="533"/>
      <c r="L118" s="534"/>
      <c r="M118" s="535"/>
      <c r="N118" s="2749"/>
      <c r="O118" s="2749"/>
      <c r="P118" s="2774"/>
      <c r="Q118" s="2736"/>
      <c r="R118" s="2722"/>
      <c r="S118" s="2722"/>
      <c r="T118" s="2722"/>
      <c r="U118" s="2722"/>
      <c r="V118" s="2722"/>
      <c r="W118" s="2722"/>
      <c r="X118" s="2722"/>
      <c r="Y118" s="2722"/>
      <c r="Z118" s="2722"/>
      <c r="AA118" s="2722"/>
      <c r="AB118" s="2722"/>
      <c r="AC118" s="2722"/>
    </row>
    <row r="119" spans="1:29" ht="15.75" thickBot="1">
      <c r="A119" s="483"/>
      <c r="B119" s="492"/>
      <c r="C119" s="493">
        <v>100</v>
      </c>
      <c r="D119" s="493">
        <f t="shared" ref="D119:M119" si="38">C119-$K39</f>
        <v>100</v>
      </c>
      <c r="E119" s="493">
        <f t="shared" si="38"/>
        <v>100</v>
      </c>
      <c r="F119" s="493">
        <f t="shared" si="38"/>
        <v>100</v>
      </c>
      <c r="G119" s="493">
        <f t="shared" si="38"/>
        <v>100</v>
      </c>
      <c r="H119" s="493">
        <f t="shared" si="38"/>
        <v>100</v>
      </c>
      <c r="I119" s="493">
        <f t="shared" si="38"/>
        <v>100</v>
      </c>
      <c r="J119" s="493">
        <f t="shared" si="38"/>
        <v>100</v>
      </c>
      <c r="K119" s="493">
        <f t="shared" si="38"/>
        <v>100</v>
      </c>
      <c r="L119" s="493">
        <f t="shared" si="38"/>
        <v>100</v>
      </c>
      <c r="M119" s="494">
        <f t="shared" si="38"/>
        <v>100</v>
      </c>
      <c r="N119" s="2750"/>
      <c r="O119" s="2750"/>
      <c r="P119" s="2774"/>
      <c r="Q119" s="2736"/>
      <c r="R119" s="2722"/>
      <c r="S119" s="2722"/>
      <c r="T119" s="2722"/>
      <c r="U119" s="2722"/>
      <c r="V119" s="2722"/>
      <c r="W119" s="2722"/>
      <c r="X119" s="2722"/>
      <c r="Y119" s="2722"/>
      <c r="Z119" s="2722"/>
      <c r="AA119" s="2722"/>
      <c r="AB119" s="2722"/>
      <c r="AC119" s="2722"/>
    </row>
    <row r="120" spans="1:29" ht="15" thickTop="1">
      <c r="A120" s="548"/>
      <c r="B120" s="487" t="s">
        <v>1914</v>
      </c>
      <c r="C120" s="503"/>
      <c r="D120" s="503"/>
      <c r="E120" s="503"/>
      <c r="F120" s="532"/>
      <c r="G120" s="532"/>
      <c r="H120" s="532"/>
      <c r="I120" s="532"/>
      <c r="J120" s="532"/>
      <c r="K120" s="533"/>
      <c r="L120" s="534"/>
      <c r="M120" s="535"/>
      <c r="N120" s="2749"/>
      <c r="O120" s="2749"/>
      <c r="P120" s="2774"/>
      <c r="Q120" s="2736"/>
      <c r="R120" s="2722"/>
      <c r="S120" s="2722"/>
      <c r="T120" s="2722"/>
      <c r="U120" s="2722"/>
      <c r="V120" s="2722"/>
      <c r="W120" s="2722"/>
      <c r="X120" s="2722"/>
      <c r="Y120" s="2722"/>
      <c r="Z120" s="2722"/>
      <c r="AA120" s="2722"/>
      <c r="AB120" s="2722"/>
      <c r="AC120" s="2722"/>
    </row>
    <row r="121" spans="1:29" ht="15.75" thickBot="1">
      <c r="A121" s="483"/>
      <c r="B121" s="492"/>
      <c r="C121" s="493">
        <v>100</v>
      </c>
      <c r="D121" s="493">
        <f t="shared" ref="D121:M121" si="39">C121-$K40</f>
        <v>100</v>
      </c>
      <c r="E121" s="493">
        <f t="shared" si="39"/>
        <v>100</v>
      </c>
      <c r="F121" s="493">
        <f t="shared" si="39"/>
        <v>100</v>
      </c>
      <c r="G121" s="493">
        <f t="shared" si="39"/>
        <v>100</v>
      </c>
      <c r="H121" s="493">
        <f t="shared" si="39"/>
        <v>100</v>
      </c>
      <c r="I121" s="493">
        <f t="shared" si="39"/>
        <v>100</v>
      </c>
      <c r="J121" s="493">
        <f t="shared" si="39"/>
        <v>100</v>
      </c>
      <c r="K121" s="493">
        <f t="shared" si="39"/>
        <v>100</v>
      </c>
      <c r="L121" s="493">
        <f t="shared" si="39"/>
        <v>100</v>
      </c>
      <c r="M121" s="494">
        <f t="shared" si="39"/>
        <v>100</v>
      </c>
      <c r="N121" s="2750"/>
      <c r="O121" s="2750"/>
      <c r="P121" s="2774"/>
      <c r="Q121" s="2736"/>
      <c r="R121" s="2722"/>
      <c r="S121" s="2722"/>
      <c r="T121" s="2722"/>
      <c r="U121" s="2722"/>
      <c r="V121" s="2722"/>
      <c r="W121" s="2722"/>
      <c r="X121" s="2722"/>
      <c r="Y121" s="2722"/>
      <c r="Z121" s="2722"/>
      <c r="AA121" s="2722"/>
      <c r="AB121" s="2722"/>
      <c r="AC121" s="2722"/>
    </row>
    <row r="122" spans="1:29" s="422" customFormat="1" ht="15" thickTop="1">
      <c r="A122" s="542"/>
      <c r="B122" s="487" t="s">
        <v>1915</v>
      </c>
      <c r="C122" s="503"/>
      <c r="D122" s="503"/>
      <c r="E122" s="503"/>
      <c r="F122" s="503"/>
      <c r="G122" s="503"/>
      <c r="H122" s="532"/>
      <c r="I122" s="532"/>
      <c r="J122" s="532"/>
      <c r="K122" s="533"/>
      <c r="L122" s="534"/>
      <c r="M122" s="535"/>
      <c r="N122" s="2751"/>
      <c r="O122" s="2751"/>
      <c r="P122" s="2775"/>
      <c r="Q122" s="2742"/>
      <c r="R122" s="2743"/>
      <c r="S122" s="2743"/>
      <c r="T122" s="2743"/>
      <c r="U122" s="2743"/>
      <c r="V122" s="2743"/>
      <c r="W122" s="2743"/>
      <c r="X122" s="2743"/>
      <c r="Y122" s="2743"/>
      <c r="Z122" s="2743"/>
      <c r="AA122" s="2743"/>
      <c r="AB122" s="2743"/>
      <c r="AC122" s="2743"/>
    </row>
    <row r="123" spans="1:29" s="422" customFormat="1" ht="15.75" thickBot="1">
      <c r="A123" s="502"/>
      <c r="B123" s="492"/>
      <c r="C123" s="493">
        <v>100</v>
      </c>
      <c r="D123" s="493">
        <f t="shared" ref="D123:M123" si="40">C123-$K41</f>
        <v>100</v>
      </c>
      <c r="E123" s="493">
        <f t="shared" si="40"/>
        <v>100</v>
      </c>
      <c r="F123" s="493">
        <f t="shared" si="40"/>
        <v>100</v>
      </c>
      <c r="G123" s="493">
        <f t="shared" si="40"/>
        <v>100</v>
      </c>
      <c r="H123" s="493">
        <f t="shared" si="40"/>
        <v>100</v>
      </c>
      <c r="I123" s="493">
        <f t="shared" si="40"/>
        <v>100</v>
      </c>
      <c r="J123" s="493">
        <f t="shared" si="40"/>
        <v>100</v>
      </c>
      <c r="K123" s="493">
        <f t="shared" si="40"/>
        <v>100</v>
      </c>
      <c r="L123" s="493">
        <f t="shared" si="40"/>
        <v>100</v>
      </c>
      <c r="M123" s="494">
        <f t="shared" si="40"/>
        <v>100</v>
      </c>
      <c r="N123" s="2751"/>
      <c r="O123" s="2751"/>
      <c r="P123" s="2775"/>
      <c r="Q123" s="2742"/>
      <c r="R123" s="2743"/>
      <c r="S123" s="2743"/>
      <c r="T123" s="2743"/>
      <c r="U123" s="2743"/>
      <c r="V123" s="2743"/>
      <c r="W123" s="2743"/>
      <c r="X123" s="2743"/>
      <c r="Y123" s="2743"/>
      <c r="Z123" s="2743"/>
      <c r="AA123" s="2743"/>
      <c r="AB123" s="2743"/>
      <c r="AC123" s="2743"/>
    </row>
    <row r="124" spans="1:29" ht="15" thickTop="1">
      <c r="A124" s="548"/>
      <c r="B124" s="487" t="s">
        <v>1916</v>
      </c>
      <c r="C124" s="503"/>
      <c r="D124" s="503"/>
      <c r="E124" s="532"/>
      <c r="F124" s="532"/>
      <c r="G124" s="532"/>
      <c r="H124" s="532"/>
      <c r="I124" s="532"/>
      <c r="J124" s="532"/>
      <c r="K124" s="533"/>
      <c r="L124" s="534"/>
      <c r="M124" s="535"/>
      <c r="N124" s="2749"/>
      <c r="O124" s="2749"/>
      <c r="P124" s="2774"/>
      <c r="Q124" s="2736"/>
      <c r="R124" s="2722"/>
      <c r="S124" s="2722"/>
      <c r="T124" s="2722"/>
      <c r="U124" s="2722"/>
      <c r="V124" s="2722"/>
      <c r="W124" s="2722"/>
      <c r="X124" s="2722"/>
      <c r="Y124" s="2722"/>
      <c r="Z124" s="2722"/>
      <c r="AA124" s="2722"/>
      <c r="AB124" s="2722"/>
      <c r="AC124" s="2722"/>
    </row>
    <row r="125" spans="1:29" ht="15.75" thickBot="1">
      <c r="A125" s="483"/>
      <c r="B125" s="492"/>
      <c r="C125" s="493">
        <v>100</v>
      </c>
      <c r="D125" s="493">
        <f t="shared" ref="D125:M125" si="41">C125-$K42</f>
        <v>100</v>
      </c>
      <c r="E125" s="493">
        <f t="shared" si="41"/>
        <v>100</v>
      </c>
      <c r="F125" s="493">
        <f t="shared" si="41"/>
        <v>100</v>
      </c>
      <c r="G125" s="493">
        <f t="shared" si="41"/>
        <v>100</v>
      </c>
      <c r="H125" s="493">
        <f t="shared" si="41"/>
        <v>100</v>
      </c>
      <c r="I125" s="493">
        <f t="shared" si="41"/>
        <v>100</v>
      </c>
      <c r="J125" s="493">
        <f t="shared" si="41"/>
        <v>100</v>
      </c>
      <c r="K125" s="493">
        <f t="shared" si="41"/>
        <v>100</v>
      </c>
      <c r="L125" s="493">
        <f t="shared" si="41"/>
        <v>100</v>
      </c>
      <c r="M125" s="494">
        <f t="shared" si="41"/>
        <v>100</v>
      </c>
      <c r="N125" s="2750"/>
      <c r="O125" s="2750"/>
      <c r="P125" s="2774"/>
      <c r="Q125" s="2736"/>
      <c r="R125" s="2722"/>
      <c r="S125" s="2722"/>
      <c r="T125" s="2722"/>
      <c r="U125" s="2722"/>
      <c r="V125" s="2722"/>
      <c r="W125" s="2722"/>
      <c r="X125" s="2722"/>
      <c r="Y125" s="2722"/>
      <c r="Z125" s="2722"/>
      <c r="AA125" s="2722"/>
      <c r="AB125" s="2722"/>
      <c r="AC125" s="2722"/>
    </row>
    <row r="126" spans="1:29" ht="15" thickTop="1">
      <c r="A126" s="548"/>
      <c r="B126" s="487">
        <f>B43</f>
        <v>111</v>
      </c>
      <c r="C126" s="503"/>
      <c r="D126" s="503"/>
      <c r="E126" s="503"/>
      <c r="F126" s="503"/>
      <c r="G126" s="503"/>
      <c r="H126" s="532"/>
      <c r="I126" s="532"/>
      <c r="J126" s="532"/>
      <c r="K126" s="533"/>
      <c r="L126" s="534"/>
      <c r="M126" s="535"/>
      <c r="N126" s="2749"/>
      <c r="O126" s="2749"/>
      <c r="P126" s="2774"/>
      <c r="Q126" s="2736"/>
      <c r="R126" s="2722"/>
      <c r="S126" s="2722"/>
      <c r="T126" s="2722"/>
      <c r="U126" s="2722"/>
      <c r="V126" s="2722"/>
      <c r="W126" s="2722"/>
      <c r="X126" s="2722"/>
      <c r="Y126" s="2722"/>
      <c r="Z126" s="2722"/>
      <c r="AA126" s="2722"/>
      <c r="AB126" s="2722"/>
      <c r="AC126" s="2722"/>
    </row>
    <row r="127" spans="1:29" ht="15.75" thickBot="1">
      <c r="A127" s="483"/>
      <c r="B127" s="492"/>
      <c r="C127" s="509"/>
      <c r="D127" s="509"/>
      <c r="E127" s="509"/>
      <c r="F127" s="509"/>
      <c r="G127" s="485"/>
      <c r="H127" s="485"/>
      <c r="I127" s="485"/>
      <c r="J127" s="485"/>
      <c r="K127" s="485"/>
      <c r="L127" s="485"/>
      <c r="M127" s="486"/>
      <c r="N127" s="2750"/>
      <c r="O127" s="2750"/>
      <c r="P127" s="2774"/>
      <c r="Q127" s="2736"/>
      <c r="R127" s="2722"/>
      <c r="S127" s="2722"/>
      <c r="T127" s="2722"/>
      <c r="U127" s="2722"/>
      <c r="V127" s="2722"/>
      <c r="W127" s="2722"/>
      <c r="X127" s="2722"/>
      <c r="Y127" s="2722"/>
      <c r="Z127" s="2722"/>
      <c r="AA127" s="2722"/>
      <c r="AB127" s="2722"/>
      <c r="AC127" s="2722"/>
    </row>
    <row r="128" spans="1:29" ht="15" thickTop="1">
      <c r="A128" s="548"/>
      <c r="B128" s="487">
        <f>B44</f>
        <v>111</v>
      </c>
      <c r="C128" s="472"/>
      <c r="D128" s="472"/>
      <c r="E128" s="472"/>
      <c r="F128" s="472"/>
      <c r="G128" s="532"/>
      <c r="H128" s="532"/>
      <c r="I128" s="532"/>
      <c r="J128" s="532"/>
      <c r="K128" s="533"/>
      <c r="L128" s="534"/>
      <c r="M128" s="535"/>
      <c r="N128" s="2749"/>
      <c r="O128" s="2749"/>
      <c r="P128" s="2774"/>
      <c r="Q128" s="2736"/>
      <c r="R128" s="2722"/>
      <c r="S128" s="2722"/>
      <c r="T128" s="2722"/>
      <c r="U128" s="2722"/>
      <c r="V128" s="2722"/>
      <c r="W128" s="2722"/>
      <c r="X128" s="2722"/>
      <c r="Y128" s="2722"/>
      <c r="Z128" s="2722"/>
      <c r="AA128" s="2722"/>
      <c r="AB128" s="2722"/>
      <c r="AC128" s="2722"/>
    </row>
    <row r="129" spans="1:29" ht="15.75" thickBot="1">
      <c r="A129" s="483"/>
      <c r="B129" s="492"/>
      <c r="C129" s="519"/>
      <c r="D129" s="519"/>
      <c r="E129" s="519"/>
      <c r="F129" s="519"/>
      <c r="G129" s="485"/>
      <c r="H129" s="485"/>
      <c r="I129" s="485"/>
      <c r="J129" s="485"/>
      <c r="K129" s="485"/>
      <c r="L129" s="485"/>
      <c r="M129" s="486"/>
      <c r="N129" s="2750"/>
      <c r="O129" s="2750"/>
      <c r="P129" s="2774"/>
      <c r="Q129" s="2736"/>
      <c r="R129" s="2722"/>
      <c r="S129" s="2722"/>
      <c r="T129" s="2722"/>
      <c r="U129" s="2722"/>
      <c r="V129" s="2722"/>
      <c r="W129" s="2722"/>
      <c r="X129" s="2722"/>
      <c r="Y129" s="2722"/>
      <c r="Z129" s="2722"/>
      <c r="AA129" s="2722"/>
      <c r="AB129" s="2722"/>
      <c r="AC129" s="2722"/>
    </row>
    <row r="130" spans="1:29" s="422" customFormat="1" ht="15" thickTop="1">
      <c r="A130" s="542"/>
      <c r="B130" s="487">
        <f>B45</f>
        <v>111</v>
      </c>
      <c r="C130" s="472"/>
      <c r="D130" s="472"/>
      <c r="E130" s="472"/>
      <c r="F130" s="472"/>
      <c r="G130" s="504"/>
      <c r="H130" s="504"/>
      <c r="I130" s="504"/>
      <c r="J130" s="504"/>
      <c r="K130" s="504"/>
      <c r="L130" s="505"/>
      <c r="M130" s="506"/>
      <c r="N130" s="2751"/>
      <c r="O130" s="2751"/>
      <c r="P130" s="2775"/>
      <c r="Q130" s="2742"/>
      <c r="R130" s="2743"/>
      <c r="S130" s="2743"/>
      <c r="T130" s="2743"/>
      <c r="U130" s="2743"/>
      <c r="V130" s="2743"/>
      <c r="W130" s="2743"/>
      <c r="X130" s="2743"/>
      <c r="Y130" s="2743"/>
      <c r="Z130" s="2743"/>
      <c r="AA130" s="2743"/>
      <c r="AB130" s="2743"/>
      <c r="AC130" s="2743"/>
    </row>
    <row r="131" spans="1:29" s="422" customFormat="1" ht="15.75" thickBot="1">
      <c r="A131" s="517"/>
      <c r="B131" s="648"/>
      <c r="C131" s="519"/>
      <c r="D131" s="519"/>
      <c r="E131" s="519"/>
      <c r="F131" s="519"/>
      <c r="G131" s="540"/>
      <c r="H131" s="540"/>
      <c r="I131" s="540"/>
      <c r="J131" s="540"/>
      <c r="K131" s="540"/>
      <c r="L131" s="540"/>
      <c r="M131" s="541"/>
      <c r="N131" s="2751"/>
      <c r="O131" s="2751"/>
      <c r="P131" s="2775"/>
      <c r="Q131" s="2742"/>
      <c r="R131" s="2743"/>
      <c r="S131" s="2743"/>
      <c r="T131" s="2743"/>
      <c r="U131" s="2743"/>
      <c r="V131" s="2743"/>
      <c r="W131" s="2743"/>
      <c r="X131" s="2743"/>
      <c r="Y131" s="2743"/>
      <c r="Z131" s="2743"/>
      <c r="AA131" s="2743"/>
      <c r="AB131" s="2743"/>
      <c r="AC131" s="274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156" priority="18" stopIfTrue="1" operator="containsText" text="超过">
      <formula>NOT(ISERROR(SEARCH("超过",F51)))</formula>
    </cfRule>
  </conditionalFormatting>
  <conditionalFormatting sqref="J53">
    <cfRule type="containsText" dxfId="155" priority="17" stopIfTrue="1" operator="containsText" text="超过">
      <formula>NOT(ISERROR(SEARCH("超过",J53)))</formula>
    </cfRule>
  </conditionalFormatting>
  <conditionalFormatting sqref="H53">
    <cfRule type="containsText" dxfId="154" priority="16" stopIfTrue="1" operator="containsText" text="超过">
      <formula>NOT(ISERROR(SEARCH("超过",H53)))</formula>
    </cfRule>
  </conditionalFormatting>
  <conditionalFormatting sqref="F53">
    <cfRule type="containsText" dxfId="153" priority="15" stopIfTrue="1" operator="containsText" text="超过">
      <formula>NOT(ISERROR(SEARCH("超过",F53)))</formula>
    </cfRule>
  </conditionalFormatting>
  <conditionalFormatting sqref="F52 H52 J52">
    <cfRule type="containsText" dxfId="152" priority="14" stopIfTrue="1" operator="containsText" text="超过">
      <formula>NOT(ISERROR(SEARCH("超过",F52)))</formula>
    </cfRule>
  </conditionalFormatting>
  <conditionalFormatting sqref="E51">
    <cfRule type="expression" dxfId="151" priority="13" stopIfTrue="1">
      <formula>$F$51="超过30%"</formula>
    </cfRule>
  </conditionalFormatting>
  <conditionalFormatting sqref="G53">
    <cfRule type="expression" dxfId="150" priority="12" stopIfTrue="1">
      <formula>$H$53="超过30%"</formula>
    </cfRule>
  </conditionalFormatting>
  <conditionalFormatting sqref="E52">
    <cfRule type="expression" dxfId="149" priority="11" stopIfTrue="1">
      <formula>$F$52="超过20%"</formula>
    </cfRule>
  </conditionalFormatting>
  <conditionalFormatting sqref="E53">
    <cfRule type="expression" dxfId="148" priority="10" stopIfTrue="1">
      <formula>$F$53="超过30%"</formula>
    </cfRule>
  </conditionalFormatting>
  <conditionalFormatting sqref="G51">
    <cfRule type="expression" dxfId="147" priority="9" stopIfTrue="1">
      <formula>$H$53+$H$51="超过30%"</formula>
    </cfRule>
  </conditionalFormatting>
  <conditionalFormatting sqref="G52">
    <cfRule type="expression" dxfId="146" priority="8" stopIfTrue="1">
      <formula>$H$52="超过20%"</formula>
    </cfRule>
  </conditionalFormatting>
  <conditionalFormatting sqref="I51">
    <cfRule type="expression" dxfId="145" priority="7" stopIfTrue="1">
      <formula>$J$51="超过30%"</formula>
    </cfRule>
  </conditionalFormatting>
  <conditionalFormatting sqref="I52">
    <cfRule type="expression" dxfId="144" priority="6" stopIfTrue="1">
      <formula>$J$52="超过20%"</formula>
    </cfRule>
  </conditionalFormatting>
  <conditionalFormatting sqref="I53">
    <cfRule type="expression" dxfId="143" priority="5" stopIfTrue="1">
      <formula>$J$53="超过30%"</formula>
    </cfRule>
  </conditionalFormatting>
  <conditionalFormatting sqref="F47">
    <cfRule type="expression" dxfId="142" priority="4">
      <formula>$D$47="简单平均"</formula>
    </cfRule>
  </conditionalFormatting>
  <conditionalFormatting sqref="H47">
    <cfRule type="expression" dxfId="141" priority="3">
      <formula>$D$47="简单平均"</formula>
    </cfRule>
  </conditionalFormatting>
  <conditionalFormatting sqref="J47">
    <cfRule type="expression" dxfId="140" priority="2">
      <formula>$D$47="简单平均"</formula>
    </cfRule>
  </conditionalFormatting>
  <conditionalFormatting sqref="F7:F45 H7:H45 J7:J45">
    <cfRule type="cellIs" dxfId="13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8"/>
  <sheetViews>
    <sheetView topLeftCell="C1" workbookViewId="0">
      <selection activeCell="H10" sqref="H10"/>
    </sheetView>
  </sheetViews>
  <sheetFormatPr defaultRowHeight="13.5"/>
  <cols>
    <col min="1" max="1" width="22" customWidth="1"/>
    <col min="13" max="13" width="11.75" customWidth="1"/>
  </cols>
  <sheetData>
    <row r="1" spans="1:23">
      <c r="A1" s="3518" t="s">
        <v>3406</v>
      </c>
      <c r="B1" s="3518" t="s">
        <v>3407</v>
      </c>
      <c r="C1" s="3518" t="s">
        <v>3408</v>
      </c>
      <c r="D1" s="3518" t="s">
        <v>3409</v>
      </c>
      <c r="E1" s="3518" t="s">
        <v>3410</v>
      </c>
      <c r="F1" s="3518" t="s">
        <v>3411</v>
      </c>
      <c r="G1" s="3518" t="s">
        <v>3412</v>
      </c>
      <c r="H1" s="3518" t="s">
        <v>3413</v>
      </c>
      <c r="I1" s="3518" t="s">
        <v>3414</v>
      </c>
      <c r="J1" s="3518" t="s">
        <v>3415</v>
      </c>
      <c r="K1" s="3518" t="s">
        <v>3416</v>
      </c>
      <c r="L1" s="3518" t="s">
        <v>3417</v>
      </c>
      <c r="M1" s="3518" t="s">
        <v>3418</v>
      </c>
      <c r="N1" s="3518" t="s">
        <v>3419</v>
      </c>
      <c r="O1" s="3518" t="s">
        <v>3420</v>
      </c>
      <c r="P1" s="3518" t="s">
        <v>3421</v>
      </c>
      <c r="Q1" s="3518" t="s">
        <v>3422</v>
      </c>
      <c r="R1" s="3519" t="s">
        <v>3625</v>
      </c>
      <c r="S1" s="3519" t="s">
        <v>3626</v>
      </c>
      <c r="T1" s="3519" t="s">
        <v>3627</v>
      </c>
    </row>
    <row r="2" spans="1:23" s="3522" customFormat="1">
      <c r="A2" s="3521" t="s">
        <v>3569</v>
      </c>
      <c r="B2" s="3521" t="s">
        <v>3381</v>
      </c>
      <c r="C2" s="3521" t="s">
        <v>3424</v>
      </c>
      <c r="D2" s="3521">
        <v>4800</v>
      </c>
      <c r="E2" s="3521">
        <v>1920</v>
      </c>
      <c r="F2" s="3521" t="s">
        <v>3570</v>
      </c>
      <c r="G2" s="3521" t="s">
        <v>3425</v>
      </c>
      <c r="H2" s="3521" t="s">
        <v>3571</v>
      </c>
      <c r="I2" s="3521">
        <v>0</v>
      </c>
      <c r="J2" s="3521" t="s">
        <v>3572</v>
      </c>
      <c r="K2" s="3521" t="s">
        <v>3572</v>
      </c>
      <c r="L2" s="3521">
        <v>5800</v>
      </c>
      <c r="M2" s="3521">
        <v>5800</v>
      </c>
      <c r="N2" s="3521">
        <v>30208.33</v>
      </c>
      <c r="O2" s="3521">
        <v>0</v>
      </c>
      <c r="P2" s="3521" t="s">
        <v>3573</v>
      </c>
      <c r="Q2" s="3521" t="s">
        <v>3429</v>
      </c>
      <c r="S2" s="3522">
        <f t="shared" ref="S2:S3" si="0">ROUND(R2/$N$18,4)</f>
        <v>0</v>
      </c>
      <c r="T2" s="3522" t="e">
        <f t="shared" ref="T2:T3" si="1">ROUND(N2/S2,0)</f>
        <v>#DIV/0!</v>
      </c>
    </row>
    <row r="3" spans="1:23" s="3520" customFormat="1">
      <c r="A3" s="3519" t="s">
        <v>3574</v>
      </c>
      <c r="B3" s="3519" t="s">
        <v>3381</v>
      </c>
      <c r="C3" s="3519" t="s">
        <v>3424</v>
      </c>
      <c r="D3" s="3519">
        <v>17308.8</v>
      </c>
      <c r="E3" s="3519">
        <v>86544</v>
      </c>
      <c r="F3" s="3519" t="s">
        <v>3575</v>
      </c>
      <c r="G3" s="3519" t="s">
        <v>3425</v>
      </c>
      <c r="H3" s="3519" t="s">
        <v>3426</v>
      </c>
      <c r="I3" s="3519">
        <v>0</v>
      </c>
      <c r="J3" s="3519" t="s">
        <v>3576</v>
      </c>
      <c r="K3" s="3519" t="s">
        <v>3576</v>
      </c>
      <c r="L3" s="3519">
        <v>91400</v>
      </c>
      <c r="M3" s="3519">
        <v>91400</v>
      </c>
      <c r="N3" s="3519">
        <v>10561.1</v>
      </c>
      <c r="O3" s="3519">
        <v>0</v>
      </c>
      <c r="P3" s="3519" t="s">
        <v>3577</v>
      </c>
      <c r="Q3" s="3519" t="s">
        <v>3578</v>
      </c>
      <c r="R3" s="3519">
        <v>0.80720000000000003</v>
      </c>
      <c r="S3" s="3520">
        <f t="shared" si="0"/>
        <v>0.65449999999999997</v>
      </c>
      <c r="T3" s="3520">
        <f t="shared" si="1"/>
        <v>16136</v>
      </c>
    </row>
    <row r="4" spans="1:23" s="3520" customFormat="1">
      <c r="A4" s="3519" t="s">
        <v>3579</v>
      </c>
      <c r="B4" s="3519" t="s">
        <v>3381</v>
      </c>
      <c r="C4" s="3519" t="s">
        <v>3424</v>
      </c>
      <c r="D4" s="3519">
        <v>59169.74</v>
      </c>
      <c r="E4" s="3519">
        <v>130173.43</v>
      </c>
      <c r="F4" s="3519" t="s">
        <v>3580</v>
      </c>
      <c r="G4" s="3519" t="s">
        <v>3425</v>
      </c>
      <c r="H4" s="3519" t="s">
        <v>3426</v>
      </c>
      <c r="I4" s="3519">
        <v>0</v>
      </c>
      <c r="J4" s="3519" t="s">
        <v>3581</v>
      </c>
      <c r="K4" s="3519" t="s">
        <v>3581</v>
      </c>
      <c r="L4" s="3519">
        <v>131600</v>
      </c>
      <c r="M4" s="3519">
        <v>131600</v>
      </c>
      <c r="N4" s="3519">
        <v>10109.59</v>
      </c>
      <c r="O4" s="3519">
        <v>0</v>
      </c>
      <c r="P4" s="3519" t="s">
        <v>3582</v>
      </c>
      <c r="Q4" s="3519" t="s">
        <v>3429</v>
      </c>
      <c r="R4" s="3520">
        <v>0.9768</v>
      </c>
      <c r="S4" s="3520">
        <f>ROUND(R4/$N$18,4)</f>
        <v>0.79200000000000004</v>
      </c>
      <c r="T4" s="3520">
        <f>ROUND(N4/S4,0)</f>
        <v>12765</v>
      </c>
      <c r="U4" s="3526" t="s">
        <v>3630</v>
      </c>
      <c r="V4" s="3520">
        <f>基准地价修正!C24</f>
        <v>0.71989999999999998</v>
      </c>
      <c r="W4" s="3520">
        <f>ROUND(T4*V4,0)</f>
        <v>9190</v>
      </c>
    </row>
    <row r="5" spans="1:23" s="3520" customFormat="1">
      <c r="A5" s="3519" t="s">
        <v>3583</v>
      </c>
      <c r="B5" s="3519" t="s">
        <v>3381</v>
      </c>
      <c r="C5" s="3519" t="s">
        <v>3424</v>
      </c>
      <c r="D5" s="3519">
        <v>12066.9</v>
      </c>
      <c r="E5" s="3519">
        <v>18100.349999999999</v>
      </c>
      <c r="F5" s="3519">
        <v>1.5</v>
      </c>
      <c r="G5" s="3519" t="s">
        <v>3425</v>
      </c>
      <c r="H5" s="3519" t="s">
        <v>3584</v>
      </c>
      <c r="I5" s="3519">
        <v>0</v>
      </c>
      <c r="J5" s="3519" t="s">
        <v>3585</v>
      </c>
      <c r="K5" s="3519" t="s">
        <v>3585</v>
      </c>
      <c r="L5" s="3519">
        <v>9400</v>
      </c>
      <c r="M5" s="3519">
        <v>9400</v>
      </c>
      <c r="N5" s="3519">
        <v>5193.2700000000004</v>
      </c>
      <c r="O5" s="3519">
        <v>0</v>
      </c>
      <c r="P5" s="3519" t="s">
        <v>3582</v>
      </c>
      <c r="Q5" s="3519" t="s">
        <v>3429</v>
      </c>
      <c r="R5" s="3519">
        <v>1.0725</v>
      </c>
      <c r="S5" s="3520">
        <f t="shared" ref="S5:S7" si="2">ROUND(R5/$N$18,4)</f>
        <v>0.86960000000000004</v>
      </c>
      <c r="T5" s="3520">
        <f t="shared" ref="T5:T7" si="3">ROUND(N5/S5,0)</f>
        <v>5972</v>
      </c>
    </row>
    <row r="6" spans="1:23" s="3520" customFormat="1">
      <c r="A6" s="3519" t="s">
        <v>3586</v>
      </c>
      <c r="B6" s="3519" t="s">
        <v>3381</v>
      </c>
      <c r="C6" s="3519" t="s">
        <v>3424</v>
      </c>
      <c r="D6" s="3519">
        <v>15178.6</v>
      </c>
      <c r="E6" s="3519">
        <v>45535.8</v>
      </c>
      <c r="F6" s="3519">
        <v>3</v>
      </c>
      <c r="G6" s="3519" t="s">
        <v>3425</v>
      </c>
      <c r="H6" s="3519" t="s">
        <v>3426</v>
      </c>
      <c r="I6" s="3519">
        <v>0</v>
      </c>
      <c r="J6" s="3519" t="s">
        <v>3587</v>
      </c>
      <c r="K6" s="3519" t="s">
        <v>3587</v>
      </c>
      <c r="L6" s="3519">
        <v>58400</v>
      </c>
      <c r="M6" s="3519">
        <v>58400</v>
      </c>
      <c r="N6" s="3519">
        <v>12825.07</v>
      </c>
      <c r="O6" s="3519">
        <v>0</v>
      </c>
      <c r="P6" s="3519" t="s">
        <v>3588</v>
      </c>
      <c r="Q6" s="3519" t="s">
        <v>3441</v>
      </c>
      <c r="R6" s="3520">
        <f>R8</f>
        <v>0.90629999999999999</v>
      </c>
      <c r="S6" s="3520">
        <f t="shared" si="2"/>
        <v>0.7349</v>
      </c>
      <c r="T6" s="3520">
        <f t="shared" si="3"/>
        <v>17451</v>
      </c>
    </row>
    <row r="7" spans="1:23" s="3520" customFormat="1">
      <c r="A7" s="3519" t="s">
        <v>3589</v>
      </c>
      <c r="B7" s="3519" t="s">
        <v>3381</v>
      </c>
      <c r="C7" s="3519" t="s">
        <v>3424</v>
      </c>
      <c r="D7" s="3519">
        <v>15197.52</v>
      </c>
      <c r="E7" s="3519">
        <v>30395.05</v>
      </c>
      <c r="F7" s="3519">
        <v>2</v>
      </c>
      <c r="G7" s="3519" t="s">
        <v>3425</v>
      </c>
      <c r="H7" s="3519" t="s">
        <v>3590</v>
      </c>
      <c r="I7" s="3519" t="s">
        <v>3591</v>
      </c>
      <c r="J7" s="3519" t="s">
        <v>3592</v>
      </c>
      <c r="K7" s="3519" t="s">
        <v>3592</v>
      </c>
      <c r="L7" s="3519">
        <v>42600</v>
      </c>
      <c r="M7" s="3519">
        <v>42600</v>
      </c>
      <c r="N7" s="3519">
        <v>14015.44</v>
      </c>
      <c r="O7" s="3519">
        <v>0</v>
      </c>
      <c r="P7" s="3519" t="s">
        <v>3593</v>
      </c>
      <c r="Q7" s="3519" t="s">
        <v>3441</v>
      </c>
      <c r="R7" s="3519">
        <v>1</v>
      </c>
      <c r="S7" s="3520">
        <f t="shared" si="2"/>
        <v>0.81079999999999997</v>
      </c>
      <c r="T7" s="3520">
        <f t="shared" si="3"/>
        <v>17286</v>
      </c>
    </row>
    <row r="8" spans="1:23" s="3459" customFormat="1">
      <c r="A8" s="3458" t="s">
        <v>3437</v>
      </c>
      <c r="B8" s="3458" t="s">
        <v>3381</v>
      </c>
      <c r="C8" s="3458" t="s">
        <v>3424</v>
      </c>
      <c r="D8" s="3458">
        <v>25224.15</v>
      </c>
      <c r="E8" s="3458">
        <v>75672.45</v>
      </c>
      <c r="F8" s="3458" t="s">
        <v>3438</v>
      </c>
      <c r="G8" s="3458" t="s">
        <v>3425</v>
      </c>
      <c r="H8" s="3458" t="s">
        <v>3426</v>
      </c>
      <c r="I8" s="3458">
        <v>0</v>
      </c>
      <c r="J8" s="3458" t="s">
        <v>3439</v>
      </c>
      <c r="K8" s="3458" t="s">
        <v>3439</v>
      </c>
      <c r="L8" s="3458">
        <v>60800</v>
      </c>
      <c r="M8" s="3458">
        <v>60800</v>
      </c>
      <c r="N8" s="3458">
        <v>8034.63</v>
      </c>
      <c r="O8" s="3458">
        <v>0</v>
      </c>
      <c r="P8" s="3458" t="s">
        <v>3440</v>
      </c>
      <c r="Q8" s="3458" t="s">
        <v>3441</v>
      </c>
      <c r="R8" s="3459">
        <v>0.90629999999999999</v>
      </c>
      <c r="S8" s="3459">
        <f t="shared" ref="S8:S16" si="4">ROUND(R8/$N$18,4)</f>
        <v>0.7349</v>
      </c>
      <c r="T8" s="3459">
        <f t="shared" ref="T8:T15" si="5">ROUND(N8/S8,0)</f>
        <v>10933</v>
      </c>
      <c r="U8" s="3523" t="s">
        <v>3631</v>
      </c>
      <c r="V8" s="3459">
        <f>V4</f>
        <v>0.71989999999999998</v>
      </c>
      <c r="W8" s="3459">
        <f>ROUND(T8*V8,0)</f>
        <v>7871</v>
      </c>
    </row>
    <row r="9" spans="1:23" s="3520" customFormat="1">
      <c r="A9" s="3519" t="s">
        <v>3594</v>
      </c>
      <c r="B9" s="3519" t="s">
        <v>3381</v>
      </c>
      <c r="C9" s="3519" t="s">
        <v>3424</v>
      </c>
      <c r="D9" s="3519">
        <v>265269.8</v>
      </c>
      <c r="E9" s="3519">
        <v>665975.69999999995</v>
      </c>
      <c r="F9" s="3519" t="s">
        <v>3595</v>
      </c>
      <c r="G9" s="3519" t="s">
        <v>3425</v>
      </c>
      <c r="H9" s="3519" t="s">
        <v>3426</v>
      </c>
      <c r="I9" s="3519">
        <v>0</v>
      </c>
      <c r="J9" s="3519" t="s">
        <v>3596</v>
      </c>
      <c r="K9" s="3519" t="s">
        <v>3596</v>
      </c>
      <c r="L9" s="3519">
        <v>699300</v>
      </c>
      <c r="M9" s="3519">
        <v>699300</v>
      </c>
      <c r="N9" s="3519">
        <v>10500.38</v>
      </c>
      <c r="O9" s="3519">
        <v>0</v>
      </c>
      <c r="P9" s="3519" t="s">
        <v>3597</v>
      </c>
      <c r="Q9" s="3519" t="s">
        <v>3441</v>
      </c>
      <c r="R9" s="3520">
        <f>R8</f>
        <v>0.90629999999999999</v>
      </c>
      <c r="S9" s="3520">
        <f t="shared" si="4"/>
        <v>0.7349</v>
      </c>
      <c r="T9" s="3520">
        <f t="shared" ref="T9" si="6">ROUND(N9/S9,0)</f>
        <v>14288</v>
      </c>
    </row>
    <row r="10" spans="1:23" s="3459" customFormat="1">
      <c r="A10" s="3458" t="s">
        <v>3598</v>
      </c>
      <c r="B10" s="3458" t="s">
        <v>3381</v>
      </c>
      <c r="C10" s="3458" t="s">
        <v>3424</v>
      </c>
      <c r="D10" s="3458">
        <v>42276.47</v>
      </c>
      <c r="E10" s="3458">
        <v>84552.93</v>
      </c>
      <c r="F10" s="3458" t="s">
        <v>3599</v>
      </c>
      <c r="G10" s="3458" t="s">
        <v>3425</v>
      </c>
      <c r="H10" s="3458" t="s">
        <v>3584</v>
      </c>
      <c r="I10" s="3458">
        <v>0</v>
      </c>
      <c r="J10" s="3458" t="s">
        <v>3600</v>
      </c>
      <c r="K10" s="3458" t="s">
        <v>3600</v>
      </c>
      <c r="L10" s="3458">
        <v>95000</v>
      </c>
      <c r="M10" s="3458">
        <v>96500</v>
      </c>
      <c r="N10" s="3458">
        <v>11412.97</v>
      </c>
      <c r="O10" s="3458">
        <v>1.58</v>
      </c>
      <c r="P10" s="3458" t="s">
        <v>3601</v>
      </c>
      <c r="Q10" s="3458" t="s">
        <v>3578</v>
      </c>
      <c r="R10" s="3458">
        <v>1</v>
      </c>
      <c r="S10" s="3459">
        <f t="shared" si="4"/>
        <v>0.81079999999999997</v>
      </c>
      <c r="T10" s="3459">
        <f t="shared" ref="T10" si="7">ROUND(N10/S10,0)</f>
        <v>14076</v>
      </c>
      <c r="V10" s="3459">
        <f>V4</f>
        <v>0.71989999999999998</v>
      </c>
      <c r="W10" s="3459">
        <f>ROUND(T10*V10,0)</f>
        <v>10133</v>
      </c>
    </row>
    <row r="11" spans="1:23" s="3522" customFormat="1">
      <c r="A11" s="3521" t="s">
        <v>3602</v>
      </c>
      <c r="B11" s="3521" t="s">
        <v>3381</v>
      </c>
      <c r="C11" s="3521" t="s">
        <v>3424</v>
      </c>
      <c r="D11" s="3521">
        <v>51736.9</v>
      </c>
      <c r="E11" s="3521">
        <v>81600.05</v>
      </c>
      <c r="F11" s="3521" t="s">
        <v>3603</v>
      </c>
      <c r="G11" s="3521" t="s">
        <v>3425</v>
      </c>
      <c r="H11" s="3521" t="s">
        <v>3426</v>
      </c>
      <c r="I11" s="3521">
        <v>0</v>
      </c>
      <c r="J11" s="3521" t="s">
        <v>3604</v>
      </c>
      <c r="K11" s="3521" t="s">
        <v>3604</v>
      </c>
      <c r="L11" s="3521">
        <v>150000</v>
      </c>
      <c r="M11" s="3521">
        <v>150000</v>
      </c>
      <c r="N11" s="3521">
        <v>18382.34</v>
      </c>
      <c r="O11" s="3521">
        <v>0</v>
      </c>
      <c r="P11" s="3521" t="s">
        <v>3605</v>
      </c>
      <c r="Q11" s="3521" t="s">
        <v>3578</v>
      </c>
      <c r="R11" s="3521">
        <v>1</v>
      </c>
      <c r="S11" s="3522">
        <f t="shared" si="4"/>
        <v>0.81079999999999997</v>
      </c>
      <c r="T11" s="3522">
        <f t="shared" ref="T11" si="8">ROUND(N11/S11,0)</f>
        <v>22672</v>
      </c>
    </row>
    <row r="12" spans="1:23" s="3520" customFormat="1">
      <c r="A12" s="3519" t="s">
        <v>3606</v>
      </c>
      <c r="B12" s="3519" t="s">
        <v>3381</v>
      </c>
      <c r="C12" s="3519" t="s">
        <v>3424</v>
      </c>
      <c r="D12" s="3519">
        <v>113768</v>
      </c>
      <c r="E12" s="3519">
        <v>119494</v>
      </c>
      <c r="F12" s="3519">
        <v>1.05</v>
      </c>
      <c r="G12" s="3519" t="s">
        <v>3425</v>
      </c>
      <c r="H12" s="3519" t="s">
        <v>3426</v>
      </c>
      <c r="I12" s="3519">
        <v>0</v>
      </c>
      <c r="J12" s="3519" t="s">
        <v>3607</v>
      </c>
      <c r="K12" s="3519" t="s">
        <v>3607</v>
      </c>
      <c r="L12" s="3519" t="s">
        <v>633</v>
      </c>
      <c r="M12" s="3519">
        <v>74000</v>
      </c>
      <c r="N12" s="3519">
        <v>6192.78</v>
      </c>
      <c r="O12" s="3519" t="s">
        <v>633</v>
      </c>
      <c r="P12" s="3519" t="s">
        <v>3608</v>
      </c>
      <c r="Q12" s="3519" t="s">
        <v>3578</v>
      </c>
      <c r="R12" s="3520">
        <v>1.2116</v>
      </c>
      <c r="S12" s="3520">
        <f t="shared" si="4"/>
        <v>0.98240000000000005</v>
      </c>
      <c r="T12" s="3520">
        <f t="shared" si="5"/>
        <v>6304</v>
      </c>
    </row>
    <row r="13" spans="1:23" s="3522" customFormat="1">
      <c r="A13" s="3521" t="s">
        <v>3609</v>
      </c>
      <c r="B13" s="3521" t="s">
        <v>3381</v>
      </c>
      <c r="C13" s="3521" t="s">
        <v>3424</v>
      </c>
      <c r="D13" s="3521">
        <v>33071.620000000003</v>
      </c>
      <c r="E13" s="3521">
        <v>122423.9</v>
      </c>
      <c r="F13" s="3521">
        <v>3.7</v>
      </c>
      <c r="G13" s="3521" t="s">
        <v>3425</v>
      </c>
      <c r="H13" s="3521" t="s">
        <v>3610</v>
      </c>
      <c r="I13" s="3521">
        <v>0</v>
      </c>
      <c r="J13" s="3521" t="s">
        <v>3611</v>
      </c>
      <c r="K13" s="3521" t="s">
        <v>3611</v>
      </c>
      <c r="L13" s="3521">
        <v>183000</v>
      </c>
      <c r="M13" s="3521">
        <v>183000</v>
      </c>
      <c r="N13" s="3521">
        <v>14948.06</v>
      </c>
      <c r="O13" s="3521">
        <v>0</v>
      </c>
      <c r="P13" s="3521" t="s">
        <v>3612</v>
      </c>
      <c r="Q13" s="3521" t="s">
        <v>3441</v>
      </c>
      <c r="R13" s="3521">
        <v>0.86470000000000002</v>
      </c>
      <c r="S13" s="3522">
        <f t="shared" si="4"/>
        <v>0.70109999999999995</v>
      </c>
      <c r="T13" s="3522">
        <f t="shared" ref="T13" si="9">ROUND(N13/S13,0)</f>
        <v>21321</v>
      </c>
    </row>
    <row r="14" spans="1:23" s="3459" customFormat="1">
      <c r="A14" s="3458" t="s">
        <v>3613</v>
      </c>
      <c r="B14" s="3458" t="s">
        <v>3381</v>
      </c>
      <c r="C14" s="3458" t="s">
        <v>3424</v>
      </c>
      <c r="D14" s="3458">
        <v>18015.060000000001</v>
      </c>
      <c r="E14" s="3458">
        <v>54046</v>
      </c>
      <c r="F14" s="3458">
        <v>3</v>
      </c>
      <c r="G14" s="3458" t="s">
        <v>3425</v>
      </c>
      <c r="H14" s="3458" t="s">
        <v>3584</v>
      </c>
      <c r="I14" s="3458">
        <v>0</v>
      </c>
      <c r="J14" s="3458" t="s">
        <v>3614</v>
      </c>
      <c r="K14" s="3458" t="s">
        <v>3614</v>
      </c>
      <c r="L14" s="3458">
        <v>60000</v>
      </c>
      <c r="M14" s="3458">
        <v>60000</v>
      </c>
      <c r="N14" s="3458">
        <v>11101.65</v>
      </c>
      <c r="O14" s="3458">
        <v>0</v>
      </c>
      <c r="P14" s="3458" t="s">
        <v>3615</v>
      </c>
      <c r="Q14" s="3458" t="s">
        <v>3441</v>
      </c>
      <c r="R14" s="3459">
        <f>R8</f>
        <v>0.90629999999999999</v>
      </c>
      <c r="S14" s="3459">
        <f t="shared" si="4"/>
        <v>0.7349</v>
      </c>
      <c r="T14" s="3459">
        <f t="shared" ref="T14" si="10">ROUND(N14/S14,0)</f>
        <v>15106</v>
      </c>
      <c r="U14" s="3523" t="s">
        <v>3631</v>
      </c>
      <c r="V14" s="3459">
        <f>V4</f>
        <v>0.71989999999999998</v>
      </c>
      <c r="W14" s="3459">
        <f>ROUND(T14*V14,0)</f>
        <v>10875</v>
      </c>
    </row>
    <row r="15" spans="1:23" s="3520" customFormat="1">
      <c r="A15" s="3519" t="s">
        <v>3616</v>
      </c>
      <c r="B15" s="3519" t="s">
        <v>3381</v>
      </c>
      <c r="C15" s="3519" t="s">
        <v>3424</v>
      </c>
      <c r="D15" s="3519">
        <v>5237.16</v>
      </c>
      <c r="E15" s="3519">
        <v>10474</v>
      </c>
      <c r="F15" s="3519">
        <v>2</v>
      </c>
      <c r="G15" s="3519" t="s">
        <v>3425</v>
      </c>
      <c r="H15" s="3519" t="s">
        <v>3617</v>
      </c>
      <c r="I15" s="3519">
        <v>0</v>
      </c>
      <c r="J15" s="3519" t="s">
        <v>3618</v>
      </c>
      <c r="K15" s="3519" t="s">
        <v>3618</v>
      </c>
      <c r="L15" s="3519">
        <v>13000</v>
      </c>
      <c r="M15" s="3519">
        <v>13700</v>
      </c>
      <c r="N15" s="3519">
        <v>13080.01</v>
      </c>
      <c r="O15" s="3519">
        <v>5.38</v>
      </c>
      <c r="P15" s="3519" t="s">
        <v>3619</v>
      </c>
      <c r="Q15" s="3519" t="s">
        <v>3578</v>
      </c>
      <c r="R15" s="3520">
        <v>1</v>
      </c>
      <c r="S15" s="3520">
        <f t="shared" si="4"/>
        <v>0.81079999999999997</v>
      </c>
      <c r="T15" s="3520">
        <f t="shared" si="5"/>
        <v>16132</v>
      </c>
    </row>
    <row r="16" spans="1:23" s="3522" customFormat="1">
      <c r="A16" s="3521" t="s">
        <v>3620</v>
      </c>
      <c r="B16" s="3521" t="s">
        <v>3381</v>
      </c>
      <c r="C16" s="3521" t="s">
        <v>3424</v>
      </c>
      <c r="D16" s="3521">
        <v>66237.2</v>
      </c>
      <c r="E16" s="3521">
        <v>264058.7</v>
      </c>
      <c r="F16" s="3521">
        <v>3.99</v>
      </c>
      <c r="G16" s="3521" t="s">
        <v>3425</v>
      </c>
      <c r="H16" s="3521" t="s">
        <v>3610</v>
      </c>
      <c r="I16" s="3521">
        <v>0</v>
      </c>
      <c r="J16" s="3521" t="s">
        <v>3621</v>
      </c>
      <c r="K16" s="3521" t="s">
        <v>3621</v>
      </c>
      <c r="L16" s="3521">
        <v>385000</v>
      </c>
      <c r="M16" s="3521">
        <v>385000</v>
      </c>
      <c r="N16" s="3521">
        <v>14580.09</v>
      </c>
      <c r="O16" s="3521">
        <v>0</v>
      </c>
      <c r="P16" s="3521" t="s">
        <v>3622</v>
      </c>
      <c r="Q16" s="3521" t="s">
        <v>3578</v>
      </c>
      <c r="R16" s="3522">
        <v>0.85040000000000004</v>
      </c>
      <c r="S16" s="3522">
        <f t="shared" si="4"/>
        <v>0.6895</v>
      </c>
      <c r="T16" s="3522">
        <f t="shared" ref="T16" si="11">ROUND(N16/S16,0)</f>
        <v>21146</v>
      </c>
    </row>
    <row r="18" spans="13:14">
      <c r="M18" s="3461" t="s">
        <v>3623</v>
      </c>
      <c r="N18" s="3519">
        <v>1.2333000000000001</v>
      </c>
    </row>
  </sheetData>
  <phoneticPr fontId="134" type="noConversion"/>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47" sqref="J47:J4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c r="D1" s="1360" t="s">
        <v>43</v>
      </c>
      <c r="E1" s="1361" t="s">
        <v>678</v>
      </c>
      <c r="F1" s="1061">
        <f ca="1">J53</f>
        <v>0</v>
      </c>
      <c r="G1" s="1376">
        <f>MATCH(C1,'数据-取费表'!A6:A16,0)+5</f>
        <v>7</v>
      </c>
      <c r="H1" s="2689"/>
      <c r="I1" s="2690"/>
      <c r="J1" s="2690"/>
      <c r="K1" s="2691"/>
      <c r="L1" s="2690"/>
      <c r="M1" s="2690"/>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878</v>
      </c>
      <c r="B2" s="3421" t="e">
        <f ca="1">ROUND(D2/10000,4)</f>
        <v>#DIV/0!</v>
      </c>
      <c r="C2" s="1385" t="s">
        <v>879</v>
      </c>
      <c r="D2" s="1469" t="e">
        <f ca="1">C40+J29+L46</f>
        <v>#DIV/0!</v>
      </c>
      <c r="E2" s="1386" t="s">
        <v>880</v>
      </c>
      <c r="F2" s="1387"/>
      <c r="G2" s="2703"/>
      <c r="H2" s="2692"/>
      <c r="I2" s="2692"/>
      <c r="J2" s="2692"/>
      <c r="K2" s="2693"/>
      <c r="L2" s="2692"/>
      <c r="M2" s="2692"/>
    </row>
    <row r="3" spans="1:37" ht="18" customHeight="1" thickBot="1">
      <c r="A3" s="1388" t="s">
        <v>881</v>
      </c>
      <c r="B3" s="1389">
        <f ca="1">IF(ISERROR(D2/F43),0,ROUND(D2/F43,0))</f>
        <v>0</v>
      </c>
      <c r="C3" s="1385" t="s">
        <v>882</v>
      </c>
      <c r="D3" s="1385"/>
      <c r="E3" s="1386"/>
      <c r="F3" s="1387"/>
      <c r="G3" s="2703"/>
      <c r="H3" s="682" t="s">
        <v>876</v>
      </c>
      <c r="I3" s="1380"/>
      <c r="J3" s="1380"/>
      <c r="K3" s="1381"/>
      <c r="L3" s="1380"/>
      <c r="M3" s="1380"/>
    </row>
    <row r="4" spans="1:37" ht="18" customHeight="1">
      <c r="A4" s="295" t="s">
        <v>883</v>
      </c>
      <c r="B4" s="296" t="s">
        <v>884</v>
      </c>
      <c r="C4" s="296" t="s">
        <v>885</v>
      </c>
      <c r="D4" s="296" t="s">
        <v>886</v>
      </c>
      <c r="E4" s="297" t="s">
        <v>887</v>
      </c>
      <c r="F4" s="298"/>
      <c r="G4" s="1382"/>
      <c r="H4" s="295" t="s">
        <v>883</v>
      </c>
      <c r="I4" s="296" t="s">
        <v>884</v>
      </c>
      <c r="J4" s="296" t="s">
        <v>885</v>
      </c>
      <c r="K4" s="296" t="s">
        <v>886</v>
      </c>
      <c r="L4" s="297" t="s">
        <v>887</v>
      </c>
      <c r="M4" s="298"/>
    </row>
    <row r="5" spans="1:37" ht="18" customHeight="1">
      <c r="A5" s="299">
        <v>1</v>
      </c>
      <c r="B5" s="300" t="s">
        <v>888</v>
      </c>
      <c r="C5" s="1069">
        <f ca="1">C6+C10+C12</f>
        <v>0</v>
      </c>
      <c r="D5" s="1362" t="s">
        <v>889</v>
      </c>
      <c r="E5" s="1070"/>
      <c r="F5" s="1071"/>
      <c r="G5" s="1382"/>
      <c r="H5" s="299">
        <v>1</v>
      </c>
      <c r="I5" s="300" t="s">
        <v>888</v>
      </c>
      <c r="J5" s="1069">
        <f ca="1">J6+J10+J12</f>
        <v>0</v>
      </c>
      <c r="K5" s="1362" t="s">
        <v>889</v>
      </c>
      <c r="L5" s="1070"/>
      <c r="M5" s="1071"/>
    </row>
    <row r="6" spans="1:37" ht="18" customHeight="1">
      <c r="A6" s="1068" t="s">
        <v>398</v>
      </c>
      <c r="B6" s="3765" t="s">
        <v>694</v>
      </c>
      <c r="C6" s="1073">
        <f ca="1">ROUND(F6*F8*F7*(1-F9),0)</f>
        <v>0</v>
      </c>
      <c r="D6" s="155" t="s">
        <v>2104</v>
      </c>
      <c r="E6" s="302" t="s">
        <v>696</v>
      </c>
      <c r="F6" s="303">
        <f ca="1">INDIRECT("'数据-取费表'!u"&amp;$G$1)</f>
        <v>0</v>
      </c>
      <c r="G6" s="1382"/>
      <c r="H6" s="1068" t="s">
        <v>398</v>
      </c>
      <c r="I6" s="3765" t="s">
        <v>694</v>
      </c>
      <c r="J6" s="301">
        <f ca="1">ROUND(M6*M8*M7*(1-M9),0)</f>
        <v>0</v>
      </c>
      <c r="K6" s="1374" t="s">
        <v>2105</v>
      </c>
      <c r="L6" s="302" t="s">
        <v>696</v>
      </c>
      <c r="M6" s="303">
        <f ca="1">INDIRECT("'数据-取费表'!z"&amp;$G$1)</f>
        <v>0</v>
      </c>
    </row>
    <row r="7" spans="1:37" ht="18" customHeight="1">
      <c r="A7" s="1072"/>
      <c r="B7" s="3766"/>
      <c r="C7" s="1074"/>
      <c r="D7" s="307"/>
      <c r="E7" s="1075" t="s">
        <v>697</v>
      </c>
      <c r="F7" s="303">
        <f ca="1">IF(INDIRECT("'数据-取费表'!ah"&amp;$G$1)="",INDIRECT("'数据-取费表'!k"&amp;$G$1),INDIRECT("'数据-取费表'!ah"&amp;$G$1))</f>
        <v>0</v>
      </c>
      <c r="G7" s="1382"/>
      <c r="H7" s="304"/>
      <c r="I7" s="3766"/>
      <c r="J7" s="306"/>
      <c r="K7" s="307"/>
      <c r="L7" s="302" t="s">
        <v>697</v>
      </c>
      <c r="M7" s="303">
        <f ca="1">F7</f>
        <v>0</v>
      </c>
    </row>
    <row r="8" spans="1:37" ht="18" customHeight="1">
      <c r="A8" s="304"/>
      <c r="B8" s="3766"/>
      <c r="C8" s="306"/>
      <c r="D8" s="307"/>
      <c r="E8" s="302" t="s">
        <v>698</v>
      </c>
      <c r="F8" s="303">
        <f ca="1">INDIRECT("'数据-取费表'!ai"&amp;$G$1)</f>
        <v>0</v>
      </c>
      <c r="G8" s="1382"/>
      <c r="H8" s="304"/>
      <c r="I8" s="3766"/>
      <c r="J8" s="306"/>
      <c r="K8" s="307"/>
      <c r="L8" s="302" t="s">
        <v>698</v>
      </c>
      <c r="M8" s="303">
        <f ca="1">INDIRECT("'数据-取费表'!ai"&amp;$G$1)</f>
        <v>0</v>
      </c>
    </row>
    <row r="9" spans="1:37" ht="18" customHeight="1">
      <c r="A9" s="304"/>
      <c r="B9" s="3767"/>
      <c r="C9" s="306"/>
      <c r="D9" s="307"/>
      <c r="E9" s="302" t="s">
        <v>699</v>
      </c>
      <c r="F9" s="312">
        <f ca="1">INDIRECT("'数据-取费表'!w"&amp;$G$1)</f>
        <v>0</v>
      </c>
      <c r="G9" s="1382"/>
      <c r="H9" s="304"/>
      <c r="I9" s="3767"/>
      <c r="J9" s="306"/>
      <c r="K9" s="307"/>
      <c r="L9" s="313" t="s">
        <v>699</v>
      </c>
      <c r="M9" s="314">
        <f ca="1">INDIRECT("'数据-取费表'!ab"&amp;$G$1)</f>
        <v>0</v>
      </c>
    </row>
    <row r="10" spans="1:37" ht="18" customHeight="1">
      <c r="A10" s="1068" t="s">
        <v>402</v>
      </c>
      <c r="B10" s="1363" t="s">
        <v>700</v>
      </c>
      <c r="C10" s="316">
        <f ca="1">ROUND(IF(F10="押一",C6/12*F11,IF(F10="押二",C6/12*2*F11,IF(F10="押三",C6/12*3*F11,C11*F11))),0)</f>
        <v>0</v>
      </c>
      <c r="D10" s="1364" t="s">
        <v>2114</v>
      </c>
      <c r="E10" s="313" t="s">
        <v>701</v>
      </c>
      <c r="F10" s="1115"/>
      <c r="G10" s="1382"/>
      <c r="H10" s="1068" t="s">
        <v>402</v>
      </c>
      <c r="I10" s="1363" t="s">
        <v>700</v>
      </c>
      <c r="J10" s="301">
        <f ca="1">ROUND(IF(M10="押一",J6/12*M11,IF(M10="押二",J6/12*2*M11,IF(M10="押三",J6/12*3*M11,J11*M11))),0)</f>
        <v>0</v>
      </c>
      <c r="K10" s="1375" t="s">
        <v>2116</v>
      </c>
      <c r="L10" s="313" t="s">
        <v>701</v>
      </c>
      <c r="M10" s="1115"/>
    </row>
    <row r="11" spans="1:37" ht="18" customHeight="1">
      <c r="A11" s="308"/>
      <c r="B11" s="1365" t="s">
        <v>890</v>
      </c>
      <c r="C11" s="958"/>
      <c r="D11" s="307"/>
      <c r="E11" s="313" t="s">
        <v>702</v>
      </c>
      <c r="F11" s="314">
        <f ca="1">'数据-取费表'!B39</f>
        <v>1.4999999999999999E-2</v>
      </c>
      <c r="G11" s="1382"/>
      <c r="H11" s="1076"/>
      <c r="I11" s="1365" t="s">
        <v>891</v>
      </c>
      <c r="J11" s="958"/>
      <c r="K11" s="683"/>
      <c r="L11" s="313" t="s">
        <v>702</v>
      </c>
      <c r="M11" s="861">
        <f ca="1">'数据-取费表'!B39</f>
        <v>1.4999999999999999E-2</v>
      </c>
    </row>
    <row r="12" spans="1:37" ht="18" customHeight="1" thickBot="1">
      <c r="A12" s="1082" t="s">
        <v>437</v>
      </c>
      <c r="B12" s="1367" t="s">
        <v>703</v>
      </c>
      <c r="C12" s="1083"/>
      <c r="D12" s="1084"/>
      <c r="E12" s="1089"/>
      <c r="F12" s="1085"/>
      <c r="G12" s="1382"/>
      <c r="H12" s="1082" t="s">
        <v>437</v>
      </c>
      <c r="I12" s="1367" t="s">
        <v>703</v>
      </c>
      <c r="J12" s="1083"/>
      <c r="K12" s="1097"/>
      <c r="L12" s="1089"/>
      <c r="M12" s="1098"/>
    </row>
    <row r="13" spans="1:37" ht="18" customHeight="1" thickTop="1">
      <c r="A13" s="1078">
        <v>2</v>
      </c>
      <c r="B13" s="1079" t="s">
        <v>704</v>
      </c>
      <c r="C13" s="310">
        <f ca="1">ROUND(C29*F13,0)</f>
        <v>0</v>
      </c>
      <c r="D13" s="1080" t="s">
        <v>705</v>
      </c>
      <c r="E13" s="1080" t="s">
        <v>706</v>
      </c>
      <c r="F13" s="1081">
        <f ca="1">INDIRECT("'数据-取费表'!y"&amp;$G$1)</f>
        <v>0</v>
      </c>
      <c r="G13" s="1382"/>
      <c r="H13" s="1078">
        <v>2</v>
      </c>
      <c r="I13" s="1079" t="s">
        <v>704</v>
      </c>
      <c r="J13" s="1067">
        <f ca="1">ROUND(J14*J15,0)</f>
        <v>0</v>
      </c>
      <c r="K13" s="1086" t="s">
        <v>705</v>
      </c>
      <c r="L13" s="1390"/>
      <c r="M13" s="1391"/>
    </row>
    <row r="14" spans="1:37" ht="18" customHeight="1">
      <c r="A14" s="981" t="s">
        <v>397</v>
      </c>
      <c r="B14" s="302" t="s">
        <v>707</v>
      </c>
      <c r="C14" s="318">
        <f ca="1">ROUND(INDIRECT("'数据-取费表'!l"&amp;$G$1)*F43+'数据-取费表'!L14*INDIRECT("'数据-取费表'!S"&amp;$G$1),0)</f>
        <v>0</v>
      </c>
      <c r="D14" s="1343" t="s">
        <v>708</v>
      </c>
      <c r="E14" s="1340"/>
      <c r="F14" s="319"/>
      <c r="G14" s="1382"/>
      <c r="H14" s="981" t="s">
        <v>398</v>
      </c>
      <c r="I14" s="302" t="s">
        <v>709</v>
      </c>
      <c r="J14" s="21">
        <f ca="1">C29</f>
        <v>0</v>
      </c>
      <c r="K14" s="12"/>
      <c r="L14" s="806"/>
      <c r="M14" s="807"/>
    </row>
    <row r="15" spans="1:37" s="1395" customFormat="1" ht="18" customHeight="1" thickBot="1">
      <c r="A15" s="981" t="s">
        <v>399</v>
      </c>
      <c r="B15" s="302" t="s">
        <v>710</v>
      </c>
      <c r="C15" s="21">
        <f ca="1">ROUND(C14*F15,0)</f>
        <v>0</v>
      </c>
      <c r="D15" s="320" t="s">
        <v>711</v>
      </c>
      <c r="E15" s="320" t="s">
        <v>712</v>
      </c>
      <c r="F15" s="321">
        <f>'数据-取费表'!B33</f>
        <v>0.03</v>
      </c>
      <c r="G15" s="1394"/>
      <c r="H15" s="1088" t="s">
        <v>402</v>
      </c>
      <c r="I15" s="1089" t="s">
        <v>706</v>
      </c>
      <c r="J15" s="1098">
        <f ca="1">INDIRECT("'数据-取费表'!ad"&amp;$G$1)</f>
        <v>0</v>
      </c>
      <c r="K15" s="1099"/>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ROUND(INDIRECT("'数据-取费表'!l"&amp;$G$1)*F43*F16,0)</f>
        <v>0</v>
      </c>
      <c r="D16" s="302" t="s">
        <v>711</v>
      </c>
      <c r="E16" s="302" t="s">
        <v>712</v>
      </c>
      <c r="F16" s="322">
        <f ca="1">IF(INDIRECT("'数据-取费表'!c"&amp;$G$1)="住宅",'数据-取费表'!B34,0)</f>
        <v>0</v>
      </c>
      <c r="G16" s="1382"/>
      <c r="H16" s="1078" t="s">
        <v>393</v>
      </c>
      <c r="I16" s="1079" t="s">
        <v>714</v>
      </c>
      <c r="J16" s="310">
        <f ca="1">ROUND(J17+J22+J23+J24,0)</f>
        <v>0</v>
      </c>
      <c r="K16" s="1086" t="s">
        <v>715</v>
      </c>
      <c r="L16" s="1087"/>
      <c r="M16" s="1071"/>
    </row>
    <row r="17" spans="1:37" s="1395" customFormat="1" ht="18" customHeight="1">
      <c r="A17" s="981" t="s">
        <v>681</v>
      </c>
      <c r="B17" s="302" t="s">
        <v>716</v>
      </c>
      <c r="C17" s="21">
        <f ca="1">ROUND(F17*(F43+INDIRECT("'数据-取费表'!S"&amp;$G$1)),0)</f>
        <v>0</v>
      </c>
      <c r="D17" s="302" t="s">
        <v>717</v>
      </c>
      <c r="E17" s="302" t="s">
        <v>718</v>
      </c>
      <c r="F17" s="23">
        <f>'数据-取费表'!B35</f>
        <v>200</v>
      </c>
      <c r="G17" s="1394"/>
      <c r="H17" s="981" t="s">
        <v>398</v>
      </c>
      <c r="I17" s="302" t="s">
        <v>719</v>
      </c>
      <c r="J17" s="2313">
        <f ca="1">ROUND(IF(AND(项目基本情况!B11="自然人",项目基本情况!B10="北京市"),J6*M17/(1+'数据-取费表'!C42),J18+J19+J20),0)</f>
        <v>0</v>
      </c>
      <c r="K17" s="1343" t="s">
        <v>720</v>
      </c>
      <c r="L17" s="1342" t="s">
        <v>721</v>
      </c>
      <c r="M17" s="2312"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0</v>
      </c>
      <c r="D18" s="302" t="s">
        <v>711</v>
      </c>
      <c r="E18" s="302" t="s">
        <v>712</v>
      </c>
      <c r="F18" s="322">
        <f>'数据-取费表'!B36</f>
        <v>1.4999999999999999E-2</v>
      </c>
      <c r="G18" s="1394"/>
      <c r="H18" s="981" t="s">
        <v>397</v>
      </c>
      <c r="I18" s="302" t="s">
        <v>723</v>
      </c>
      <c r="J18" s="21">
        <f ca="1">ROUND(J6*M18/(1+'数据-取费表'!C42),0)</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0</v>
      </c>
      <c r="D19" s="131" t="s">
        <v>726</v>
      </c>
      <c r="E19" s="1358"/>
      <c r="F19" s="23"/>
      <c r="G19" s="1382"/>
      <c r="H19" s="981" t="s">
        <v>399</v>
      </c>
      <c r="I19" s="302" t="s">
        <v>727</v>
      </c>
      <c r="J19" s="21">
        <f ca="1">IF(K19="按租金收入计税",ROUND(J6*M19/(1+'数据-取费表'!C42),0),ROUND(C29*M19*0.7,0))</f>
        <v>0</v>
      </c>
      <c r="K19" s="1368" t="s">
        <v>3337</v>
      </c>
      <c r="L19" s="302" t="s">
        <v>712</v>
      </c>
      <c r="M19" s="322">
        <f>IF(K19="按租金收入计税",'数据-取费表'!B51,'数据-取费表'!B50)</f>
        <v>0.12</v>
      </c>
    </row>
    <row r="20" spans="1:37" s="1395" customFormat="1" ht="18" customHeight="1">
      <c r="A20" s="981" t="s">
        <v>402</v>
      </c>
      <c r="B20" s="302" t="s">
        <v>728</v>
      </c>
      <c r="C20" s="21">
        <f ca="1">ROUND(C19*F20,0)</f>
        <v>0</v>
      </c>
      <c r="D20" s="323" t="s">
        <v>729</v>
      </c>
      <c r="E20" s="302" t="s">
        <v>712</v>
      </c>
      <c r="F20" s="322">
        <f>'数据-取费表'!B37</f>
        <v>0.02</v>
      </c>
      <c r="G20" s="1394"/>
      <c r="H20" s="981" t="s">
        <v>680</v>
      </c>
      <c r="I20" s="155" t="s">
        <v>730</v>
      </c>
      <c r="J20" s="22">
        <f ca="1">ROUND(M20*M21,0)</f>
        <v>0</v>
      </c>
      <c r="K20" s="324" t="s">
        <v>731</v>
      </c>
      <c r="L20" s="302" t="s">
        <v>732</v>
      </c>
      <c r="M20" s="325">
        <f>'数据-取费表'!B52</f>
        <v>1.5</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0</v>
      </c>
      <c r="D21" s="323"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8"/>
      <c r="F22" s="23"/>
      <c r="G22" s="1382"/>
      <c r="H22" s="981" t="s">
        <v>402</v>
      </c>
      <c r="I22" s="302" t="s">
        <v>738</v>
      </c>
      <c r="J22" s="21">
        <f ca="1">ROUND(J14*M22,0)</f>
        <v>0</v>
      </c>
      <c r="K22" s="1342" t="s">
        <v>739</v>
      </c>
      <c r="L22" s="302" t="s">
        <v>712</v>
      </c>
      <c r="M22" s="328">
        <f ca="1">INDIRECT("'数据-取费表'!Ak"&amp;$G$1)</f>
        <v>0</v>
      </c>
    </row>
    <row r="23" spans="1:37" s="1395"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ROUND(J13*M23,0)</f>
        <v>0</v>
      </c>
      <c r="K23" s="1342"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4"/>
      <c r="H24" s="1088" t="s">
        <v>684</v>
      </c>
      <c r="I24" s="1089" t="s">
        <v>728</v>
      </c>
      <c r="J24" s="1090">
        <f ca="1">ROUND(J5*M24,0)</f>
        <v>0</v>
      </c>
      <c r="K24" s="1091" t="s">
        <v>748</v>
      </c>
      <c r="L24" s="1089" t="s">
        <v>744</v>
      </c>
      <c r="M24" s="1085">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18" customHeight="1" thickTop="1">
      <c r="A25" s="981" t="s">
        <v>749</v>
      </c>
      <c r="B25" s="302" t="s">
        <v>750</v>
      </c>
      <c r="C25" s="21"/>
      <c r="D25" s="131" t="s">
        <v>751</v>
      </c>
      <c r="E25" s="1358"/>
      <c r="F25" s="23"/>
      <c r="G25" s="1382"/>
      <c r="H25" s="1078" t="s">
        <v>394</v>
      </c>
      <c r="I25" s="1093" t="s">
        <v>752</v>
      </c>
      <c r="J25" s="310">
        <f ca="1">J5-J16</f>
        <v>0</v>
      </c>
      <c r="K25" s="1094" t="s">
        <v>753</v>
      </c>
      <c r="L25" s="1095"/>
      <c r="M25" s="1096"/>
    </row>
    <row r="26" spans="1:37" ht="18" customHeight="1">
      <c r="A26" s="981" t="s">
        <v>397</v>
      </c>
      <c r="B26" s="302" t="s">
        <v>754</v>
      </c>
      <c r="C26" s="21">
        <f ca="1">ROUND((C19+C20)*F26,0)</f>
        <v>0</v>
      </c>
      <c r="D26" s="323"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323" t="s">
        <v>761</v>
      </c>
      <c r="E27" s="320"/>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8" t="s">
        <v>401</v>
      </c>
      <c r="B29" s="1089" t="s">
        <v>767</v>
      </c>
      <c r="C29" s="1090">
        <f ca="1">ROUND((C19+C20+C23+C26)/(1-F21-C24-C27-C28),0)</f>
        <v>0</v>
      </c>
      <c r="D29" s="1091"/>
      <c r="E29" s="1089"/>
      <c r="F29" s="1092"/>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8" t="s">
        <v>393</v>
      </c>
      <c r="B30" s="1079" t="s">
        <v>714</v>
      </c>
      <c r="C30" s="310">
        <f ca="1">ROUND(C31+C36+C37+C38,0)</f>
        <v>0</v>
      </c>
      <c r="D30" s="1086" t="s">
        <v>715</v>
      </c>
      <c r="E30" s="1087"/>
      <c r="F30" s="1071"/>
      <c r="G30" s="1382"/>
      <c r="H30" s="2694"/>
      <c r="I30" s="1396"/>
      <c r="J30" s="1397"/>
      <c r="K30" s="2472"/>
      <c r="L30" s="2695"/>
      <c r="M30" s="2696"/>
    </row>
    <row r="31" spans="1:37" ht="18" customHeight="1">
      <c r="A31" s="981" t="s">
        <v>398</v>
      </c>
      <c r="B31" s="302" t="s">
        <v>719</v>
      </c>
      <c r="C31" s="2313">
        <f ca="1">ROUND(IF(AND(项目基本情况!B11="自然人",项目基本情况!B10="北京市"),C6*F31/(1+'数据-取费表'!C42),C32+C33+C34),0)</f>
        <v>0</v>
      </c>
      <c r="D31" s="1343" t="s">
        <v>720</v>
      </c>
      <c r="E31" s="1342" t="s">
        <v>770</v>
      </c>
      <c r="F31" s="2312" t="str">
        <f>IF(项目基本情况!B11="企业","——",IF(M47="住宅",IF(F6*F7*F8/12/(1+'数据-取费表'!F30)&gt;100000,4%,2.5%),IF(F6*F7*F8/12/(1+'数据-取费表'!F30)&gt;100000,12%,7%)))</f>
        <v>——</v>
      </c>
      <c r="G31" s="1382"/>
      <c r="H31" s="2804" t="s">
        <v>2308</v>
      </c>
      <c r="I31" s="1396"/>
      <c r="J31" s="1397"/>
      <c r="K31" s="2472"/>
      <c r="L31" s="2695"/>
      <c r="M31" s="2696"/>
    </row>
    <row r="32" spans="1:37" ht="18" customHeight="1">
      <c r="A32" s="981" t="s">
        <v>397</v>
      </c>
      <c r="B32" s="302" t="s">
        <v>723</v>
      </c>
      <c r="C32" s="21">
        <f ca="1">IF(项目基本情况!B11="自然人","——",ROUND(C6*F32/(1+'数据-取费表'!C42),0))</f>
        <v>0</v>
      </c>
      <c r="D32" s="1342" t="s">
        <v>724</v>
      </c>
      <c r="E32" s="302" t="s">
        <v>712</v>
      </c>
      <c r="F32" s="331">
        <f>'数据-取费表'!B41</f>
        <v>5.5000000000000007E-2</v>
      </c>
      <c r="G32" s="1382"/>
      <c r="H32" s="2694"/>
      <c r="I32" s="1396"/>
      <c r="J32" s="1397"/>
      <c r="K32" s="2472"/>
      <c r="L32" s="2695"/>
      <c r="M32" s="2696"/>
    </row>
    <row r="33" spans="1:18" ht="18" customHeight="1">
      <c r="A33" s="981" t="s">
        <v>399</v>
      </c>
      <c r="B33" s="302" t="s">
        <v>727</v>
      </c>
      <c r="C33" s="21">
        <f ca="1">IF(项目基本情况!B11="自然人","——",IF(D33="按租金收入计税",ROUND(C6*F33/(1+'数据-取费表'!C42),0),IF(D33="按房产原值计税",ROUND(C29*F33*0.7,0),INDIRECT("'数据-取费表'!Aj"&amp;$G$1))))</f>
        <v>0</v>
      </c>
      <c r="D33" s="1368" t="s">
        <v>3337</v>
      </c>
      <c r="E33" s="302" t="s">
        <v>712</v>
      </c>
      <c r="F33" s="322">
        <f>IF(D33="按票据","——",IF(D33="按租金收入计税",'数据-取费表'!B51,'数据-取费表'!B50))</f>
        <v>0.12</v>
      </c>
      <c r="G33" s="1382"/>
      <c r="H33" s="2697"/>
      <c r="I33" s="1396"/>
      <c r="J33" s="1397"/>
      <c r="K33" s="2698"/>
      <c r="L33" s="2697"/>
      <c r="M33" s="2697"/>
    </row>
    <row r="34" spans="1:18" ht="18" customHeight="1">
      <c r="A34" s="1068" t="s">
        <v>680</v>
      </c>
      <c r="B34" s="155" t="s">
        <v>730</v>
      </c>
      <c r="C34" s="22">
        <f ca="1">IF(项目基本情况!B11="自然人","——",ROUND(F34*F35,0))</f>
        <v>0</v>
      </c>
      <c r="D34" s="324" t="s">
        <v>731</v>
      </c>
      <c r="E34" s="302" t="s">
        <v>732</v>
      </c>
      <c r="F34" s="325">
        <f>'数据-取费表'!B52</f>
        <v>1.5</v>
      </c>
      <c r="G34" s="1382"/>
      <c r="H34" s="2694"/>
      <c r="I34" s="1396"/>
      <c r="J34" s="1397"/>
      <c r="K34" s="2699"/>
      <c r="L34" s="2700"/>
      <c r="M34" s="2700"/>
    </row>
    <row r="35" spans="1:18" ht="18" customHeight="1">
      <c r="A35" s="1102"/>
      <c r="B35" s="1100"/>
      <c r="C35" s="26"/>
      <c r="D35" s="327"/>
      <c r="E35" s="302" t="s">
        <v>736</v>
      </c>
      <c r="F35" s="303">
        <f ca="1">INDIRECT("'数据-取费表'!r"&amp;$G$1)</f>
        <v>0</v>
      </c>
      <c r="G35" s="1382"/>
      <c r="H35" s="2694"/>
      <c r="I35" s="1396"/>
      <c r="J35" s="1397"/>
      <c r="K35" s="2698"/>
      <c r="L35" s="2697"/>
      <c r="M35" s="2697"/>
    </row>
    <row r="36" spans="1:18" ht="18" customHeight="1">
      <c r="A36" s="1101" t="s">
        <v>402</v>
      </c>
      <c r="B36" s="302" t="s">
        <v>738</v>
      </c>
      <c r="C36" s="21">
        <f ca="1">ROUND(C29*F36,0)</f>
        <v>0</v>
      </c>
      <c r="D36" s="1342" t="s">
        <v>771</v>
      </c>
      <c r="E36" s="302" t="s">
        <v>712</v>
      </c>
      <c r="F36" s="328">
        <f ca="1">INDIRECT("'数据-取费表'!Ak"&amp;$G$1)</f>
        <v>0</v>
      </c>
      <c r="G36" s="1382"/>
      <c r="H36" s="2697"/>
      <c r="I36" s="1396"/>
      <c r="J36" s="1397"/>
      <c r="K36" s="2541"/>
      <c r="L36" s="2697"/>
      <c r="M36" s="2697"/>
    </row>
    <row r="37" spans="1:18" ht="18" customHeight="1">
      <c r="A37" s="981" t="s">
        <v>437</v>
      </c>
      <c r="B37" s="302" t="s">
        <v>742</v>
      </c>
      <c r="C37" s="21">
        <f ca="1">ROUND(C13*F37,0)</f>
        <v>0</v>
      </c>
      <c r="D37" s="1342" t="s">
        <v>743</v>
      </c>
      <c r="E37" s="302" t="s">
        <v>744</v>
      </c>
      <c r="F37" s="330">
        <f ca="1">INDIRECT("'数据-取费表'!Al"&amp;$G$1)</f>
        <v>0</v>
      </c>
      <c r="G37" s="1382"/>
      <c r="H37" s="2697"/>
      <c r="I37" s="1396"/>
      <c r="J37" s="1397"/>
      <c r="K37" s="2541"/>
      <c r="L37" s="2697"/>
      <c r="M37" s="2697"/>
    </row>
    <row r="38" spans="1:18" ht="18" customHeight="1" thickBot="1">
      <c r="A38" s="1088" t="s">
        <v>684</v>
      </c>
      <c r="B38" s="1089" t="s">
        <v>728</v>
      </c>
      <c r="C38" s="1090">
        <f ca="1">ROUND(C5*F38,0)</f>
        <v>0</v>
      </c>
      <c r="D38" s="1091" t="s">
        <v>748</v>
      </c>
      <c r="E38" s="1089" t="s">
        <v>744</v>
      </c>
      <c r="F38" s="1085">
        <f ca="1">INDIRECT("'数据-取费表'!Am"&amp;$G$1)</f>
        <v>0</v>
      </c>
      <c r="G38" s="1382"/>
      <c r="H38" s="2697"/>
      <c r="I38" s="1396"/>
      <c r="J38" s="1397"/>
      <c r="K38" s="2701"/>
      <c r="L38" s="2697"/>
      <c r="M38" s="2697"/>
    </row>
    <row r="39" spans="1:18" ht="24.6" customHeight="1" thickTop="1">
      <c r="A39" s="1078" t="s">
        <v>394</v>
      </c>
      <c r="B39" s="1093" t="s">
        <v>772</v>
      </c>
      <c r="C39" s="310">
        <f ca="1">C5-C30</f>
        <v>0</v>
      </c>
      <c r="D39" s="1094" t="s">
        <v>773</v>
      </c>
      <c r="E39" s="1095"/>
      <c r="F39" s="1096"/>
      <c r="G39" s="1382"/>
      <c r="H39" s="2697"/>
      <c r="I39" s="1396"/>
      <c r="J39" s="1397"/>
      <c r="K39" s="2701"/>
      <c r="L39" s="2697"/>
      <c r="M39" s="2697"/>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1"/>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1"/>
      <c r="L41" s="1189"/>
      <c r="M41" s="1189"/>
    </row>
    <row r="42" spans="1:18" ht="18" customHeight="1">
      <c r="A42" s="308"/>
      <c r="B42" s="309"/>
      <c r="C42" s="310"/>
      <c r="D42" s="327"/>
      <c r="E42" s="302" t="s">
        <v>766</v>
      </c>
      <c r="F42" s="312">
        <f ca="1">INDIRECT("'数据-取费表'!v"&amp;$G$1)</f>
        <v>0</v>
      </c>
      <c r="G42" s="1382"/>
      <c r="H42" s="1189"/>
      <c r="I42" s="1396"/>
      <c r="J42" s="1397"/>
      <c r="K42" s="2541"/>
      <c r="L42" s="1189"/>
      <c r="M42" s="1189"/>
    </row>
    <row r="43" spans="1:18" ht="18" customHeight="1" thickBot="1">
      <c r="A43" s="334" t="s">
        <v>396</v>
      </c>
      <c r="B43" s="335" t="s">
        <v>776</v>
      </c>
      <c r="C43" s="336" t="e">
        <f ca="1">ROUND(C40/F43,0)</f>
        <v>#DIV/0!</v>
      </c>
      <c r="D43" s="337" t="s">
        <v>777</v>
      </c>
      <c r="E43" s="338" t="s">
        <v>778</v>
      </c>
      <c r="F43" s="339">
        <f ca="1">INDIRECT("'数据-取费表'!k"&amp;$G$1)</f>
        <v>0</v>
      </c>
      <c r="G43" s="1382"/>
      <c r="H43" s="1189"/>
      <c r="I43" s="1189"/>
      <c r="J43" s="1189"/>
      <c r="K43" s="2541"/>
      <c r="L43" s="1189"/>
      <c r="M43" s="1189"/>
    </row>
    <row r="44" spans="1:18" s="1382" customFormat="1" ht="18" customHeight="1">
      <c r="A44" s="1398"/>
      <c r="B44" s="1398"/>
      <c r="C44" s="1399"/>
      <c r="D44" s="1398"/>
      <c r="E44" s="1398"/>
      <c r="F44" s="1398"/>
      <c r="K44" s="1400"/>
    </row>
    <row r="45" spans="1:18" s="1382" customFormat="1" ht="18" customHeight="1" thickBot="1">
      <c r="A45" s="3427" t="s">
        <v>3353</v>
      </c>
      <c r="B45" s="1398"/>
      <c r="C45" s="1470" t="e">
        <f ca="1">ROUND((C68-C40)/10000,4)</f>
        <v>#DIV/0!</v>
      </c>
      <c r="D45" s="3428" t="s">
        <v>3354</v>
      </c>
      <c r="E45" s="1398"/>
      <c r="F45" s="1398"/>
      <c r="O45" s="1401" t="s">
        <v>808</v>
      </c>
      <c r="P45" s="1459"/>
      <c r="Q45" s="1459"/>
      <c r="R45" s="1459"/>
    </row>
    <row r="46" spans="1:18" s="1382" customFormat="1" ht="13.5" thickBot="1">
      <c r="A46" s="1402" t="s">
        <v>809</v>
      </c>
      <c r="C46" s="1403" t="e">
        <f ca="1">ROUND(C45,0)</f>
        <v>#DIV/0!</v>
      </c>
      <c r="D46" s="1404" t="str">
        <f>C2</f>
        <v>万元</v>
      </c>
      <c r="I46" s="1405" t="s">
        <v>810</v>
      </c>
      <c r="J46" s="1406"/>
      <c r="K46" s="1407"/>
      <c r="L46" s="1408" t="e">
        <f ca="1">IF(M47="住宅",0,IF(L48&gt;J51,L60,J60))</f>
        <v>#DIV/0!</v>
      </c>
      <c r="O46" s="1409" t="s">
        <v>811</v>
      </c>
      <c r="P46" s="1410" t="s">
        <v>812</v>
      </c>
      <c r="Q46" s="1411" t="s">
        <v>813</v>
      </c>
      <c r="R46" s="1411" t="s">
        <v>814</v>
      </c>
    </row>
    <row r="47" spans="1:18" s="1382" customFormat="1" ht="13.5" thickBot="1">
      <c r="A47" s="945" t="s">
        <v>687</v>
      </c>
      <c r="B47" s="977" t="s">
        <v>688</v>
      </c>
      <c r="C47" s="977" t="s">
        <v>689</v>
      </c>
      <c r="D47" s="977" t="s">
        <v>690</v>
      </c>
      <c r="E47" s="1057" t="s">
        <v>691</v>
      </c>
      <c r="F47" s="1058"/>
      <c r="G47" s="721"/>
      <c r="I47" s="1412" t="s">
        <v>815</v>
      </c>
      <c r="J47" s="1413"/>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9" t="s">
        <v>438</v>
      </c>
      <c r="B48" s="300" t="s">
        <v>692</v>
      </c>
      <c r="C48" s="1357">
        <f ca="1">C49+C53+C55</f>
        <v>0</v>
      </c>
      <c r="D48" s="1111"/>
      <c r="E48" s="1112"/>
      <c r="F48" s="961"/>
      <c r="G48" s="721"/>
      <c r="H48" s="722"/>
      <c r="I48" s="1419" t="s">
        <v>819</v>
      </c>
      <c r="J48" s="1420"/>
      <c r="K48" s="1421" t="s">
        <v>820</v>
      </c>
      <c r="L48" s="1422">
        <f ca="1">INDIRECT("'数据-取费表'!f"&amp;$G$1)</f>
        <v>0</v>
      </c>
      <c r="O48" s="1416" t="s">
        <v>404</v>
      </c>
      <c r="P48" s="1417" t="s">
        <v>821</v>
      </c>
      <c r="Q48" s="1418" t="e">
        <f ca="1">J60</f>
        <v>#DIV/0!</v>
      </c>
      <c r="R48" s="1418" t="s">
        <v>822</v>
      </c>
    </row>
    <row r="49" spans="1:18" s="1382" customFormat="1" ht="13.5" thickBot="1">
      <c r="A49" s="974" t="s">
        <v>439</v>
      </c>
      <c r="B49" s="1369" t="s">
        <v>779</v>
      </c>
      <c r="C49" s="1113">
        <f ca="1">ROUND(F49*F51*F50*(1-F52),0)</f>
        <v>0</v>
      </c>
      <c r="D49" s="1054" t="s">
        <v>695</v>
      </c>
      <c r="E49" s="1370" t="s">
        <v>780</v>
      </c>
      <c r="F49" s="1059"/>
      <c r="G49" s="1423"/>
      <c r="H49" s="722"/>
      <c r="I49" s="1419" t="s">
        <v>823</v>
      </c>
      <c r="J49" s="1424"/>
      <c r="K49" s="1421" t="s">
        <v>824</v>
      </c>
      <c r="L49" s="1425"/>
      <c r="O49" s="1426" t="s">
        <v>405</v>
      </c>
      <c r="P49" s="1417" t="s">
        <v>825</v>
      </c>
      <c r="Q49" s="1418">
        <f ca="1">C29</f>
        <v>0</v>
      </c>
      <c r="R49" s="1418" t="s">
        <v>818</v>
      </c>
    </row>
    <row r="50" spans="1:18" s="1382" customFormat="1" ht="13.5" thickBot="1">
      <c r="A50" s="975"/>
      <c r="B50" s="978"/>
      <c r="C50" s="979"/>
      <c r="D50" s="952"/>
      <c r="E50" s="1055" t="s">
        <v>697</v>
      </c>
      <c r="F50" s="1056">
        <f ca="1">F7</f>
        <v>0</v>
      </c>
      <c r="H50" s="722"/>
      <c r="I50" s="1419" t="s">
        <v>826</v>
      </c>
      <c r="J50" s="1427">
        <f>SUMPRODUCT((I63:I65=J47)*(J62:L62=J48)*(J63:L65))</f>
        <v>0</v>
      </c>
      <c r="K50" s="1421" t="s">
        <v>827</v>
      </c>
      <c r="L50" s="1425"/>
      <c r="M50" s="1428"/>
      <c r="O50" s="1426" t="s">
        <v>406</v>
      </c>
      <c r="P50" s="1417" t="s">
        <v>828</v>
      </c>
      <c r="Q50" s="1429" t="e">
        <f ca="1">J58</f>
        <v>#DIV/0!</v>
      </c>
      <c r="R50" s="1418"/>
    </row>
    <row r="51" spans="1:18" s="1382" customFormat="1" ht="13.5" thickBot="1">
      <c r="A51" s="976"/>
      <c r="B51" s="978"/>
      <c r="C51" s="979"/>
      <c r="D51" s="952"/>
      <c r="E51" s="980" t="s">
        <v>698</v>
      </c>
      <c r="F51" s="303">
        <f ca="1">F8</f>
        <v>0</v>
      </c>
      <c r="I51" s="1430" t="s">
        <v>829</v>
      </c>
      <c r="J51" s="1431">
        <f>IF(J49="",J50,J49+J50-YEAR('数据-取费表'!B2))</f>
        <v>0</v>
      </c>
      <c r="K51" s="1432" t="s">
        <v>830</v>
      </c>
      <c r="L51" s="1433">
        <f ca="1">ROUND(-PV(INDIRECT("'数据-取费表'!h"&amp;$G$1),J51,(C39-C13*C76),0),0)</f>
        <v>0</v>
      </c>
      <c r="M51" s="1434"/>
      <c r="O51" s="1426" t="s">
        <v>407</v>
      </c>
      <c r="P51" s="1417" t="s">
        <v>831</v>
      </c>
      <c r="Q51" s="1429">
        <f>J52</f>
        <v>0</v>
      </c>
      <c r="R51" s="1418"/>
    </row>
    <row r="52" spans="1:18" s="1382" customFormat="1" ht="13.5" thickBot="1">
      <c r="A52" s="976"/>
      <c r="B52" s="978"/>
      <c r="C52" s="979"/>
      <c r="D52" s="952"/>
      <c r="E52" s="980" t="s">
        <v>699</v>
      </c>
      <c r="F52" s="1053"/>
      <c r="I52" s="1435" t="s">
        <v>832</v>
      </c>
      <c r="J52" s="1436"/>
      <c r="K52" s="1435" t="s">
        <v>833</v>
      </c>
      <c r="L52" s="1436"/>
      <c r="O52" s="1426" t="s">
        <v>408</v>
      </c>
      <c r="P52" s="1417" t="s">
        <v>834</v>
      </c>
      <c r="Q52" s="1418">
        <f ca="1">J53</f>
        <v>0</v>
      </c>
      <c r="R52" s="1418" t="s">
        <v>835</v>
      </c>
    </row>
    <row r="53" spans="1:18" s="1382" customFormat="1" ht="30.75" customHeight="1" thickBot="1">
      <c r="A53" s="1110" t="s">
        <v>440</v>
      </c>
      <c r="B53" s="323" t="s">
        <v>700</v>
      </c>
      <c r="C53" s="316">
        <f ca="1">ROUND(IF(F53="押一",C49/12*F11,IF(F53="押二",C49/12*2*F11,IF(F53="押三",C49/12*3*F11,C54*F11))),0)</f>
        <v>0</v>
      </c>
      <c r="D53" s="1364" t="s">
        <v>2117</v>
      </c>
      <c r="E53" s="313" t="s">
        <v>701</v>
      </c>
      <c r="F53" s="1115"/>
      <c r="I53" s="1437" t="s">
        <v>836</v>
      </c>
      <c r="J53" s="2165">
        <f ca="1">IF(M47="住宅",IF(D1="——",MAX(J51,L48),MAX(J51,L48-'数据-取费表'!B24)),IF(D1="——",MIN(J51,L48),MIN(J51,L48-'数据-取费表'!B24)))</f>
        <v>0</v>
      </c>
      <c r="K53" s="3768" t="s">
        <v>837</v>
      </c>
      <c r="L53" s="3769"/>
      <c r="O53" s="1416" t="s">
        <v>409</v>
      </c>
      <c r="P53" s="1417" t="s">
        <v>838</v>
      </c>
      <c r="Q53" s="1418" t="e">
        <f ca="1">Q47+Q48</f>
        <v>#DIV/0!</v>
      </c>
      <c r="R53" s="1418" t="s">
        <v>410</v>
      </c>
    </row>
    <row r="54" spans="1:18" s="1382" customFormat="1" ht="13.5" thickBot="1">
      <c r="A54" s="974"/>
      <c r="B54" s="1471" t="s">
        <v>891</v>
      </c>
      <c r="C54" s="958"/>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40"/>
      <c r="K54" s="1440"/>
      <c r="L54" s="1440"/>
      <c r="M54" s="1423"/>
      <c r="O54" s="1401" t="s">
        <v>839</v>
      </c>
      <c r="P54" s="1379"/>
      <c r="Q54" s="1379"/>
      <c r="R54" s="1379"/>
    </row>
    <row r="55" spans="1:18" s="1382" customFormat="1" ht="13.5" thickBot="1">
      <c r="A55" s="1082" t="s">
        <v>437</v>
      </c>
      <c r="B55" s="1367" t="s">
        <v>703</v>
      </c>
      <c r="C55" s="1083"/>
      <c r="D55" s="1364"/>
      <c r="E55" s="1372"/>
      <c r="F55" s="1438"/>
      <c r="I55" s="1441" t="s">
        <v>840</v>
      </c>
      <c r="J55" s="1442" t="e">
        <f ca="1">ROUND(IF(J47="钢混",J57/J50,1-(1-2%)*(J50-J57)/J50),3)</f>
        <v>#DIV/0!</v>
      </c>
      <c r="K55" s="1443" t="s">
        <v>841</v>
      </c>
      <c r="L55" s="1444"/>
      <c r="O55" s="1409" t="s">
        <v>811</v>
      </c>
      <c r="P55" s="1410" t="s">
        <v>812</v>
      </c>
      <c r="Q55" s="1411" t="s">
        <v>813</v>
      </c>
      <c r="R55" s="1411" t="s">
        <v>814</v>
      </c>
    </row>
    <row r="56" spans="1:18" s="1382" customFormat="1" ht="36" customHeight="1" thickTop="1" thickBot="1">
      <c r="A56" s="956">
        <v>2</v>
      </c>
      <c r="B56" s="957" t="s">
        <v>704</v>
      </c>
      <c r="C56" s="232">
        <f ca="1">C13</f>
        <v>0</v>
      </c>
      <c r="D56" s="1445"/>
      <c r="E56" s="1446"/>
      <c r="F56" s="1438"/>
      <c r="I56" s="1447" t="s">
        <v>842</v>
      </c>
      <c r="J56" s="1448"/>
      <c r="K56" s="1419" t="s">
        <v>843</v>
      </c>
      <c r="L56" s="1422">
        <f ca="1">IF(L48&lt;J51,"——",L48-J51)</f>
        <v>0</v>
      </c>
      <c r="O56" s="1416" t="s">
        <v>403</v>
      </c>
      <c r="P56" s="1417" t="s">
        <v>817</v>
      </c>
      <c r="Q56" s="1418" t="e">
        <f ca="1">C40+J29</f>
        <v>#DIV/0!</v>
      </c>
      <c r="R56" s="1418" t="s">
        <v>818</v>
      </c>
    </row>
    <row r="57" spans="1:18" s="1382" customFormat="1" ht="24.75" thickBot="1">
      <c r="A57" s="1449"/>
      <c r="B57" s="949" t="s">
        <v>767</v>
      </c>
      <c r="C57" s="238">
        <f ca="1">C29</f>
        <v>0</v>
      </c>
      <c r="D57" s="1450"/>
      <c r="E57" s="1451"/>
      <c r="F57" s="1452"/>
      <c r="I57" s="1453" t="s">
        <v>844</v>
      </c>
      <c r="J57" s="1454">
        <f ca="1">IF(OR(M47="住宅",J51&lt;L48,J56="是"),"——",J51-L48)</f>
        <v>0</v>
      </c>
      <c r="K57" s="1419" t="s">
        <v>892</v>
      </c>
      <c r="L57" s="1422">
        <f ca="1">IF(L48&lt;J51,"——",IF(L55="比较法",L49,IF(L55="基准地价",L50,L51)))</f>
        <v>0</v>
      </c>
      <c r="O57" s="1416" t="s">
        <v>404</v>
      </c>
      <c r="P57" s="1417" t="s">
        <v>893</v>
      </c>
      <c r="Q57" s="1418" t="e">
        <f ca="1">L60</f>
        <v>#DIV/0!</v>
      </c>
      <c r="R57" s="1418" t="s">
        <v>894</v>
      </c>
    </row>
    <row r="58" spans="1:18" s="1382" customFormat="1" ht="24.75" thickBot="1">
      <c r="A58" s="315" t="s">
        <v>393</v>
      </c>
      <c r="B58" s="957" t="s">
        <v>714</v>
      </c>
      <c r="C58" s="316">
        <f ca="1">ROUND(C59+C64+C65+C66,0)</f>
        <v>0</v>
      </c>
      <c r="D58" s="959" t="s">
        <v>715</v>
      </c>
      <c r="E58" s="960"/>
      <c r="F58" s="961"/>
      <c r="I58" s="1453" t="s">
        <v>848</v>
      </c>
      <c r="J58" s="1455" t="e">
        <f ca="1">IF(J55&lt;0.4,0.4,J55)</f>
        <v>#DIV/0!</v>
      </c>
      <c r="K58" s="1432" t="s">
        <v>895</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3">
        <f ca="1">ROUND(IF(AND(项目基本情况!B11="自然人",项目基本情况!B10="北京市"),C49*F59/(1+'数据-取费表'!C42),C60+C61+C62),0)</f>
        <v>0</v>
      </c>
      <c r="D59" s="962" t="s">
        <v>720</v>
      </c>
      <c r="E59" s="963" t="s">
        <v>721</v>
      </c>
      <c r="F59" s="2312" t="str">
        <f>IF(项目基本情况!B11="企业","——",IF('数据-取费表'!B10="住宅",IF(F49*F50*F51/12/(1+'数据-取费表'!F30)&gt;100000,4%,2.5%),IF(F49*F50*F51/12/(1+'数据-取费表'!F30)&gt;100000,12%,7%)))</f>
        <v>——</v>
      </c>
      <c r="I59" s="1453" t="s">
        <v>851</v>
      </c>
      <c r="J59" s="1454" t="e">
        <f ca="1">IF(OR(M47="住宅",J51&lt;L48,J56="是"),"——",ROUND(C29*J58,0))</f>
        <v>#DIV/0!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9" t="e">
        <f ca="1">ROUND(POWER(1+L52,L47-(J51+'数据-取费表'!B24))*(POWER(1+L52,(J51+'数据-取费表'!B24))-1)/(POWER(1+L52,L47)-1),4)</f>
        <v>#DIV/0!</v>
      </c>
      <c r="N59" s="1379"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IF(项目基本情况!B11="自然人","——",ROUND(C48*F60/(1+'数据-取费表'!C42),0))</f>
        <v>0</v>
      </c>
      <c r="D60" s="963" t="s">
        <v>724</v>
      </c>
      <c r="E60" s="949" t="s">
        <v>712</v>
      </c>
      <c r="F60" s="331">
        <f t="shared" ref="F60:F66" si="0">F32</f>
        <v>5.5000000000000007E-2</v>
      </c>
      <c r="I60" s="1456" t="s">
        <v>853</v>
      </c>
      <c r="J60" s="1457" t="e">
        <f ca="1">IF(OR(M47="住宅",J51&lt;L48,J56="是"),"0",ROUND(J59/(1+J52)^J53,0))</f>
        <v>#DIV/0!</v>
      </c>
      <c r="K60" s="1458" t="s">
        <v>854</v>
      </c>
      <c r="L60" s="1457" t="e">
        <f ca="1">IF(OR(M47="住宅",L48&lt;J51),0,ROUND(L57*(L58/L59-1),0))</f>
        <v>#DIV/0!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IF(项目基本情况!B11="自然人","——",IF(D61="按租金收入计税",ROUND(C49*F61/(1+'数据-取费表'!C42),0),IF(D61="按房产原值计税",ROUND(C57*F61*0.7,0),INDIRECT("'数据-取费表'!Aj"&amp;$G$1))))</f>
        <v>0</v>
      </c>
      <c r="D61" s="1368" t="s">
        <v>3337</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IF(项目基本情况!B11="自然人","——",ROUND(F62*F63,0))</f>
        <v>0</v>
      </c>
      <c r="D62" s="964" t="s">
        <v>786</v>
      </c>
      <c r="E62" s="949" t="s">
        <v>787</v>
      </c>
      <c r="F62" s="325">
        <f t="shared" si="0"/>
        <v>1.5</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5"/>
      <c r="C63" s="26"/>
      <c r="D63" s="965"/>
      <c r="E63" s="949"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ROUND(C57*F64,0)</f>
        <v>0</v>
      </c>
      <c r="D64" s="963" t="s">
        <v>791</v>
      </c>
      <c r="E64" s="949"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ROUND(C56*F65,0)</f>
        <v>0</v>
      </c>
      <c r="D65" s="963" t="s">
        <v>743</v>
      </c>
      <c r="E65" s="949"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1" t="s">
        <v>793</v>
      </c>
      <c r="B66" s="949" t="s">
        <v>728</v>
      </c>
      <c r="C66" s="21">
        <f ca="1">ROUND(C48*F66,0)</f>
        <v>0</v>
      </c>
      <c r="D66" s="963" t="s">
        <v>794</v>
      </c>
      <c r="E66" s="949" t="s">
        <v>712</v>
      </c>
      <c r="F66" s="312">
        <f t="shared" ca="1" si="0"/>
        <v>0</v>
      </c>
      <c r="O66" s="1416" t="s">
        <v>404</v>
      </c>
      <c r="P66" s="1417" t="s">
        <v>846</v>
      </c>
      <c r="Q66" s="1418" t="e">
        <f ca="1">L60</f>
        <v>#DIV/0!</v>
      </c>
      <c r="R66" s="1418" t="s">
        <v>869</v>
      </c>
    </row>
    <row r="67" spans="1:18" s="1382" customFormat="1" ht="16.5" thickBot="1">
      <c r="A67" s="956" t="s">
        <v>394</v>
      </c>
      <c r="B67" s="966" t="s">
        <v>752</v>
      </c>
      <c r="C67" s="316">
        <f ca="1">C48-C58</f>
        <v>0</v>
      </c>
      <c r="D67" s="962" t="s">
        <v>753</v>
      </c>
      <c r="E67" s="967"/>
      <c r="F67" s="968"/>
      <c r="O67" s="1426" t="s">
        <v>405</v>
      </c>
      <c r="P67" s="1417" t="s">
        <v>850</v>
      </c>
      <c r="Q67" s="1464">
        <f ca="1">L51</f>
        <v>0</v>
      </c>
      <c r="R67" s="1418" t="s">
        <v>870</v>
      </c>
    </row>
    <row r="68" spans="1:18" s="1382" customFormat="1" ht="16.5" thickBot="1">
      <c r="A68" s="946" t="s">
        <v>395</v>
      </c>
      <c r="B68" s="947" t="s">
        <v>774</v>
      </c>
      <c r="C68" s="301" t="e">
        <f ca="1">ROUND(C67*(1-((1+F70)/(1+F68))^F69)/(F68-F70),0)</f>
        <v>#DIV/0!</v>
      </c>
      <c r="D68" s="964" t="s">
        <v>758</v>
      </c>
      <c r="E68" s="949" t="s">
        <v>759</v>
      </c>
      <c r="F68" s="312">
        <f ca="1">F40</f>
        <v>0</v>
      </c>
      <c r="O68" s="1426" t="s">
        <v>406</v>
      </c>
      <c r="P68" s="1465" t="s">
        <v>871</v>
      </c>
      <c r="Q68" s="1418">
        <f ca="1">ROUND(Q69-Q70*Q71,0)</f>
        <v>0</v>
      </c>
      <c r="R68" s="1418" t="s">
        <v>414</v>
      </c>
    </row>
    <row r="69" spans="1:18" s="1382" customFormat="1" ht="13.5" thickBot="1">
      <c r="A69" s="950"/>
      <c r="B69" s="951"/>
      <c r="C69" s="306"/>
      <c r="D69" s="969" t="s">
        <v>762</v>
      </c>
      <c r="E69" s="949" t="s">
        <v>763</v>
      </c>
      <c r="F69" s="333">
        <f ca="1">F41</f>
        <v>0</v>
      </c>
      <c r="O69" s="1426" t="s">
        <v>411</v>
      </c>
      <c r="P69" s="1465" t="s">
        <v>872</v>
      </c>
      <c r="Q69" s="1418">
        <f ca="1">C39</f>
        <v>0</v>
      </c>
      <c r="R69" s="1418" t="s">
        <v>818</v>
      </c>
    </row>
    <row r="70" spans="1:18" s="1382" customFormat="1" ht="13.5" thickBot="1">
      <c r="A70" s="953"/>
      <c r="B70" s="954"/>
      <c r="C70" s="310"/>
      <c r="D70" s="965"/>
      <c r="E70" s="949" t="s">
        <v>766</v>
      </c>
      <c r="F70" s="1053"/>
      <c r="O70" s="1426" t="s">
        <v>412</v>
      </c>
      <c r="P70" s="1465" t="s">
        <v>873</v>
      </c>
      <c r="Q70" s="1418">
        <f ca="1">C13</f>
        <v>0</v>
      </c>
      <c r="R70" s="1418" t="s">
        <v>818</v>
      </c>
    </row>
    <row r="71" spans="1:18" s="1382" customFormat="1" ht="13.5" thickBot="1">
      <c r="A71" s="970" t="s">
        <v>396</v>
      </c>
      <c r="B71" s="971" t="s">
        <v>776</v>
      </c>
      <c r="C71" s="336" t="e">
        <f ca="1">ROUND(C68/F71,0)</f>
        <v>#DIV/0!</v>
      </c>
      <c r="D71" s="972" t="s">
        <v>777</v>
      </c>
      <c r="E71" s="973" t="s">
        <v>778</v>
      </c>
      <c r="F71" s="339">
        <f ca="1">F43</f>
        <v>0</v>
      </c>
      <c r="O71" s="1426" t="s">
        <v>413</v>
      </c>
      <c r="P71" s="1465" t="s">
        <v>874</v>
      </c>
      <c r="Q71" s="1429">
        <f ca="1">C76</f>
        <v>0</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38" priority="4">
      <formula>$L$48&gt;$J$51</formula>
    </cfRule>
  </conditionalFormatting>
  <conditionalFormatting sqref="I55 I60">
    <cfRule type="expression" dxfId="137" priority="5">
      <formula>$J$51&gt;$L$48</formula>
    </cfRule>
  </conditionalFormatting>
  <conditionalFormatting sqref="C11">
    <cfRule type="expression" dxfId="136" priority="3">
      <formula>$F$10="自定义"</formula>
    </cfRule>
  </conditionalFormatting>
  <conditionalFormatting sqref="J11">
    <cfRule type="expression" dxfId="135" priority="2">
      <formula>$M$10="自定义"</formula>
    </cfRule>
  </conditionalFormatting>
  <conditionalFormatting sqref="C54">
    <cfRule type="expression" dxfId="13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38" customWidth="1"/>
    <col min="2" max="2" width="8.875" style="2838"/>
    <col min="3" max="5" width="12.875" style="2838" customWidth="1"/>
    <col min="6" max="6" width="47.5" style="2838" customWidth="1"/>
    <col min="7" max="7" width="13" style="2997" customWidth="1"/>
    <col min="8" max="8" width="8.875" style="2832"/>
    <col min="9" max="9" width="8.875" style="2833"/>
    <col min="10" max="10" width="5.75" style="2998" customWidth="1"/>
    <col min="11" max="11" width="11.75" style="2998" customWidth="1"/>
    <col min="12" max="13" width="10.75" style="2998" customWidth="1"/>
    <col min="14" max="14" width="10" style="2998" customWidth="1"/>
    <col min="15" max="16" width="10.5" style="2998" bestFit="1" customWidth="1"/>
    <col min="17" max="17" width="10" style="2998" customWidth="1"/>
    <col min="18" max="18" width="10.125" style="2998" customWidth="1"/>
    <col min="19" max="19" width="10" style="2998" customWidth="1"/>
    <col min="20" max="20" width="26.125" style="2998" customWidth="1"/>
    <col min="21" max="21" width="8.875" style="2998"/>
    <col min="22" max="22" width="8.875" style="2833"/>
    <col min="23" max="256" width="8.875" style="2838"/>
    <col min="257" max="257" width="9.5" style="2838" customWidth="1"/>
    <col min="258" max="258" width="8.875" style="2838"/>
    <col min="259" max="261" width="12.875" style="2838" customWidth="1"/>
    <col min="262" max="262" width="47.5" style="2838" customWidth="1"/>
    <col min="263" max="263" width="13" style="2838" customWidth="1"/>
    <col min="264" max="265" width="8.875" style="2838"/>
    <col min="266" max="266" width="5.75" style="2838" customWidth="1"/>
    <col min="267" max="267" width="11.75" style="2838" customWidth="1"/>
    <col min="268" max="269" width="10.75" style="2838" customWidth="1"/>
    <col min="270" max="270" width="10" style="2838" customWidth="1"/>
    <col min="271" max="272" width="10.5" style="2838" bestFit="1" customWidth="1"/>
    <col min="273" max="273" width="10" style="2838" customWidth="1"/>
    <col min="274" max="274" width="10.125" style="2838" customWidth="1"/>
    <col min="275" max="275" width="10" style="2838" customWidth="1"/>
    <col min="276" max="276" width="26.125" style="2838" customWidth="1"/>
    <col min="277" max="512" width="8.875" style="2838"/>
    <col min="513" max="513" width="9.5" style="2838" customWidth="1"/>
    <col min="514" max="514" width="8.875" style="2838"/>
    <col min="515" max="517" width="12.875" style="2838" customWidth="1"/>
    <col min="518" max="518" width="47.5" style="2838" customWidth="1"/>
    <col min="519" max="519" width="13" style="2838" customWidth="1"/>
    <col min="520" max="521" width="8.875" style="2838"/>
    <col min="522" max="522" width="5.75" style="2838" customWidth="1"/>
    <col min="523" max="523" width="11.75" style="2838" customWidth="1"/>
    <col min="524" max="525" width="10.75" style="2838" customWidth="1"/>
    <col min="526" max="526" width="10" style="2838" customWidth="1"/>
    <col min="527" max="528" width="10.5" style="2838" bestFit="1" customWidth="1"/>
    <col min="529" max="529" width="10" style="2838" customWidth="1"/>
    <col min="530" max="530" width="10.125" style="2838" customWidth="1"/>
    <col min="531" max="531" width="10" style="2838" customWidth="1"/>
    <col min="532" max="532" width="26.125" style="2838" customWidth="1"/>
    <col min="533" max="768" width="8.875" style="2838"/>
    <col min="769" max="769" width="9.5" style="2838" customWidth="1"/>
    <col min="770" max="770" width="8.875" style="2838"/>
    <col min="771" max="773" width="12.875" style="2838" customWidth="1"/>
    <col min="774" max="774" width="47.5" style="2838" customWidth="1"/>
    <col min="775" max="775" width="13" style="2838" customWidth="1"/>
    <col min="776" max="777" width="8.875" style="2838"/>
    <col min="778" max="778" width="5.75" style="2838" customWidth="1"/>
    <col min="779" max="779" width="11.75" style="2838" customWidth="1"/>
    <col min="780" max="781" width="10.75" style="2838" customWidth="1"/>
    <col min="782" max="782" width="10" style="2838" customWidth="1"/>
    <col min="783" max="784" width="10.5" style="2838" bestFit="1" customWidth="1"/>
    <col min="785" max="785" width="10" style="2838" customWidth="1"/>
    <col min="786" max="786" width="10.125" style="2838" customWidth="1"/>
    <col min="787" max="787" width="10" style="2838" customWidth="1"/>
    <col min="788" max="788" width="26.125" style="2838" customWidth="1"/>
    <col min="789" max="1024" width="8.875" style="2838"/>
    <col min="1025" max="1025" width="9.5" style="2838" customWidth="1"/>
    <col min="1026" max="1026" width="8.875" style="2838"/>
    <col min="1027" max="1029" width="12.875" style="2838" customWidth="1"/>
    <col min="1030" max="1030" width="47.5" style="2838" customWidth="1"/>
    <col min="1031" max="1031" width="13" style="2838" customWidth="1"/>
    <col min="1032" max="1033" width="8.875" style="2838"/>
    <col min="1034" max="1034" width="5.75" style="2838" customWidth="1"/>
    <col min="1035" max="1035" width="11.75" style="2838" customWidth="1"/>
    <col min="1036" max="1037" width="10.75" style="2838" customWidth="1"/>
    <col min="1038" max="1038" width="10" style="2838" customWidth="1"/>
    <col min="1039" max="1040" width="10.5" style="2838" bestFit="1" customWidth="1"/>
    <col min="1041" max="1041" width="10" style="2838" customWidth="1"/>
    <col min="1042" max="1042" width="10.125" style="2838" customWidth="1"/>
    <col min="1043" max="1043" width="10" style="2838" customWidth="1"/>
    <col min="1044" max="1044" width="26.125" style="2838" customWidth="1"/>
    <col min="1045" max="1280" width="8.875" style="2838"/>
    <col min="1281" max="1281" width="9.5" style="2838" customWidth="1"/>
    <col min="1282" max="1282" width="8.875" style="2838"/>
    <col min="1283" max="1285" width="12.875" style="2838" customWidth="1"/>
    <col min="1286" max="1286" width="47.5" style="2838" customWidth="1"/>
    <col min="1287" max="1287" width="13" style="2838" customWidth="1"/>
    <col min="1288" max="1289" width="8.875" style="2838"/>
    <col min="1290" max="1290" width="5.75" style="2838" customWidth="1"/>
    <col min="1291" max="1291" width="11.75" style="2838" customWidth="1"/>
    <col min="1292" max="1293" width="10.75" style="2838" customWidth="1"/>
    <col min="1294" max="1294" width="10" style="2838" customWidth="1"/>
    <col min="1295" max="1296" width="10.5" style="2838" bestFit="1" customWidth="1"/>
    <col min="1297" max="1297" width="10" style="2838" customWidth="1"/>
    <col min="1298" max="1298" width="10.125" style="2838" customWidth="1"/>
    <col min="1299" max="1299" width="10" style="2838" customWidth="1"/>
    <col min="1300" max="1300" width="26.125" style="2838" customWidth="1"/>
    <col min="1301" max="1536" width="8.875" style="2838"/>
    <col min="1537" max="1537" width="9.5" style="2838" customWidth="1"/>
    <col min="1538" max="1538" width="8.875" style="2838"/>
    <col min="1539" max="1541" width="12.875" style="2838" customWidth="1"/>
    <col min="1542" max="1542" width="47.5" style="2838" customWidth="1"/>
    <col min="1543" max="1543" width="13" style="2838" customWidth="1"/>
    <col min="1544" max="1545" width="8.875" style="2838"/>
    <col min="1546" max="1546" width="5.75" style="2838" customWidth="1"/>
    <col min="1547" max="1547" width="11.75" style="2838" customWidth="1"/>
    <col min="1548" max="1549" width="10.75" style="2838" customWidth="1"/>
    <col min="1550" max="1550" width="10" style="2838" customWidth="1"/>
    <col min="1551" max="1552" width="10.5" style="2838" bestFit="1" customWidth="1"/>
    <col min="1553" max="1553" width="10" style="2838" customWidth="1"/>
    <col min="1554" max="1554" width="10.125" style="2838" customWidth="1"/>
    <col min="1555" max="1555" width="10" style="2838" customWidth="1"/>
    <col min="1556" max="1556" width="26.125" style="2838" customWidth="1"/>
    <col min="1557" max="1792" width="8.875" style="2838"/>
    <col min="1793" max="1793" width="9.5" style="2838" customWidth="1"/>
    <col min="1794" max="1794" width="8.875" style="2838"/>
    <col min="1795" max="1797" width="12.875" style="2838" customWidth="1"/>
    <col min="1798" max="1798" width="47.5" style="2838" customWidth="1"/>
    <col min="1799" max="1799" width="13" style="2838" customWidth="1"/>
    <col min="1800" max="1801" width="8.875" style="2838"/>
    <col min="1802" max="1802" width="5.75" style="2838" customWidth="1"/>
    <col min="1803" max="1803" width="11.75" style="2838" customWidth="1"/>
    <col min="1804" max="1805" width="10.75" style="2838" customWidth="1"/>
    <col min="1806" max="1806" width="10" style="2838" customWidth="1"/>
    <col min="1807" max="1808" width="10.5" style="2838" bestFit="1" customWidth="1"/>
    <col min="1809" max="1809" width="10" style="2838" customWidth="1"/>
    <col min="1810" max="1810" width="10.125" style="2838" customWidth="1"/>
    <col min="1811" max="1811" width="10" style="2838" customWidth="1"/>
    <col min="1812" max="1812" width="26.125" style="2838" customWidth="1"/>
    <col min="1813" max="2048" width="8.875" style="2838"/>
    <col min="2049" max="2049" width="9.5" style="2838" customWidth="1"/>
    <col min="2050" max="2050" width="8.875" style="2838"/>
    <col min="2051" max="2053" width="12.875" style="2838" customWidth="1"/>
    <col min="2054" max="2054" width="47.5" style="2838" customWidth="1"/>
    <col min="2055" max="2055" width="13" style="2838" customWidth="1"/>
    <col min="2056" max="2057" width="8.875" style="2838"/>
    <col min="2058" max="2058" width="5.75" style="2838" customWidth="1"/>
    <col min="2059" max="2059" width="11.75" style="2838" customWidth="1"/>
    <col min="2060" max="2061" width="10.75" style="2838" customWidth="1"/>
    <col min="2062" max="2062" width="10" style="2838" customWidth="1"/>
    <col min="2063" max="2064" width="10.5" style="2838" bestFit="1" customWidth="1"/>
    <col min="2065" max="2065" width="10" style="2838" customWidth="1"/>
    <col min="2066" max="2066" width="10.125" style="2838" customWidth="1"/>
    <col min="2067" max="2067" width="10" style="2838" customWidth="1"/>
    <col min="2068" max="2068" width="26.125" style="2838" customWidth="1"/>
    <col min="2069" max="2304" width="8.875" style="2838"/>
    <col min="2305" max="2305" width="9.5" style="2838" customWidth="1"/>
    <col min="2306" max="2306" width="8.875" style="2838"/>
    <col min="2307" max="2309" width="12.875" style="2838" customWidth="1"/>
    <col min="2310" max="2310" width="47.5" style="2838" customWidth="1"/>
    <col min="2311" max="2311" width="13" style="2838" customWidth="1"/>
    <col min="2312" max="2313" width="8.875" style="2838"/>
    <col min="2314" max="2314" width="5.75" style="2838" customWidth="1"/>
    <col min="2315" max="2315" width="11.75" style="2838" customWidth="1"/>
    <col min="2316" max="2317" width="10.75" style="2838" customWidth="1"/>
    <col min="2318" max="2318" width="10" style="2838" customWidth="1"/>
    <col min="2319" max="2320" width="10.5" style="2838" bestFit="1" customWidth="1"/>
    <col min="2321" max="2321" width="10" style="2838" customWidth="1"/>
    <col min="2322" max="2322" width="10.125" style="2838" customWidth="1"/>
    <col min="2323" max="2323" width="10" style="2838" customWidth="1"/>
    <col min="2324" max="2324" width="26.125" style="2838" customWidth="1"/>
    <col min="2325" max="2560" width="8.875" style="2838"/>
    <col min="2561" max="2561" width="9.5" style="2838" customWidth="1"/>
    <col min="2562" max="2562" width="8.875" style="2838"/>
    <col min="2563" max="2565" width="12.875" style="2838" customWidth="1"/>
    <col min="2566" max="2566" width="47.5" style="2838" customWidth="1"/>
    <col min="2567" max="2567" width="13" style="2838" customWidth="1"/>
    <col min="2568" max="2569" width="8.875" style="2838"/>
    <col min="2570" max="2570" width="5.75" style="2838" customWidth="1"/>
    <col min="2571" max="2571" width="11.75" style="2838" customWidth="1"/>
    <col min="2572" max="2573" width="10.75" style="2838" customWidth="1"/>
    <col min="2574" max="2574" width="10" style="2838" customWidth="1"/>
    <col min="2575" max="2576" width="10.5" style="2838" bestFit="1" customWidth="1"/>
    <col min="2577" max="2577" width="10" style="2838" customWidth="1"/>
    <col min="2578" max="2578" width="10.125" style="2838" customWidth="1"/>
    <col min="2579" max="2579" width="10" style="2838" customWidth="1"/>
    <col min="2580" max="2580" width="26.125" style="2838" customWidth="1"/>
    <col min="2581" max="2816" width="8.875" style="2838"/>
    <col min="2817" max="2817" width="9.5" style="2838" customWidth="1"/>
    <col min="2818" max="2818" width="8.875" style="2838"/>
    <col min="2819" max="2821" width="12.875" style="2838" customWidth="1"/>
    <col min="2822" max="2822" width="47.5" style="2838" customWidth="1"/>
    <col min="2823" max="2823" width="13" style="2838" customWidth="1"/>
    <col min="2824" max="2825" width="8.875" style="2838"/>
    <col min="2826" max="2826" width="5.75" style="2838" customWidth="1"/>
    <col min="2827" max="2827" width="11.75" style="2838" customWidth="1"/>
    <col min="2828" max="2829" width="10.75" style="2838" customWidth="1"/>
    <col min="2830" max="2830" width="10" style="2838" customWidth="1"/>
    <col min="2831" max="2832" width="10.5" style="2838" bestFit="1" customWidth="1"/>
    <col min="2833" max="2833" width="10" style="2838" customWidth="1"/>
    <col min="2834" max="2834" width="10.125" style="2838" customWidth="1"/>
    <col min="2835" max="2835" width="10" style="2838" customWidth="1"/>
    <col min="2836" max="2836" width="26.125" style="2838" customWidth="1"/>
    <col min="2837" max="3072" width="8.875" style="2838"/>
    <col min="3073" max="3073" width="9.5" style="2838" customWidth="1"/>
    <col min="3074" max="3074" width="8.875" style="2838"/>
    <col min="3075" max="3077" width="12.875" style="2838" customWidth="1"/>
    <col min="3078" max="3078" width="47.5" style="2838" customWidth="1"/>
    <col min="3079" max="3079" width="13" style="2838" customWidth="1"/>
    <col min="3080" max="3081" width="8.875" style="2838"/>
    <col min="3082" max="3082" width="5.75" style="2838" customWidth="1"/>
    <col min="3083" max="3083" width="11.75" style="2838" customWidth="1"/>
    <col min="3084" max="3085" width="10.75" style="2838" customWidth="1"/>
    <col min="3086" max="3086" width="10" style="2838" customWidth="1"/>
    <col min="3087" max="3088" width="10.5" style="2838" bestFit="1" customWidth="1"/>
    <col min="3089" max="3089" width="10" style="2838" customWidth="1"/>
    <col min="3090" max="3090" width="10.125" style="2838" customWidth="1"/>
    <col min="3091" max="3091" width="10" style="2838" customWidth="1"/>
    <col min="3092" max="3092" width="26.125" style="2838" customWidth="1"/>
    <col min="3093" max="3328" width="8.875" style="2838"/>
    <col min="3329" max="3329" width="9.5" style="2838" customWidth="1"/>
    <col min="3330" max="3330" width="8.875" style="2838"/>
    <col min="3331" max="3333" width="12.875" style="2838" customWidth="1"/>
    <col min="3334" max="3334" width="47.5" style="2838" customWidth="1"/>
    <col min="3335" max="3335" width="13" style="2838" customWidth="1"/>
    <col min="3336" max="3337" width="8.875" style="2838"/>
    <col min="3338" max="3338" width="5.75" style="2838" customWidth="1"/>
    <col min="3339" max="3339" width="11.75" style="2838" customWidth="1"/>
    <col min="3340" max="3341" width="10.75" style="2838" customWidth="1"/>
    <col min="3342" max="3342" width="10" style="2838" customWidth="1"/>
    <col min="3343" max="3344" width="10.5" style="2838" bestFit="1" customWidth="1"/>
    <col min="3345" max="3345" width="10" style="2838" customWidth="1"/>
    <col min="3346" max="3346" width="10.125" style="2838" customWidth="1"/>
    <col min="3347" max="3347" width="10" style="2838" customWidth="1"/>
    <col min="3348" max="3348" width="26.125" style="2838" customWidth="1"/>
    <col min="3349" max="3584" width="8.875" style="2838"/>
    <col min="3585" max="3585" width="9.5" style="2838" customWidth="1"/>
    <col min="3586" max="3586" width="8.875" style="2838"/>
    <col min="3587" max="3589" width="12.875" style="2838" customWidth="1"/>
    <col min="3590" max="3590" width="47.5" style="2838" customWidth="1"/>
    <col min="3591" max="3591" width="13" style="2838" customWidth="1"/>
    <col min="3592" max="3593" width="8.875" style="2838"/>
    <col min="3594" max="3594" width="5.75" style="2838" customWidth="1"/>
    <col min="3595" max="3595" width="11.75" style="2838" customWidth="1"/>
    <col min="3596" max="3597" width="10.75" style="2838" customWidth="1"/>
    <col min="3598" max="3598" width="10" style="2838" customWidth="1"/>
    <col min="3599" max="3600" width="10.5" style="2838" bestFit="1" customWidth="1"/>
    <col min="3601" max="3601" width="10" style="2838" customWidth="1"/>
    <col min="3602" max="3602" width="10.125" style="2838" customWidth="1"/>
    <col min="3603" max="3603" width="10" style="2838" customWidth="1"/>
    <col min="3604" max="3604" width="26.125" style="2838" customWidth="1"/>
    <col min="3605" max="3840" width="8.875" style="2838"/>
    <col min="3841" max="3841" width="9.5" style="2838" customWidth="1"/>
    <col min="3842" max="3842" width="8.875" style="2838"/>
    <col min="3843" max="3845" width="12.875" style="2838" customWidth="1"/>
    <col min="3846" max="3846" width="47.5" style="2838" customWidth="1"/>
    <col min="3847" max="3847" width="13" style="2838" customWidth="1"/>
    <col min="3848" max="3849" width="8.875" style="2838"/>
    <col min="3850" max="3850" width="5.75" style="2838" customWidth="1"/>
    <col min="3851" max="3851" width="11.75" style="2838" customWidth="1"/>
    <col min="3852" max="3853" width="10.75" style="2838" customWidth="1"/>
    <col min="3854" max="3854" width="10" style="2838" customWidth="1"/>
    <col min="3855" max="3856" width="10.5" style="2838" bestFit="1" customWidth="1"/>
    <col min="3857" max="3857" width="10" style="2838" customWidth="1"/>
    <col min="3858" max="3858" width="10.125" style="2838" customWidth="1"/>
    <col min="3859" max="3859" width="10" style="2838" customWidth="1"/>
    <col min="3860" max="3860" width="26.125" style="2838" customWidth="1"/>
    <col min="3861" max="4096" width="8.875" style="2838"/>
    <col min="4097" max="4097" width="9.5" style="2838" customWidth="1"/>
    <col min="4098" max="4098" width="8.875" style="2838"/>
    <col min="4099" max="4101" width="12.875" style="2838" customWidth="1"/>
    <col min="4102" max="4102" width="47.5" style="2838" customWidth="1"/>
    <col min="4103" max="4103" width="13" style="2838" customWidth="1"/>
    <col min="4104" max="4105" width="8.875" style="2838"/>
    <col min="4106" max="4106" width="5.75" style="2838" customWidth="1"/>
    <col min="4107" max="4107" width="11.75" style="2838" customWidth="1"/>
    <col min="4108" max="4109" width="10.75" style="2838" customWidth="1"/>
    <col min="4110" max="4110" width="10" style="2838" customWidth="1"/>
    <col min="4111" max="4112" width="10.5" style="2838" bestFit="1" customWidth="1"/>
    <col min="4113" max="4113" width="10" style="2838" customWidth="1"/>
    <col min="4114" max="4114" width="10.125" style="2838" customWidth="1"/>
    <col min="4115" max="4115" width="10" style="2838" customWidth="1"/>
    <col min="4116" max="4116" width="26.125" style="2838" customWidth="1"/>
    <col min="4117" max="4352" width="8.875" style="2838"/>
    <col min="4353" max="4353" width="9.5" style="2838" customWidth="1"/>
    <col min="4354" max="4354" width="8.875" style="2838"/>
    <col min="4355" max="4357" width="12.875" style="2838" customWidth="1"/>
    <col min="4358" max="4358" width="47.5" style="2838" customWidth="1"/>
    <col min="4359" max="4359" width="13" style="2838" customWidth="1"/>
    <col min="4360" max="4361" width="8.875" style="2838"/>
    <col min="4362" max="4362" width="5.75" style="2838" customWidth="1"/>
    <col min="4363" max="4363" width="11.75" style="2838" customWidth="1"/>
    <col min="4364" max="4365" width="10.75" style="2838" customWidth="1"/>
    <col min="4366" max="4366" width="10" style="2838" customWidth="1"/>
    <col min="4367" max="4368" width="10.5" style="2838" bestFit="1" customWidth="1"/>
    <col min="4369" max="4369" width="10" style="2838" customWidth="1"/>
    <col min="4370" max="4370" width="10.125" style="2838" customWidth="1"/>
    <col min="4371" max="4371" width="10" style="2838" customWidth="1"/>
    <col min="4372" max="4372" width="26.125" style="2838" customWidth="1"/>
    <col min="4373" max="4608" width="8.875" style="2838"/>
    <col min="4609" max="4609" width="9.5" style="2838" customWidth="1"/>
    <col min="4610" max="4610" width="8.875" style="2838"/>
    <col min="4611" max="4613" width="12.875" style="2838" customWidth="1"/>
    <col min="4614" max="4614" width="47.5" style="2838" customWidth="1"/>
    <col min="4615" max="4615" width="13" style="2838" customWidth="1"/>
    <col min="4616" max="4617" width="8.875" style="2838"/>
    <col min="4618" max="4618" width="5.75" style="2838" customWidth="1"/>
    <col min="4619" max="4619" width="11.75" style="2838" customWidth="1"/>
    <col min="4620" max="4621" width="10.75" style="2838" customWidth="1"/>
    <col min="4622" max="4622" width="10" style="2838" customWidth="1"/>
    <col min="4623" max="4624" width="10.5" style="2838" bestFit="1" customWidth="1"/>
    <col min="4625" max="4625" width="10" style="2838" customWidth="1"/>
    <col min="4626" max="4626" width="10.125" style="2838" customWidth="1"/>
    <col min="4627" max="4627" width="10" style="2838" customWidth="1"/>
    <col min="4628" max="4628" width="26.125" style="2838" customWidth="1"/>
    <col min="4629" max="4864" width="8.875" style="2838"/>
    <col min="4865" max="4865" width="9.5" style="2838" customWidth="1"/>
    <col min="4866" max="4866" width="8.875" style="2838"/>
    <col min="4867" max="4869" width="12.875" style="2838" customWidth="1"/>
    <col min="4870" max="4870" width="47.5" style="2838" customWidth="1"/>
    <col min="4871" max="4871" width="13" style="2838" customWidth="1"/>
    <col min="4872" max="4873" width="8.875" style="2838"/>
    <col min="4874" max="4874" width="5.75" style="2838" customWidth="1"/>
    <col min="4875" max="4875" width="11.75" style="2838" customWidth="1"/>
    <col min="4876" max="4877" width="10.75" style="2838" customWidth="1"/>
    <col min="4878" max="4878" width="10" style="2838" customWidth="1"/>
    <col min="4879" max="4880" width="10.5" style="2838" bestFit="1" customWidth="1"/>
    <col min="4881" max="4881" width="10" style="2838" customWidth="1"/>
    <col min="4882" max="4882" width="10.125" style="2838" customWidth="1"/>
    <col min="4883" max="4883" width="10" style="2838" customWidth="1"/>
    <col min="4884" max="4884" width="26.125" style="2838" customWidth="1"/>
    <col min="4885" max="5120" width="8.875" style="2838"/>
    <col min="5121" max="5121" width="9.5" style="2838" customWidth="1"/>
    <col min="5122" max="5122" width="8.875" style="2838"/>
    <col min="5123" max="5125" width="12.875" style="2838" customWidth="1"/>
    <col min="5126" max="5126" width="47.5" style="2838" customWidth="1"/>
    <col min="5127" max="5127" width="13" style="2838" customWidth="1"/>
    <col min="5128" max="5129" width="8.875" style="2838"/>
    <col min="5130" max="5130" width="5.75" style="2838" customWidth="1"/>
    <col min="5131" max="5131" width="11.75" style="2838" customWidth="1"/>
    <col min="5132" max="5133" width="10.75" style="2838" customWidth="1"/>
    <col min="5134" max="5134" width="10" style="2838" customWidth="1"/>
    <col min="5135" max="5136" width="10.5" style="2838" bestFit="1" customWidth="1"/>
    <col min="5137" max="5137" width="10" style="2838" customWidth="1"/>
    <col min="5138" max="5138" width="10.125" style="2838" customWidth="1"/>
    <col min="5139" max="5139" width="10" style="2838" customWidth="1"/>
    <col min="5140" max="5140" width="26.125" style="2838" customWidth="1"/>
    <col min="5141" max="5376" width="8.875" style="2838"/>
    <col min="5377" max="5377" width="9.5" style="2838" customWidth="1"/>
    <col min="5378" max="5378" width="8.875" style="2838"/>
    <col min="5379" max="5381" width="12.875" style="2838" customWidth="1"/>
    <col min="5382" max="5382" width="47.5" style="2838" customWidth="1"/>
    <col min="5383" max="5383" width="13" style="2838" customWidth="1"/>
    <col min="5384" max="5385" width="8.875" style="2838"/>
    <col min="5386" max="5386" width="5.75" style="2838" customWidth="1"/>
    <col min="5387" max="5387" width="11.75" style="2838" customWidth="1"/>
    <col min="5388" max="5389" width="10.75" style="2838" customWidth="1"/>
    <col min="5390" max="5390" width="10" style="2838" customWidth="1"/>
    <col min="5391" max="5392" width="10.5" style="2838" bestFit="1" customWidth="1"/>
    <col min="5393" max="5393" width="10" style="2838" customWidth="1"/>
    <col min="5394" max="5394" width="10.125" style="2838" customWidth="1"/>
    <col min="5395" max="5395" width="10" style="2838" customWidth="1"/>
    <col min="5396" max="5396" width="26.125" style="2838" customWidth="1"/>
    <col min="5397" max="5632" width="8.875" style="2838"/>
    <col min="5633" max="5633" width="9.5" style="2838" customWidth="1"/>
    <col min="5634" max="5634" width="8.875" style="2838"/>
    <col min="5635" max="5637" width="12.875" style="2838" customWidth="1"/>
    <col min="5638" max="5638" width="47.5" style="2838" customWidth="1"/>
    <col min="5639" max="5639" width="13" style="2838" customWidth="1"/>
    <col min="5640" max="5641" width="8.875" style="2838"/>
    <col min="5642" max="5642" width="5.75" style="2838" customWidth="1"/>
    <col min="5643" max="5643" width="11.75" style="2838" customWidth="1"/>
    <col min="5644" max="5645" width="10.75" style="2838" customWidth="1"/>
    <col min="5646" max="5646" width="10" style="2838" customWidth="1"/>
    <col min="5647" max="5648" width="10.5" style="2838" bestFit="1" customWidth="1"/>
    <col min="5649" max="5649" width="10" style="2838" customWidth="1"/>
    <col min="5650" max="5650" width="10.125" style="2838" customWidth="1"/>
    <col min="5651" max="5651" width="10" style="2838" customWidth="1"/>
    <col min="5652" max="5652" width="26.125" style="2838" customWidth="1"/>
    <col min="5653" max="5888" width="8.875" style="2838"/>
    <col min="5889" max="5889" width="9.5" style="2838" customWidth="1"/>
    <col min="5890" max="5890" width="8.875" style="2838"/>
    <col min="5891" max="5893" width="12.875" style="2838" customWidth="1"/>
    <col min="5894" max="5894" width="47.5" style="2838" customWidth="1"/>
    <col min="5895" max="5895" width="13" style="2838" customWidth="1"/>
    <col min="5896" max="5897" width="8.875" style="2838"/>
    <col min="5898" max="5898" width="5.75" style="2838" customWidth="1"/>
    <col min="5899" max="5899" width="11.75" style="2838" customWidth="1"/>
    <col min="5900" max="5901" width="10.75" style="2838" customWidth="1"/>
    <col min="5902" max="5902" width="10" style="2838" customWidth="1"/>
    <col min="5903" max="5904" width="10.5" style="2838" bestFit="1" customWidth="1"/>
    <col min="5905" max="5905" width="10" style="2838" customWidth="1"/>
    <col min="5906" max="5906" width="10.125" style="2838" customWidth="1"/>
    <col min="5907" max="5907" width="10" style="2838" customWidth="1"/>
    <col min="5908" max="5908" width="26.125" style="2838" customWidth="1"/>
    <col min="5909" max="6144" width="8.875" style="2838"/>
    <col min="6145" max="6145" width="9.5" style="2838" customWidth="1"/>
    <col min="6146" max="6146" width="8.875" style="2838"/>
    <col min="6147" max="6149" width="12.875" style="2838" customWidth="1"/>
    <col min="6150" max="6150" width="47.5" style="2838" customWidth="1"/>
    <col min="6151" max="6151" width="13" style="2838" customWidth="1"/>
    <col min="6152" max="6153" width="8.875" style="2838"/>
    <col min="6154" max="6154" width="5.75" style="2838" customWidth="1"/>
    <col min="6155" max="6155" width="11.75" style="2838" customWidth="1"/>
    <col min="6156" max="6157" width="10.75" style="2838" customWidth="1"/>
    <col min="6158" max="6158" width="10" style="2838" customWidth="1"/>
    <col min="6159" max="6160" width="10.5" style="2838" bestFit="1" customWidth="1"/>
    <col min="6161" max="6161" width="10" style="2838" customWidth="1"/>
    <col min="6162" max="6162" width="10.125" style="2838" customWidth="1"/>
    <col min="6163" max="6163" width="10" style="2838" customWidth="1"/>
    <col min="6164" max="6164" width="26.125" style="2838" customWidth="1"/>
    <col min="6165" max="6400" width="8.875" style="2838"/>
    <col min="6401" max="6401" width="9.5" style="2838" customWidth="1"/>
    <col min="6402" max="6402" width="8.875" style="2838"/>
    <col min="6403" max="6405" width="12.875" style="2838" customWidth="1"/>
    <col min="6406" max="6406" width="47.5" style="2838" customWidth="1"/>
    <col min="6407" max="6407" width="13" style="2838" customWidth="1"/>
    <col min="6408" max="6409" width="8.875" style="2838"/>
    <col min="6410" max="6410" width="5.75" style="2838" customWidth="1"/>
    <col min="6411" max="6411" width="11.75" style="2838" customWidth="1"/>
    <col min="6412" max="6413" width="10.75" style="2838" customWidth="1"/>
    <col min="6414" max="6414" width="10" style="2838" customWidth="1"/>
    <col min="6415" max="6416" width="10.5" style="2838" bestFit="1" customWidth="1"/>
    <col min="6417" max="6417" width="10" style="2838" customWidth="1"/>
    <col min="6418" max="6418" width="10.125" style="2838" customWidth="1"/>
    <col min="6419" max="6419" width="10" style="2838" customWidth="1"/>
    <col min="6420" max="6420" width="26.125" style="2838" customWidth="1"/>
    <col min="6421" max="6656" width="8.875" style="2838"/>
    <col min="6657" max="6657" width="9.5" style="2838" customWidth="1"/>
    <col min="6658" max="6658" width="8.875" style="2838"/>
    <col min="6659" max="6661" width="12.875" style="2838" customWidth="1"/>
    <col min="6662" max="6662" width="47.5" style="2838" customWidth="1"/>
    <col min="6663" max="6663" width="13" style="2838" customWidth="1"/>
    <col min="6664" max="6665" width="8.875" style="2838"/>
    <col min="6666" max="6666" width="5.75" style="2838" customWidth="1"/>
    <col min="6667" max="6667" width="11.75" style="2838" customWidth="1"/>
    <col min="6668" max="6669" width="10.75" style="2838" customWidth="1"/>
    <col min="6670" max="6670" width="10" style="2838" customWidth="1"/>
    <col min="6671" max="6672" width="10.5" style="2838" bestFit="1" customWidth="1"/>
    <col min="6673" max="6673" width="10" style="2838" customWidth="1"/>
    <col min="6674" max="6674" width="10.125" style="2838" customWidth="1"/>
    <col min="6675" max="6675" width="10" style="2838" customWidth="1"/>
    <col min="6676" max="6676" width="26.125" style="2838" customWidth="1"/>
    <col min="6677" max="6912" width="8.875" style="2838"/>
    <col min="6913" max="6913" width="9.5" style="2838" customWidth="1"/>
    <col min="6914" max="6914" width="8.875" style="2838"/>
    <col min="6915" max="6917" width="12.875" style="2838" customWidth="1"/>
    <col min="6918" max="6918" width="47.5" style="2838" customWidth="1"/>
    <col min="6919" max="6919" width="13" style="2838" customWidth="1"/>
    <col min="6920" max="6921" width="8.875" style="2838"/>
    <col min="6922" max="6922" width="5.75" style="2838" customWidth="1"/>
    <col min="6923" max="6923" width="11.75" style="2838" customWidth="1"/>
    <col min="6924" max="6925" width="10.75" style="2838" customWidth="1"/>
    <col min="6926" max="6926" width="10" style="2838" customWidth="1"/>
    <col min="6927" max="6928" width="10.5" style="2838" bestFit="1" customWidth="1"/>
    <col min="6929" max="6929" width="10" style="2838" customWidth="1"/>
    <col min="6930" max="6930" width="10.125" style="2838" customWidth="1"/>
    <col min="6931" max="6931" width="10" style="2838" customWidth="1"/>
    <col min="6932" max="6932" width="26.125" style="2838" customWidth="1"/>
    <col min="6933" max="7168" width="8.875" style="2838"/>
    <col min="7169" max="7169" width="9.5" style="2838" customWidth="1"/>
    <col min="7170" max="7170" width="8.875" style="2838"/>
    <col min="7171" max="7173" width="12.875" style="2838" customWidth="1"/>
    <col min="7174" max="7174" width="47.5" style="2838" customWidth="1"/>
    <col min="7175" max="7175" width="13" style="2838" customWidth="1"/>
    <col min="7176" max="7177" width="8.875" style="2838"/>
    <col min="7178" max="7178" width="5.75" style="2838" customWidth="1"/>
    <col min="7179" max="7179" width="11.75" style="2838" customWidth="1"/>
    <col min="7180" max="7181" width="10.75" style="2838" customWidth="1"/>
    <col min="7182" max="7182" width="10" style="2838" customWidth="1"/>
    <col min="7183" max="7184" width="10.5" style="2838" bestFit="1" customWidth="1"/>
    <col min="7185" max="7185" width="10" style="2838" customWidth="1"/>
    <col min="7186" max="7186" width="10.125" style="2838" customWidth="1"/>
    <col min="7187" max="7187" width="10" style="2838" customWidth="1"/>
    <col min="7188" max="7188" width="26.125" style="2838" customWidth="1"/>
    <col min="7189" max="7424" width="8.875" style="2838"/>
    <col min="7425" max="7425" width="9.5" style="2838" customWidth="1"/>
    <col min="7426" max="7426" width="8.875" style="2838"/>
    <col min="7427" max="7429" width="12.875" style="2838" customWidth="1"/>
    <col min="7430" max="7430" width="47.5" style="2838" customWidth="1"/>
    <col min="7431" max="7431" width="13" style="2838" customWidth="1"/>
    <col min="7432" max="7433" width="8.875" style="2838"/>
    <col min="7434" max="7434" width="5.75" style="2838" customWidth="1"/>
    <col min="7435" max="7435" width="11.75" style="2838" customWidth="1"/>
    <col min="7436" max="7437" width="10.75" style="2838" customWidth="1"/>
    <col min="7438" max="7438" width="10" style="2838" customWidth="1"/>
    <col min="7439" max="7440" width="10.5" style="2838" bestFit="1" customWidth="1"/>
    <col min="7441" max="7441" width="10" style="2838" customWidth="1"/>
    <col min="7442" max="7442" width="10.125" style="2838" customWidth="1"/>
    <col min="7443" max="7443" width="10" style="2838" customWidth="1"/>
    <col min="7444" max="7444" width="26.125" style="2838" customWidth="1"/>
    <col min="7445" max="7680" width="8.875" style="2838"/>
    <col min="7681" max="7681" width="9.5" style="2838" customWidth="1"/>
    <col min="7682" max="7682" width="8.875" style="2838"/>
    <col min="7683" max="7685" width="12.875" style="2838" customWidth="1"/>
    <col min="7686" max="7686" width="47.5" style="2838" customWidth="1"/>
    <col min="7687" max="7687" width="13" style="2838" customWidth="1"/>
    <col min="7688" max="7689" width="8.875" style="2838"/>
    <col min="7690" max="7690" width="5.75" style="2838" customWidth="1"/>
    <col min="7691" max="7691" width="11.75" style="2838" customWidth="1"/>
    <col min="7692" max="7693" width="10.75" style="2838" customWidth="1"/>
    <col min="7694" max="7694" width="10" style="2838" customWidth="1"/>
    <col min="7695" max="7696" width="10.5" style="2838" bestFit="1" customWidth="1"/>
    <col min="7697" max="7697" width="10" style="2838" customWidth="1"/>
    <col min="7698" max="7698" width="10.125" style="2838" customWidth="1"/>
    <col min="7699" max="7699" width="10" style="2838" customWidth="1"/>
    <col min="7700" max="7700" width="26.125" style="2838" customWidth="1"/>
    <col min="7701" max="7936" width="8.875" style="2838"/>
    <col min="7937" max="7937" width="9.5" style="2838" customWidth="1"/>
    <col min="7938" max="7938" width="8.875" style="2838"/>
    <col min="7939" max="7941" width="12.875" style="2838" customWidth="1"/>
    <col min="7942" max="7942" width="47.5" style="2838" customWidth="1"/>
    <col min="7943" max="7943" width="13" style="2838" customWidth="1"/>
    <col min="7944" max="7945" width="8.875" style="2838"/>
    <col min="7946" max="7946" width="5.75" style="2838" customWidth="1"/>
    <col min="7947" max="7947" width="11.75" style="2838" customWidth="1"/>
    <col min="7948" max="7949" width="10.75" style="2838" customWidth="1"/>
    <col min="7950" max="7950" width="10" style="2838" customWidth="1"/>
    <col min="7951" max="7952" width="10.5" style="2838" bestFit="1" customWidth="1"/>
    <col min="7953" max="7953" width="10" style="2838" customWidth="1"/>
    <col min="7954" max="7954" width="10.125" style="2838" customWidth="1"/>
    <col min="7955" max="7955" width="10" style="2838" customWidth="1"/>
    <col min="7956" max="7956" width="26.125" style="2838" customWidth="1"/>
    <col min="7957" max="8192" width="8.875" style="2838"/>
    <col min="8193" max="8193" width="9.5" style="2838" customWidth="1"/>
    <col min="8194" max="8194" width="8.875" style="2838"/>
    <col min="8195" max="8197" width="12.875" style="2838" customWidth="1"/>
    <col min="8198" max="8198" width="47.5" style="2838" customWidth="1"/>
    <col min="8199" max="8199" width="13" style="2838" customWidth="1"/>
    <col min="8200" max="8201" width="8.875" style="2838"/>
    <col min="8202" max="8202" width="5.75" style="2838" customWidth="1"/>
    <col min="8203" max="8203" width="11.75" style="2838" customWidth="1"/>
    <col min="8204" max="8205" width="10.75" style="2838" customWidth="1"/>
    <col min="8206" max="8206" width="10" style="2838" customWidth="1"/>
    <col min="8207" max="8208" width="10.5" style="2838" bestFit="1" customWidth="1"/>
    <col min="8209" max="8209" width="10" style="2838" customWidth="1"/>
    <col min="8210" max="8210" width="10.125" style="2838" customWidth="1"/>
    <col min="8211" max="8211" width="10" style="2838" customWidth="1"/>
    <col min="8212" max="8212" width="26.125" style="2838" customWidth="1"/>
    <col min="8213" max="8448" width="8.875" style="2838"/>
    <col min="8449" max="8449" width="9.5" style="2838" customWidth="1"/>
    <col min="8450" max="8450" width="8.875" style="2838"/>
    <col min="8451" max="8453" width="12.875" style="2838" customWidth="1"/>
    <col min="8454" max="8454" width="47.5" style="2838" customWidth="1"/>
    <col min="8455" max="8455" width="13" style="2838" customWidth="1"/>
    <col min="8456" max="8457" width="8.875" style="2838"/>
    <col min="8458" max="8458" width="5.75" style="2838" customWidth="1"/>
    <col min="8459" max="8459" width="11.75" style="2838" customWidth="1"/>
    <col min="8460" max="8461" width="10.75" style="2838" customWidth="1"/>
    <col min="8462" max="8462" width="10" style="2838" customWidth="1"/>
    <col min="8463" max="8464" width="10.5" style="2838" bestFit="1" customWidth="1"/>
    <col min="8465" max="8465" width="10" style="2838" customWidth="1"/>
    <col min="8466" max="8466" width="10.125" style="2838" customWidth="1"/>
    <col min="8467" max="8467" width="10" style="2838" customWidth="1"/>
    <col min="8468" max="8468" width="26.125" style="2838" customWidth="1"/>
    <col min="8469" max="8704" width="8.875" style="2838"/>
    <col min="8705" max="8705" width="9.5" style="2838" customWidth="1"/>
    <col min="8706" max="8706" width="8.875" style="2838"/>
    <col min="8707" max="8709" width="12.875" style="2838" customWidth="1"/>
    <col min="8710" max="8710" width="47.5" style="2838" customWidth="1"/>
    <col min="8711" max="8711" width="13" style="2838" customWidth="1"/>
    <col min="8712" max="8713" width="8.875" style="2838"/>
    <col min="8714" max="8714" width="5.75" style="2838" customWidth="1"/>
    <col min="8715" max="8715" width="11.75" style="2838" customWidth="1"/>
    <col min="8716" max="8717" width="10.75" style="2838" customWidth="1"/>
    <col min="8718" max="8718" width="10" style="2838" customWidth="1"/>
    <col min="8719" max="8720" width="10.5" style="2838" bestFit="1" customWidth="1"/>
    <col min="8721" max="8721" width="10" style="2838" customWidth="1"/>
    <col min="8722" max="8722" width="10.125" style="2838" customWidth="1"/>
    <col min="8723" max="8723" width="10" style="2838" customWidth="1"/>
    <col min="8724" max="8724" width="26.125" style="2838" customWidth="1"/>
    <col min="8725" max="8960" width="8.875" style="2838"/>
    <col min="8961" max="8961" width="9.5" style="2838" customWidth="1"/>
    <col min="8962" max="8962" width="8.875" style="2838"/>
    <col min="8963" max="8965" width="12.875" style="2838" customWidth="1"/>
    <col min="8966" max="8966" width="47.5" style="2838" customWidth="1"/>
    <col min="8967" max="8967" width="13" style="2838" customWidth="1"/>
    <col min="8968" max="8969" width="8.875" style="2838"/>
    <col min="8970" max="8970" width="5.75" style="2838" customWidth="1"/>
    <col min="8971" max="8971" width="11.75" style="2838" customWidth="1"/>
    <col min="8972" max="8973" width="10.75" style="2838" customWidth="1"/>
    <col min="8974" max="8974" width="10" style="2838" customWidth="1"/>
    <col min="8975" max="8976" width="10.5" style="2838" bestFit="1" customWidth="1"/>
    <col min="8977" max="8977" width="10" style="2838" customWidth="1"/>
    <col min="8978" max="8978" width="10.125" style="2838" customWidth="1"/>
    <col min="8979" max="8979" width="10" style="2838" customWidth="1"/>
    <col min="8980" max="8980" width="26.125" style="2838" customWidth="1"/>
    <col min="8981" max="9216" width="8.875" style="2838"/>
    <col min="9217" max="9217" width="9.5" style="2838" customWidth="1"/>
    <col min="9218" max="9218" width="8.875" style="2838"/>
    <col min="9219" max="9221" width="12.875" style="2838" customWidth="1"/>
    <col min="9222" max="9222" width="47.5" style="2838" customWidth="1"/>
    <col min="9223" max="9223" width="13" style="2838" customWidth="1"/>
    <col min="9224" max="9225" width="8.875" style="2838"/>
    <col min="9226" max="9226" width="5.75" style="2838" customWidth="1"/>
    <col min="9227" max="9227" width="11.75" style="2838" customWidth="1"/>
    <col min="9228" max="9229" width="10.75" style="2838" customWidth="1"/>
    <col min="9230" max="9230" width="10" style="2838" customWidth="1"/>
    <col min="9231" max="9232" width="10.5" style="2838" bestFit="1" customWidth="1"/>
    <col min="9233" max="9233" width="10" style="2838" customWidth="1"/>
    <col min="9234" max="9234" width="10.125" style="2838" customWidth="1"/>
    <col min="9235" max="9235" width="10" style="2838" customWidth="1"/>
    <col min="9236" max="9236" width="26.125" style="2838" customWidth="1"/>
    <col min="9237" max="9472" width="8.875" style="2838"/>
    <col min="9473" max="9473" width="9.5" style="2838" customWidth="1"/>
    <col min="9474" max="9474" width="8.875" style="2838"/>
    <col min="9475" max="9477" width="12.875" style="2838" customWidth="1"/>
    <col min="9478" max="9478" width="47.5" style="2838" customWidth="1"/>
    <col min="9479" max="9479" width="13" style="2838" customWidth="1"/>
    <col min="9480" max="9481" width="8.875" style="2838"/>
    <col min="9482" max="9482" width="5.75" style="2838" customWidth="1"/>
    <col min="9483" max="9483" width="11.75" style="2838" customWidth="1"/>
    <col min="9484" max="9485" width="10.75" style="2838" customWidth="1"/>
    <col min="9486" max="9486" width="10" style="2838" customWidth="1"/>
    <col min="9487" max="9488" width="10.5" style="2838" bestFit="1" customWidth="1"/>
    <col min="9489" max="9489" width="10" style="2838" customWidth="1"/>
    <col min="9490" max="9490" width="10.125" style="2838" customWidth="1"/>
    <col min="9491" max="9491" width="10" style="2838" customWidth="1"/>
    <col min="9492" max="9492" width="26.125" style="2838" customWidth="1"/>
    <col min="9493" max="9728" width="8.875" style="2838"/>
    <col min="9729" max="9729" width="9.5" style="2838" customWidth="1"/>
    <col min="9730" max="9730" width="8.875" style="2838"/>
    <col min="9731" max="9733" width="12.875" style="2838" customWidth="1"/>
    <col min="9734" max="9734" width="47.5" style="2838" customWidth="1"/>
    <col min="9735" max="9735" width="13" style="2838" customWidth="1"/>
    <col min="9736" max="9737" width="8.875" style="2838"/>
    <col min="9738" max="9738" width="5.75" style="2838" customWidth="1"/>
    <col min="9739" max="9739" width="11.75" style="2838" customWidth="1"/>
    <col min="9740" max="9741" width="10.75" style="2838" customWidth="1"/>
    <col min="9742" max="9742" width="10" style="2838" customWidth="1"/>
    <col min="9743" max="9744" width="10.5" style="2838" bestFit="1" customWidth="1"/>
    <col min="9745" max="9745" width="10" style="2838" customWidth="1"/>
    <col min="9746" max="9746" width="10.125" style="2838" customWidth="1"/>
    <col min="9747" max="9747" width="10" style="2838" customWidth="1"/>
    <col min="9748" max="9748" width="26.125" style="2838" customWidth="1"/>
    <col min="9749" max="9984" width="8.875" style="2838"/>
    <col min="9985" max="9985" width="9.5" style="2838" customWidth="1"/>
    <col min="9986" max="9986" width="8.875" style="2838"/>
    <col min="9987" max="9989" width="12.875" style="2838" customWidth="1"/>
    <col min="9990" max="9990" width="47.5" style="2838" customWidth="1"/>
    <col min="9991" max="9991" width="13" style="2838" customWidth="1"/>
    <col min="9992" max="9993" width="8.875" style="2838"/>
    <col min="9994" max="9994" width="5.75" style="2838" customWidth="1"/>
    <col min="9995" max="9995" width="11.75" style="2838" customWidth="1"/>
    <col min="9996" max="9997" width="10.75" style="2838" customWidth="1"/>
    <col min="9998" max="9998" width="10" style="2838" customWidth="1"/>
    <col min="9999" max="10000" width="10.5" style="2838" bestFit="1" customWidth="1"/>
    <col min="10001" max="10001" width="10" style="2838" customWidth="1"/>
    <col min="10002" max="10002" width="10.125" style="2838" customWidth="1"/>
    <col min="10003" max="10003" width="10" style="2838" customWidth="1"/>
    <col min="10004" max="10004" width="26.125" style="2838" customWidth="1"/>
    <col min="10005" max="10240" width="8.875" style="2838"/>
    <col min="10241" max="10241" width="9.5" style="2838" customWidth="1"/>
    <col min="10242" max="10242" width="8.875" style="2838"/>
    <col min="10243" max="10245" width="12.875" style="2838" customWidth="1"/>
    <col min="10246" max="10246" width="47.5" style="2838" customWidth="1"/>
    <col min="10247" max="10247" width="13" style="2838" customWidth="1"/>
    <col min="10248" max="10249" width="8.875" style="2838"/>
    <col min="10250" max="10250" width="5.75" style="2838" customWidth="1"/>
    <col min="10251" max="10251" width="11.75" style="2838" customWidth="1"/>
    <col min="10252" max="10253" width="10.75" style="2838" customWidth="1"/>
    <col min="10254" max="10254" width="10" style="2838" customWidth="1"/>
    <col min="10255" max="10256" width="10.5" style="2838" bestFit="1" customWidth="1"/>
    <col min="10257" max="10257" width="10" style="2838" customWidth="1"/>
    <col min="10258" max="10258" width="10.125" style="2838" customWidth="1"/>
    <col min="10259" max="10259" width="10" style="2838" customWidth="1"/>
    <col min="10260" max="10260" width="26.125" style="2838" customWidth="1"/>
    <col min="10261" max="10496" width="8.875" style="2838"/>
    <col min="10497" max="10497" width="9.5" style="2838" customWidth="1"/>
    <col min="10498" max="10498" width="8.875" style="2838"/>
    <col min="10499" max="10501" width="12.875" style="2838" customWidth="1"/>
    <col min="10502" max="10502" width="47.5" style="2838" customWidth="1"/>
    <col min="10503" max="10503" width="13" style="2838" customWidth="1"/>
    <col min="10504" max="10505" width="8.875" style="2838"/>
    <col min="10506" max="10506" width="5.75" style="2838" customWidth="1"/>
    <col min="10507" max="10507" width="11.75" style="2838" customWidth="1"/>
    <col min="10508" max="10509" width="10.75" style="2838" customWidth="1"/>
    <col min="10510" max="10510" width="10" style="2838" customWidth="1"/>
    <col min="10511" max="10512" width="10.5" style="2838" bestFit="1" customWidth="1"/>
    <col min="10513" max="10513" width="10" style="2838" customWidth="1"/>
    <col min="10514" max="10514" width="10.125" style="2838" customWidth="1"/>
    <col min="10515" max="10515" width="10" style="2838" customWidth="1"/>
    <col min="10516" max="10516" width="26.125" style="2838" customWidth="1"/>
    <col min="10517" max="10752" width="8.875" style="2838"/>
    <col min="10753" max="10753" width="9.5" style="2838" customWidth="1"/>
    <col min="10754" max="10754" width="8.875" style="2838"/>
    <col min="10755" max="10757" width="12.875" style="2838" customWidth="1"/>
    <col min="10758" max="10758" width="47.5" style="2838" customWidth="1"/>
    <col min="10759" max="10759" width="13" style="2838" customWidth="1"/>
    <col min="10760" max="10761" width="8.875" style="2838"/>
    <col min="10762" max="10762" width="5.75" style="2838" customWidth="1"/>
    <col min="10763" max="10763" width="11.75" style="2838" customWidth="1"/>
    <col min="10764" max="10765" width="10.75" style="2838" customWidth="1"/>
    <col min="10766" max="10766" width="10" style="2838" customWidth="1"/>
    <col min="10767" max="10768" width="10.5" style="2838" bestFit="1" customWidth="1"/>
    <col min="10769" max="10769" width="10" style="2838" customWidth="1"/>
    <col min="10770" max="10770" width="10.125" style="2838" customWidth="1"/>
    <col min="10771" max="10771" width="10" style="2838" customWidth="1"/>
    <col min="10772" max="10772" width="26.125" style="2838" customWidth="1"/>
    <col min="10773" max="11008" width="8.875" style="2838"/>
    <col min="11009" max="11009" width="9.5" style="2838" customWidth="1"/>
    <col min="11010" max="11010" width="8.875" style="2838"/>
    <col min="11011" max="11013" width="12.875" style="2838" customWidth="1"/>
    <col min="11014" max="11014" width="47.5" style="2838" customWidth="1"/>
    <col min="11015" max="11015" width="13" style="2838" customWidth="1"/>
    <col min="11016" max="11017" width="8.875" style="2838"/>
    <col min="11018" max="11018" width="5.75" style="2838" customWidth="1"/>
    <col min="11019" max="11019" width="11.75" style="2838" customWidth="1"/>
    <col min="11020" max="11021" width="10.75" style="2838" customWidth="1"/>
    <col min="11022" max="11022" width="10" style="2838" customWidth="1"/>
    <col min="11023" max="11024" width="10.5" style="2838" bestFit="1" customWidth="1"/>
    <col min="11025" max="11025" width="10" style="2838" customWidth="1"/>
    <col min="11026" max="11026" width="10.125" style="2838" customWidth="1"/>
    <col min="11027" max="11027" width="10" style="2838" customWidth="1"/>
    <col min="11028" max="11028" width="26.125" style="2838" customWidth="1"/>
    <col min="11029" max="11264" width="8.875" style="2838"/>
    <col min="11265" max="11265" width="9.5" style="2838" customWidth="1"/>
    <col min="11266" max="11266" width="8.875" style="2838"/>
    <col min="11267" max="11269" width="12.875" style="2838" customWidth="1"/>
    <col min="11270" max="11270" width="47.5" style="2838" customWidth="1"/>
    <col min="11271" max="11271" width="13" style="2838" customWidth="1"/>
    <col min="11272" max="11273" width="8.875" style="2838"/>
    <col min="11274" max="11274" width="5.75" style="2838" customWidth="1"/>
    <col min="11275" max="11275" width="11.75" style="2838" customWidth="1"/>
    <col min="11276" max="11277" width="10.75" style="2838" customWidth="1"/>
    <col min="11278" max="11278" width="10" style="2838" customWidth="1"/>
    <col min="11279" max="11280" width="10.5" style="2838" bestFit="1" customWidth="1"/>
    <col min="11281" max="11281" width="10" style="2838" customWidth="1"/>
    <col min="11282" max="11282" width="10.125" style="2838" customWidth="1"/>
    <col min="11283" max="11283" width="10" style="2838" customWidth="1"/>
    <col min="11284" max="11284" width="26.125" style="2838" customWidth="1"/>
    <col min="11285" max="11520" width="8.875" style="2838"/>
    <col min="11521" max="11521" width="9.5" style="2838" customWidth="1"/>
    <col min="11522" max="11522" width="8.875" style="2838"/>
    <col min="11523" max="11525" width="12.875" style="2838" customWidth="1"/>
    <col min="11526" max="11526" width="47.5" style="2838" customWidth="1"/>
    <col min="11527" max="11527" width="13" style="2838" customWidth="1"/>
    <col min="11528" max="11529" width="8.875" style="2838"/>
    <col min="11530" max="11530" width="5.75" style="2838" customWidth="1"/>
    <col min="11531" max="11531" width="11.75" style="2838" customWidth="1"/>
    <col min="11532" max="11533" width="10.75" style="2838" customWidth="1"/>
    <col min="11534" max="11534" width="10" style="2838" customWidth="1"/>
    <col min="11535" max="11536" width="10.5" style="2838" bestFit="1" customWidth="1"/>
    <col min="11537" max="11537" width="10" style="2838" customWidth="1"/>
    <col min="11538" max="11538" width="10.125" style="2838" customWidth="1"/>
    <col min="11539" max="11539" width="10" style="2838" customWidth="1"/>
    <col min="11540" max="11540" width="26.125" style="2838" customWidth="1"/>
    <col min="11541" max="11776" width="8.875" style="2838"/>
    <col min="11777" max="11777" width="9.5" style="2838" customWidth="1"/>
    <col min="11778" max="11778" width="8.875" style="2838"/>
    <col min="11779" max="11781" width="12.875" style="2838" customWidth="1"/>
    <col min="11782" max="11782" width="47.5" style="2838" customWidth="1"/>
    <col min="11783" max="11783" width="13" style="2838" customWidth="1"/>
    <col min="11784" max="11785" width="8.875" style="2838"/>
    <col min="11786" max="11786" width="5.75" style="2838" customWidth="1"/>
    <col min="11787" max="11787" width="11.75" style="2838" customWidth="1"/>
    <col min="11788" max="11789" width="10.75" style="2838" customWidth="1"/>
    <col min="11790" max="11790" width="10" style="2838" customWidth="1"/>
    <col min="11791" max="11792" width="10.5" style="2838" bestFit="1" customWidth="1"/>
    <col min="11793" max="11793" width="10" style="2838" customWidth="1"/>
    <col min="11794" max="11794" width="10.125" style="2838" customWidth="1"/>
    <col min="11795" max="11795" width="10" style="2838" customWidth="1"/>
    <col min="11796" max="11796" width="26.125" style="2838" customWidth="1"/>
    <col min="11797" max="12032" width="8.875" style="2838"/>
    <col min="12033" max="12033" width="9.5" style="2838" customWidth="1"/>
    <col min="12034" max="12034" width="8.875" style="2838"/>
    <col min="12035" max="12037" width="12.875" style="2838" customWidth="1"/>
    <col min="12038" max="12038" width="47.5" style="2838" customWidth="1"/>
    <col min="12039" max="12039" width="13" style="2838" customWidth="1"/>
    <col min="12040" max="12041" width="8.875" style="2838"/>
    <col min="12042" max="12042" width="5.75" style="2838" customWidth="1"/>
    <col min="12043" max="12043" width="11.75" style="2838" customWidth="1"/>
    <col min="12044" max="12045" width="10.75" style="2838" customWidth="1"/>
    <col min="12046" max="12046" width="10" style="2838" customWidth="1"/>
    <col min="12047" max="12048" width="10.5" style="2838" bestFit="1" customWidth="1"/>
    <col min="12049" max="12049" width="10" style="2838" customWidth="1"/>
    <col min="12050" max="12050" width="10.125" style="2838" customWidth="1"/>
    <col min="12051" max="12051" width="10" style="2838" customWidth="1"/>
    <col min="12052" max="12052" width="26.125" style="2838" customWidth="1"/>
    <col min="12053" max="12288" width="8.875" style="2838"/>
    <col min="12289" max="12289" width="9.5" style="2838" customWidth="1"/>
    <col min="12290" max="12290" width="8.875" style="2838"/>
    <col min="12291" max="12293" width="12.875" style="2838" customWidth="1"/>
    <col min="12294" max="12294" width="47.5" style="2838" customWidth="1"/>
    <col min="12295" max="12295" width="13" style="2838" customWidth="1"/>
    <col min="12296" max="12297" width="8.875" style="2838"/>
    <col min="12298" max="12298" width="5.75" style="2838" customWidth="1"/>
    <col min="12299" max="12299" width="11.75" style="2838" customWidth="1"/>
    <col min="12300" max="12301" width="10.75" style="2838" customWidth="1"/>
    <col min="12302" max="12302" width="10" style="2838" customWidth="1"/>
    <col min="12303" max="12304" width="10.5" style="2838" bestFit="1" customWidth="1"/>
    <col min="12305" max="12305" width="10" style="2838" customWidth="1"/>
    <col min="12306" max="12306" width="10.125" style="2838" customWidth="1"/>
    <col min="12307" max="12307" width="10" style="2838" customWidth="1"/>
    <col min="12308" max="12308" width="26.125" style="2838" customWidth="1"/>
    <col min="12309" max="12544" width="8.875" style="2838"/>
    <col min="12545" max="12545" width="9.5" style="2838" customWidth="1"/>
    <col min="12546" max="12546" width="8.875" style="2838"/>
    <col min="12547" max="12549" width="12.875" style="2838" customWidth="1"/>
    <col min="12550" max="12550" width="47.5" style="2838" customWidth="1"/>
    <col min="12551" max="12551" width="13" style="2838" customWidth="1"/>
    <col min="12552" max="12553" width="8.875" style="2838"/>
    <col min="12554" max="12554" width="5.75" style="2838" customWidth="1"/>
    <col min="12555" max="12555" width="11.75" style="2838" customWidth="1"/>
    <col min="12556" max="12557" width="10.75" style="2838" customWidth="1"/>
    <col min="12558" max="12558" width="10" style="2838" customWidth="1"/>
    <col min="12559" max="12560" width="10.5" style="2838" bestFit="1" customWidth="1"/>
    <col min="12561" max="12561" width="10" style="2838" customWidth="1"/>
    <col min="12562" max="12562" width="10.125" style="2838" customWidth="1"/>
    <col min="12563" max="12563" width="10" style="2838" customWidth="1"/>
    <col min="12564" max="12564" width="26.125" style="2838" customWidth="1"/>
    <col min="12565" max="12800" width="8.875" style="2838"/>
    <col min="12801" max="12801" width="9.5" style="2838" customWidth="1"/>
    <col min="12802" max="12802" width="8.875" style="2838"/>
    <col min="12803" max="12805" width="12.875" style="2838" customWidth="1"/>
    <col min="12806" max="12806" width="47.5" style="2838" customWidth="1"/>
    <col min="12807" max="12807" width="13" style="2838" customWidth="1"/>
    <col min="12808" max="12809" width="8.875" style="2838"/>
    <col min="12810" max="12810" width="5.75" style="2838" customWidth="1"/>
    <col min="12811" max="12811" width="11.75" style="2838" customWidth="1"/>
    <col min="12812" max="12813" width="10.75" style="2838" customWidth="1"/>
    <col min="12814" max="12814" width="10" style="2838" customWidth="1"/>
    <col min="12815" max="12816" width="10.5" style="2838" bestFit="1" customWidth="1"/>
    <col min="12817" max="12817" width="10" style="2838" customWidth="1"/>
    <col min="12818" max="12818" width="10.125" style="2838" customWidth="1"/>
    <col min="12819" max="12819" width="10" style="2838" customWidth="1"/>
    <col min="12820" max="12820" width="26.125" style="2838" customWidth="1"/>
    <col min="12821" max="13056" width="8.875" style="2838"/>
    <col min="13057" max="13057" width="9.5" style="2838" customWidth="1"/>
    <col min="13058" max="13058" width="8.875" style="2838"/>
    <col min="13059" max="13061" width="12.875" style="2838" customWidth="1"/>
    <col min="13062" max="13062" width="47.5" style="2838" customWidth="1"/>
    <col min="13063" max="13063" width="13" style="2838" customWidth="1"/>
    <col min="13064" max="13065" width="8.875" style="2838"/>
    <col min="13066" max="13066" width="5.75" style="2838" customWidth="1"/>
    <col min="13067" max="13067" width="11.75" style="2838" customWidth="1"/>
    <col min="13068" max="13069" width="10.75" style="2838" customWidth="1"/>
    <col min="13070" max="13070" width="10" style="2838" customWidth="1"/>
    <col min="13071" max="13072" width="10.5" style="2838" bestFit="1" customWidth="1"/>
    <col min="13073" max="13073" width="10" style="2838" customWidth="1"/>
    <col min="13074" max="13074" width="10.125" style="2838" customWidth="1"/>
    <col min="13075" max="13075" width="10" style="2838" customWidth="1"/>
    <col min="13076" max="13076" width="26.125" style="2838" customWidth="1"/>
    <col min="13077" max="13312" width="8.875" style="2838"/>
    <col min="13313" max="13313" width="9.5" style="2838" customWidth="1"/>
    <col min="13314" max="13314" width="8.875" style="2838"/>
    <col min="13315" max="13317" width="12.875" style="2838" customWidth="1"/>
    <col min="13318" max="13318" width="47.5" style="2838" customWidth="1"/>
    <col min="13319" max="13319" width="13" style="2838" customWidth="1"/>
    <col min="13320" max="13321" width="8.875" style="2838"/>
    <col min="13322" max="13322" width="5.75" style="2838" customWidth="1"/>
    <col min="13323" max="13323" width="11.75" style="2838" customWidth="1"/>
    <col min="13324" max="13325" width="10.75" style="2838" customWidth="1"/>
    <col min="13326" max="13326" width="10" style="2838" customWidth="1"/>
    <col min="13327" max="13328" width="10.5" style="2838" bestFit="1" customWidth="1"/>
    <col min="13329" max="13329" width="10" style="2838" customWidth="1"/>
    <col min="13330" max="13330" width="10.125" style="2838" customWidth="1"/>
    <col min="13331" max="13331" width="10" style="2838" customWidth="1"/>
    <col min="13332" max="13332" width="26.125" style="2838" customWidth="1"/>
    <col min="13333" max="13568" width="8.875" style="2838"/>
    <col min="13569" max="13569" width="9.5" style="2838" customWidth="1"/>
    <col min="13570" max="13570" width="8.875" style="2838"/>
    <col min="13571" max="13573" width="12.875" style="2838" customWidth="1"/>
    <col min="13574" max="13574" width="47.5" style="2838" customWidth="1"/>
    <col min="13575" max="13575" width="13" style="2838" customWidth="1"/>
    <col min="13576" max="13577" width="8.875" style="2838"/>
    <col min="13578" max="13578" width="5.75" style="2838" customWidth="1"/>
    <col min="13579" max="13579" width="11.75" style="2838" customWidth="1"/>
    <col min="13580" max="13581" width="10.75" style="2838" customWidth="1"/>
    <col min="13582" max="13582" width="10" style="2838" customWidth="1"/>
    <col min="13583" max="13584" width="10.5" style="2838" bestFit="1" customWidth="1"/>
    <col min="13585" max="13585" width="10" style="2838" customWidth="1"/>
    <col min="13586" max="13586" width="10.125" style="2838" customWidth="1"/>
    <col min="13587" max="13587" width="10" style="2838" customWidth="1"/>
    <col min="13588" max="13588" width="26.125" style="2838" customWidth="1"/>
    <col min="13589" max="13824" width="8.875" style="2838"/>
    <col min="13825" max="13825" width="9.5" style="2838" customWidth="1"/>
    <col min="13826" max="13826" width="8.875" style="2838"/>
    <col min="13827" max="13829" width="12.875" style="2838" customWidth="1"/>
    <col min="13830" max="13830" width="47.5" style="2838" customWidth="1"/>
    <col min="13831" max="13831" width="13" style="2838" customWidth="1"/>
    <col min="13832" max="13833" width="8.875" style="2838"/>
    <col min="13834" max="13834" width="5.75" style="2838" customWidth="1"/>
    <col min="13835" max="13835" width="11.75" style="2838" customWidth="1"/>
    <col min="13836" max="13837" width="10.75" style="2838" customWidth="1"/>
    <col min="13838" max="13838" width="10" style="2838" customWidth="1"/>
    <col min="13839" max="13840" width="10.5" style="2838" bestFit="1" customWidth="1"/>
    <col min="13841" max="13841" width="10" style="2838" customWidth="1"/>
    <col min="13842" max="13842" width="10.125" style="2838" customWidth="1"/>
    <col min="13843" max="13843" width="10" style="2838" customWidth="1"/>
    <col min="13844" max="13844" width="26.125" style="2838" customWidth="1"/>
    <col min="13845" max="14080" width="8.875" style="2838"/>
    <col min="14081" max="14081" width="9.5" style="2838" customWidth="1"/>
    <col min="14082" max="14082" width="8.875" style="2838"/>
    <col min="14083" max="14085" width="12.875" style="2838" customWidth="1"/>
    <col min="14086" max="14086" width="47.5" style="2838" customWidth="1"/>
    <col min="14087" max="14087" width="13" style="2838" customWidth="1"/>
    <col min="14088" max="14089" width="8.875" style="2838"/>
    <col min="14090" max="14090" width="5.75" style="2838" customWidth="1"/>
    <col min="14091" max="14091" width="11.75" style="2838" customWidth="1"/>
    <col min="14092" max="14093" width="10.75" style="2838" customWidth="1"/>
    <col min="14094" max="14094" width="10" style="2838" customWidth="1"/>
    <col min="14095" max="14096" width="10.5" style="2838" bestFit="1" customWidth="1"/>
    <col min="14097" max="14097" width="10" style="2838" customWidth="1"/>
    <col min="14098" max="14098" width="10.125" style="2838" customWidth="1"/>
    <col min="14099" max="14099" width="10" style="2838" customWidth="1"/>
    <col min="14100" max="14100" width="26.125" style="2838" customWidth="1"/>
    <col min="14101" max="14336" width="8.875" style="2838"/>
    <col min="14337" max="14337" width="9.5" style="2838" customWidth="1"/>
    <col min="14338" max="14338" width="8.875" style="2838"/>
    <col min="14339" max="14341" width="12.875" style="2838" customWidth="1"/>
    <col min="14342" max="14342" width="47.5" style="2838" customWidth="1"/>
    <col min="14343" max="14343" width="13" style="2838" customWidth="1"/>
    <col min="14344" max="14345" width="8.875" style="2838"/>
    <col min="14346" max="14346" width="5.75" style="2838" customWidth="1"/>
    <col min="14347" max="14347" width="11.75" style="2838" customWidth="1"/>
    <col min="14348" max="14349" width="10.75" style="2838" customWidth="1"/>
    <col min="14350" max="14350" width="10" style="2838" customWidth="1"/>
    <col min="14351" max="14352" width="10.5" style="2838" bestFit="1" customWidth="1"/>
    <col min="14353" max="14353" width="10" style="2838" customWidth="1"/>
    <col min="14354" max="14354" width="10.125" style="2838" customWidth="1"/>
    <col min="14355" max="14355" width="10" style="2838" customWidth="1"/>
    <col min="14356" max="14356" width="26.125" style="2838" customWidth="1"/>
    <col min="14357" max="14592" width="8.875" style="2838"/>
    <col min="14593" max="14593" width="9.5" style="2838" customWidth="1"/>
    <col min="14594" max="14594" width="8.875" style="2838"/>
    <col min="14595" max="14597" width="12.875" style="2838" customWidth="1"/>
    <col min="14598" max="14598" width="47.5" style="2838" customWidth="1"/>
    <col min="14599" max="14599" width="13" style="2838" customWidth="1"/>
    <col min="14600" max="14601" width="8.875" style="2838"/>
    <col min="14602" max="14602" width="5.75" style="2838" customWidth="1"/>
    <col min="14603" max="14603" width="11.75" style="2838" customWidth="1"/>
    <col min="14604" max="14605" width="10.75" style="2838" customWidth="1"/>
    <col min="14606" max="14606" width="10" style="2838" customWidth="1"/>
    <col min="14607" max="14608" width="10.5" style="2838" bestFit="1" customWidth="1"/>
    <col min="14609" max="14609" width="10" style="2838" customWidth="1"/>
    <col min="14610" max="14610" width="10.125" style="2838" customWidth="1"/>
    <col min="14611" max="14611" width="10" style="2838" customWidth="1"/>
    <col min="14612" max="14612" width="26.125" style="2838" customWidth="1"/>
    <col min="14613" max="14848" width="8.875" style="2838"/>
    <col min="14849" max="14849" width="9.5" style="2838" customWidth="1"/>
    <col min="14850" max="14850" width="8.875" style="2838"/>
    <col min="14851" max="14853" width="12.875" style="2838" customWidth="1"/>
    <col min="14854" max="14854" width="47.5" style="2838" customWidth="1"/>
    <col min="14855" max="14855" width="13" style="2838" customWidth="1"/>
    <col min="14856" max="14857" width="8.875" style="2838"/>
    <col min="14858" max="14858" width="5.75" style="2838" customWidth="1"/>
    <col min="14859" max="14859" width="11.75" style="2838" customWidth="1"/>
    <col min="14860" max="14861" width="10.75" style="2838" customWidth="1"/>
    <col min="14862" max="14862" width="10" style="2838" customWidth="1"/>
    <col min="14863" max="14864" width="10.5" style="2838" bestFit="1" customWidth="1"/>
    <col min="14865" max="14865" width="10" style="2838" customWidth="1"/>
    <col min="14866" max="14866" width="10.125" style="2838" customWidth="1"/>
    <col min="14867" max="14867" width="10" style="2838" customWidth="1"/>
    <col min="14868" max="14868" width="26.125" style="2838" customWidth="1"/>
    <col min="14869" max="15104" width="8.875" style="2838"/>
    <col min="15105" max="15105" width="9.5" style="2838" customWidth="1"/>
    <col min="15106" max="15106" width="8.875" style="2838"/>
    <col min="15107" max="15109" width="12.875" style="2838" customWidth="1"/>
    <col min="15110" max="15110" width="47.5" style="2838" customWidth="1"/>
    <col min="15111" max="15111" width="13" style="2838" customWidth="1"/>
    <col min="15112" max="15113" width="8.875" style="2838"/>
    <col min="15114" max="15114" width="5.75" style="2838" customWidth="1"/>
    <col min="15115" max="15115" width="11.75" style="2838" customWidth="1"/>
    <col min="15116" max="15117" width="10.75" style="2838" customWidth="1"/>
    <col min="15118" max="15118" width="10" style="2838" customWidth="1"/>
    <col min="15119" max="15120" width="10.5" style="2838" bestFit="1" customWidth="1"/>
    <col min="15121" max="15121" width="10" style="2838" customWidth="1"/>
    <col min="15122" max="15122" width="10.125" style="2838" customWidth="1"/>
    <col min="15123" max="15123" width="10" style="2838" customWidth="1"/>
    <col min="15124" max="15124" width="26.125" style="2838" customWidth="1"/>
    <col min="15125" max="15360" width="8.875" style="2838"/>
    <col min="15361" max="15361" width="9.5" style="2838" customWidth="1"/>
    <col min="15362" max="15362" width="8.875" style="2838"/>
    <col min="15363" max="15365" width="12.875" style="2838" customWidth="1"/>
    <col min="15366" max="15366" width="47.5" style="2838" customWidth="1"/>
    <col min="15367" max="15367" width="13" style="2838" customWidth="1"/>
    <col min="15368" max="15369" width="8.875" style="2838"/>
    <col min="15370" max="15370" width="5.75" style="2838" customWidth="1"/>
    <col min="15371" max="15371" width="11.75" style="2838" customWidth="1"/>
    <col min="15372" max="15373" width="10.75" style="2838" customWidth="1"/>
    <col min="15374" max="15374" width="10" style="2838" customWidth="1"/>
    <col min="15375" max="15376" width="10.5" style="2838" bestFit="1" customWidth="1"/>
    <col min="15377" max="15377" width="10" style="2838" customWidth="1"/>
    <col min="15378" max="15378" width="10.125" style="2838" customWidth="1"/>
    <col min="15379" max="15379" width="10" style="2838" customWidth="1"/>
    <col min="15380" max="15380" width="26.125" style="2838" customWidth="1"/>
    <col min="15381" max="15616" width="8.875" style="2838"/>
    <col min="15617" max="15617" width="9.5" style="2838" customWidth="1"/>
    <col min="15618" max="15618" width="8.875" style="2838"/>
    <col min="15619" max="15621" width="12.875" style="2838" customWidth="1"/>
    <col min="15622" max="15622" width="47.5" style="2838" customWidth="1"/>
    <col min="15623" max="15623" width="13" style="2838" customWidth="1"/>
    <col min="15624" max="15625" width="8.875" style="2838"/>
    <col min="15626" max="15626" width="5.75" style="2838" customWidth="1"/>
    <col min="15627" max="15627" width="11.75" style="2838" customWidth="1"/>
    <col min="15628" max="15629" width="10.75" style="2838" customWidth="1"/>
    <col min="15630" max="15630" width="10" style="2838" customWidth="1"/>
    <col min="15631" max="15632" width="10.5" style="2838" bestFit="1" customWidth="1"/>
    <col min="15633" max="15633" width="10" style="2838" customWidth="1"/>
    <col min="15634" max="15634" width="10.125" style="2838" customWidth="1"/>
    <col min="15635" max="15635" width="10" style="2838" customWidth="1"/>
    <col min="15636" max="15636" width="26.125" style="2838" customWidth="1"/>
    <col min="15637" max="15872" width="8.875" style="2838"/>
    <col min="15873" max="15873" width="9.5" style="2838" customWidth="1"/>
    <col min="15874" max="15874" width="8.875" style="2838"/>
    <col min="15875" max="15877" width="12.875" style="2838" customWidth="1"/>
    <col min="15878" max="15878" width="47.5" style="2838" customWidth="1"/>
    <col min="15879" max="15879" width="13" style="2838" customWidth="1"/>
    <col min="15880" max="15881" width="8.875" style="2838"/>
    <col min="15882" max="15882" width="5.75" style="2838" customWidth="1"/>
    <col min="15883" max="15883" width="11.75" style="2838" customWidth="1"/>
    <col min="15884" max="15885" width="10.75" style="2838" customWidth="1"/>
    <col min="15886" max="15886" width="10" style="2838" customWidth="1"/>
    <col min="15887" max="15888" width="10.5" style="2838" bestFit="1" customWidth="1"/>
    <col min="15889" max="15889" width="10" style="2838" customWidth="1"/>
    <col min="15890" max="15890" width="10.125" style="2838" customWidth="1"/>
    <col min="15891" max="15891" width="10" style="2838" customWidth="1"/>
    <col min="15892" max="15892" width="26.125" style="2838" customWidth="1"/>
    <col min="15893" max="16128" width="8.875" style="2838"/>
    <col min="16129" max="16129" width="9.5" style="2838" customWidth="1"/>
    <col min="16130" max="16130" width="8.875" style="2838"/>
    <col min="16131" max="16133" width="12.875" style="2838" customWidth="1"/>
    <col min="16134" max="16134" width="47.5" style="2838" customWidth="1"/>
    <col min="16135" max="16135" width="13" style="2838" customWidth="1"/>
    <col min="16136" max="16137" width="8.875" style="2838"/>
    <col min="16138" max="16138" width="5.75" style="2838" customWidth="1"/>
    <col min="16139" max="16139" width="11.75" style="2838" customWidth="1"/>
    <col min="16140" max="16141" width="10.75" style="2838" customWidth="1"/>
    <col min="16142" max="16142" width="10" style="2838" customWidth="1"/>
    <col min="16143" max="16144" width="10.5" style="2838" bestFit="1" customWidth="1"/>
    <col min="16145" max="16145" width="10" style="2838" customWidth="1"/>
    <col min="16146" max="16146" width="10.125" style="2838" customWidth="1"/>
    <col min="16147" max="16147" width="10" style="2838" customWidth="1"/>
    <col min="16148" max="16148" width="26.125" style="2838" customWidth="1"/>
    <col min="16149" max="16384" width="8.875" style="2838"/>
  </cols>
  <sheetData>
    <row r="1" spans="1:22" ht="21" customHeight="1">
      <c r="A1" s="2827" t="s">
        <v>2436</v>
      </c>
      <c r="B1" s="2828"/>
      <c r="C1" s="2840"/>
      <c r="D1" s="2840"/>
      <c r="E1" s="2829"/>
      <c r="F1" s="2830"/>
      <c r="G1" s="2831"/>
      <c r="J1" s="2834" t="s">
        <v>2315</v>
      </c>
      <c r="K1" s="2835"/>
      <c r="L1" s="2835"/>
      <c r="M1" s="2835"/>
      <c r="N1" s="2835"/>
      <c r="O1" s="2835"/>
      <c r="P1" s="2835"/>
      <c r="Q1" s="2835"/>
      <c r="R1" s="2836"/>
      <c r="S1" s="2837"/>
      <c r="T1" s="2837"/>
      <c r="U1" s="2837"/>
    </row>
    <row r="2" spans="1:22" s="2849" customFormat="1" ht="13.15" customHeight="1">
      <c r="A2" s="1383" t="s">
        <v>2316</v>
      </c>
      <c r="B2" s="2839" t="e">
        <f>IF(D2="——",C40,C40+E2)</f>
        <v>#DIV/0!</v>
      </c>
      <c r="C2" s="2840" t="s">
        <v>2317</v>
      </c>
      <c r="D2" s="3439" t="s">
        <v>3360</v>
      </c>
      <c r="E2" s="3440"/>
      <c r="F2" s="2842"/>
      <c r="G2" s="2843"/>
      <c r="H2" s="2844"/>
      <c r="I2" s="2845"/>
      <c r="J2" s="3770" t="s">
        <v>2318</v>
      </c>
      <c r="K2" s="3771"/>
      <c r="L2" s="2846" t="s">
        <v>2319</v>
      </c>
      <c r="M2" s="2846" t="s">
        <v>2320</v>
      </c>
      <c r="N2" s="2846" t="s">
        <v>2321</v>
      </c>
      <c r="O2" s="2846" t="s">
        <v>2322</v>
      </c>
      <c r="P2" s="2846" t="s">
        <v>2323</v>
      </c>
      <c r="Q2" s="2847" t="s">
        <v>2324</v>
      </c>
      <c r="R2" s="2848" t="s">
        <v>2325</v>
      </c>
      <c r="S2" s="2837"/>
      <c r="T2" s="2837"/>
      <c r="U2" s="2837"/>
      <c r="V2" s="2845"/>
    </row>
    <row r="3" spans="1:22" s="2849" customFormat="1" ht="13.15" customHeight="1">
      <c r="A3" s="2850" t="s">
        <v>2326</v>
      </c>
      <c r="B3" s="2851" t="e">
        <f>ROUND(B2*10000/B4,0)</f>
        <v>#DIV/0!</v>
      </c>
      <c r="C3" s="2840" t="s">
        <v>2327</v>
      </c>
      <c r="D3" s="2840"/>
      <c r="E3" s="2841"/>
      <c r="F3" s="2842"/>
      <c r="G3" s="2843"/>
      <c r="H3" s="2844"/>
      <c r="I3" s="2845"/>
      <c r="J3" s="3772" t="s">
        <v>2328</v>
      </c>
      <c r="K3" s="3773"/>
      <c r="L3" s="2852"/>
      <c r="M3" s="2852"/>
      <c r="N3" s="2852"/>
      <c r="O3" s="2852"/>
      <c r="P3" s="2852"/>
      <c r="Q3" s="2853"/>
      <c r="R3" s="2854">
        <f>SUM(L3:Q3)</f>
        <v>0</v>
      </c>
      <c r="S3" s="2837"/>
      <c r="T3" s="2837"/>
      <c r="U3" s="2837"/>
      <c r="V3" s="2845"/>
    </row>
    <row r="4" spans="1:22" s="2849" customFormat="1" ht="13.15" customHeight="1">
      <c r="A4" s="2855" t="s">
        <v>2329</v>
      </c>
      <c r="B4" s="2856"/>
      <c r="C4" s="2840"/>
      <c r="D4" s="2840"/>
      <c r="E4" s="2841"/>
      <c r="F4" s="2842"/>
      <c r="G4" s="2843"/>
      <c r="H4" s="2844"/>
      <c r="I4" s="2845"/>
      <c r="J4" s="3772" t="s">
        <v>2330</v>
      </c>
      <c r="K4" s="3773"/>
      <c r="L4" s="2857"/>
      <c r="M4" s="2857"/>
      <c r="N4" s="2857"/>
      <c r="O4" s="2857"/>
      <c r="P4" s="2857"/>
      <c r="Q4" s="2858"/>
      <c r="R4" s="2859">
        <f>SUM(L4:Q4)</f>
        <v>0</v>
      </c>
      <c r="S4" s="2837"/>
      <c r="T4" s="2837"/>
      <c r="U4" s="2837"/>
      <c r="V4" s="2845"/>
    </row>
    <row r="5" spans="1:22" s="2849" customFormat="1" ht="13.15" customHeight="1" thickBot="1">
      <c r="A5" s="2860" t="s">
        <v>2331</v>
      </c>
      <c r="B5" s="2861"/>
      <c r="C5" s="2840"/>
      <c r="D5" s="2862"/>
      <c r="E5" s="2842"/>
      <c r="F5" s="2842"/>
      <c r="G5" s="2843"/>
      <c r="H5" s="2844"/>
      <c r="I5" s="2845"/>
      <c r="J5" s="2863" t="s">
        <v>2332</v>
      </c>
      <c r="K5" s="2864"/>
      <c r="L5" s="2864"/>
      <c r="M5" s="2865"/>
      <c r="N5" s="2865"/>
      <c r="O5" s="2865"/>
      <c r="P5" s="2865"/>
      <c r="Q5" s="2865"/>
      <c r="R5" s="2848">
        <f>SUM(R14,R19,R24,R25,R27,R28)</f>
        <v>0</v>
      </c>
      <c r="S5" s="2837"/>
      <c r="T5" s="2837" t="s">
        <v>2333</v>
      </c>
      <c r="U5" s="2837" t="e">
        <f>ROUND(R5*10000/365/R3,1)</f>
        <v>#DIV/0!</v>
      </c>
      <c r="V5" s="2845"/>
    </row>
    <row r="6" spans="1:22" s="2849" customFormat="1" ht="13.15" customHeight="1" thickBot="1">
      <c r="A6" s="3774" t="s">
        <v>2334</v>
      </c>
      <c r="B6" s="3775"/>
      <c r="C6" s="3776"/>
      <c r="D6" s="2866"/>
      <c r="E6" s="2867"/>
      <c r="F6" s="2868"/>
      <c r="G6" s="2869"/>
      <c r="H6" s="2844"/>
      <c r="I6" s="2845"/>
      <c r="J6" s="3777">
        <v>1</v>
      </c>
      <c r="K6" s="3778" t="s">
        <v>2335</v>
      </c>
      <c r="L6" s="2870" t="s">
        <v>2336</v>
      </c>
      <c r="M6" s="2871" t="s">
        <v>2337</v>
      </c>
      <c r="N6" s="2871" t="s">
        <v>2338</v>
      </c>
      <c r="O6" s="2871" t="s">
        <v>2339</v>
      </c>
      <c r="P6" s="2871" t="s">
        <v>2340</v>
      </c>
      <c r="Q6" s="2871" t="s">
        <v>2341</v>
      </c>
      <c r="R6" s="2854" t="s">
        <v>2342</v>
      </c>
      <c r="S6" s="2837"/>
      <c r="T6" s="2837" t="s">
        <v>2343</v>
      </c>
      <c r="U6" s="2837"/>
      <c r="V6" s="2845"/>
    </row>
    <row r="7" spans="1:22" s="2849" customFormat="1" ht="13.15" customHeight="1">
      <c r="A7" s="2872" t="s">
        <v>2344</v>
      </c>
      <c r="B7" s="2873"/>
      <c r="C7" s="2874"/>
      <c r="D7" s="2875">
        <f>SUM(D9,D10,D11,D17,0)</f>
        <v>0</v>
      </c>
      <c r="E7" s="2876" t="e">
        <f>E9+E10+E11+E17</f>
        <v>#DIV/0!</v>
      </c>
      <c r="F7" s="2877"/>
      <c r="G7" s="2878"/>
      <c r="H7" s="2844"/>
      <c r="I7" s="2845"/>
      <c r="J7" s="3777"/>
      <c r="K7" s="3779"/>
      <c r="L7" s="2879" t="s">
        <v>2345</v>
      </c>
      <c r="M7" s="2880"/>
      <c r="N7" s="2856"/>
      <c r="O7" s="2881"/>
      <c r="P7" s="2881"/>
      <c r="Q7" s="2882">
        <v>365</v>
      </c>
      <c r="R7" s="2883">
        <f>ROUND(M7*N7*O7*P7*Q7/10000,0)</f>
        <v>0</v>
      </c>
      <c r="S7" s="2837"/>
      <c r="T7" s="2837" t="s">
        <v>2346</v>
      </c>
      <c r="U7" s="2837"/>
      <c r="V7" s="2845"/>
    </row>
    <row r="8" spans="1:22" s="2849" customFormat="1" ht="13.15" customHeight="1">
      <c r="A8" s="2884" t="s">
        <v>2347</v>
      </c>
      <c r="B8" s="3781" t="s">
        <v>2348</v>
      </c>
      <c r="C8" s="3782"/>
      <c r="D8" s="2885" t="s">
        <v>2349</v>
      </c>
      <c r="E8" s="2886" t="s">
        <v>2350</v>
      </c>
      <c r="F8" s="2887" t="s">
        <v>2351</v>
      </c>
      <c r="G8" s="2888"/>
      <c r="H8" s="2844"/>
      <c r="I8" s="2845"/>
      <c r="J8" s="3777"/>
      <c r="K8" s="3779"/>
      <c r="L8" s="2879" t="s">
        <v>2352</v>
      </c>
      <c r="M8" s="2880"/>
      <c r="N8" s="2856"/>
      <c r="O8" s="2881"/>
      <c r="P8" s="2881"/>
      <c r="Q8" s="2882">
        <v>365</v>
      </c>
      <c r="R8" s="2883">
        <f t="shared" ref="R8:R13" si="0">ROUND(M8*N8*O8*P8*Q8/10000,0)</f>
        <v>0</v>
      </c>
      <c r="S8" s="2837"/>
      <c r="T8" s="2837" t="s">
        <v>2353</v>
      </c>
      <c r="U8" s="2837"/>
      <c r="V8" s="2845"/>
    </row>
    <row r="9" spans="1:22" s="2849" customFormat="1" ht="13.15" customHeight="1">
      <c r="A9" s="2884">
        <v>1</v>
      </c>
      <c r="B9" s="3781" t="s">
        <v>2354</v>
      </c>
      <c r="C9" s="3782"/>
      <c r="D9" s="2885">
        <f>ROUND(D6*E9,0)</f>
        <v>0</v>
      </c>
      <c r="E9" s="2889"/>
      <c r="F9" s="2890" t="s">
        <v>2355</v>
      </c>
      <c r="G9" s="2869"/>
      <c r="H9" s="2844"/>
      <c r="I9" s="2845"/>
      <c r="J9" s="3777"/>
      <c r="K9" s="3779"/>
      <c r="L9" s="2879" t="s">
        <v>2356</v>
      </c>
      <c r="M9" s="2880"/>
      <c r="N9" s="2856"/>
      <c r="O9" s="2881"/>
      <c r="P9" s="2881"/>
      <c r="Q9" s="2882">
        <v>365</v>
      </c>
      <c r="R9" s="2883">
        <f t="shared" si="0"/>
        <v>0</v>
      </c>
      <c r="S9" s="2837"/>
      <c r="T9" s="2837"/>
      <c r="U9" s="2837"/>
      <c r="V9" s="2845"/>
    </row>
    <row r="10" spans="1:22" s="2849" customFormat="1" ht="13.15" customHeight="1">
      <c r="A10" s="2884">
        <v>2</v>
      </c>
      <c r="B10" s="3781" t="s">
        <v>2357</v>
      </c>
      <c r="C10" s="3782"/>
      <c r="D10" s="2885">
        <f>ROUND(D6*E10,0)</f>
        <v>0</v>
      </c>
      <c r="E10" s="2889"/>
      <c r="F10" s="2890" t="s">
        <v>2358</v>
      </c>
      <c r="G10" s="2869"/>
      <c r="H10" s="2844"/>
      <c r="I10" s="2845"/>
      <c r="J10" s="3777"/>
      <c r="K10" s="3779"/>
      <c r="L10" s="2879" t="s">
        <v>2359</v>
      </c>
      <c r="M10" s="2880"/>
      <c r="N10" s="2856"/>
      <c r="O10" s="2881"/>
      <c r="P10" s="2881"/>
      <c r="Q10" s="2882">
        <v>365</v>
      </c>
      <c r="R10" s="2883">
        <f t="shared" si="0"/>
        <v>0</v>
      </c>
      <c r="S10" s="2837"/>
      <c r="T10" s="2837"/>
      <c r="U10" s="2837"/>
      <c r="V10" s="2845"/>
    </row>
    <row r="11" spans="1:22" s="2849" customFormat="1" ht="13.15" customHeight="1">
      <c r="A11" s="2884">
        <v>3</v>
      </c>
      <c r="B11" s="3781" t="s">
        <v>2360</v>
      </c>
      <c r="C11" s="3782"/>
      <c r="D11" s="2885">
        <f>D12+D14+D15+D16</f>
        <v>0</v>
      </c>
      <c r="E11" s="2891" t="e">
        <f>D11/D6</f>
        <v>#DIV/0!</v>
      </c>
      <c r="F11" s="2887"/>
      <c r="G11" s="2888"/>
      <c r="H11" s="2844"/>
      <c r="I11" s="2845"/>
      <c r="J11" s="3777"/>
      <c r="K11" s="3779"/>
      <c r="L11" s="2879" t="s">
        <v>2361</v>
      </c>
      <c r="M11" s="2880"/>
      <c r="N11" s="2856"/>
      <c r="O11" s="2881"/>
      <c r="P11" s="2881"/>
      <c r="Q11" s="2882">
        <v>365</v>
      </c>
      <c r="R11" s="2883">
        <f t="shared" si="0"/>
        <v>0</v>
      </c>
      <c r="S11" s="2837"/>
      <c r="T11" s="2837"/>
      <c r="U11" s="2837"/>
      <c r="V11" s="2845"/>
    </row>
    <row r="12" spans="1:22" s="2849" customFormat="1" ht="13.15" customHeight="1">
      <c r="A12" s="2892" t="s">
        <v>2362</v>
      </c>
      <c r="B12" s="3783" t="s">
        <v>2363</v>
      </c>
      <c r="C12" s="3784"/>
      <c r="D12" s="2893">
        <f>ROUND(D13*1.2%*(1-30%),0)</f>
        <v>0</v>
      </c>
      <c r="E12" s="2894">
        <v>1.2E-2</v>
      </c>
      <c r="F12" s="2887" t="s">
        <v>2364</v>
      </c>
      <c r="G12" s="2888"/>
      <c r="H12" s="2844"/>
      <c r="I12" s="2845"/>
      <c r="J12" s="3777"/>
      <c r="K12" s="3779"/>
      <c r="L12" s="2879" t="s">
        <v>2365</v>
      </c>
      <c r="M12" s="2880"/>
      <c r="N12" s="2856"/>
      <c r="O12" s="2881"/>
      <c r="P12" s="2881"/>
      <c r="Q12" s="2882">
        <v>365</v>
      </c>
      <c r="R12" s="2883">
        <f t="shared" si="0"/>
        <v>0</v>
      </c>
      <c r="S12" s="2837"/>
      <c r="T12" s="2837"/>
      <c r="U12" s="2837"/>
      <c r="V12" s="2845"/>
    </row>
    <row r="13" spans="1:22" s="2849" customFormat="1" ht="13.15" customHeight="1">
      <c r="A13" s="2892"/>
      <c r="B13" s="2895"/>
      <c r="C13" s="2896" t="s">
        <v>2366</v>
      </c>
      <c r="D13" s="2897"/>
      <c r="E13" s="2898"/>
      <c r="F13" s="2887"/>
      <c r="G13" s="2888"/>
      <c r="H13" s="2844"/>
      <c r="I13" s="2845"/>
      <c r="J13" s="3777"/>
      <c r="K13" s="3779"/>
      <c r="L13" s="2879" t="s">
        <v>2367</v>
      </c>
      <c r="M13" s="2880"/>
      <c r="N13" s="2856"/>
      <c r="O13" s="2881"/>
      <c r="P13" s="2881"/>
      <c r="Q13" s="2882">
        <v>365</v>
      </c>
      <c r="R13" s="2883">
        <f t="shared" si="0"/>
        <v>0</v>
      </c>
      <c r="S13" s="2837"/>
      <c r="T13" s="2837"/>
      <c r="U13" s="2837"/>
      <c r="V13" s="2845"/>
    </row>
    <row r="14" spans="1:22" s="2849" customFormat="1" ht="13.15" customHeight="1">
      <c r="A14" s="2892" t="s">
        <v>2368</v>
      </c>
      <c r="B14" s="3783" t="s">
        <v>2369</v>
      </c>
      <c r="C14" s="3784"/>
      <c r="D14" s="2893">
        <f>ROUND(E14*B5/10000,0)</f>
        <v>0</v>
      </c>
      <c r="E14" s="2882"/>
      <c r="F14" s="2887" t="s">
        <v>2370</v>
      </c>
      <c r="G14" s="2888"/>
      <c r="H14" s="2844"/>
      <c r="I14" s="2845"/>
      <c r="J14" s="3777"/>
      <c r="K14" s="3780"/>
      <c r="L14" s="2899" t="s">
        <v>2371</v>
      </c>
      <c r="M14" s="2900">
        <f>SUM(M7:M13)</f>
        <v>0</v>
      </c>
      <c r="N14" s="2900" t="e">
        <f>ROUND((N7*M7+N8*M8+N9*M9+N10*M10+N11*M11+N12*M12+N13*M13)/M14,0)</f>
        <v>#DIV/0!</v>
      </c>
      <c r="O14" s="2901"/>
      <c r="P14" s="2901"/>
      <c r="Q14" s="2902"/>
      <c r="R14" s="2848">
        <f>SUM(R7:R13)</f>
        <v>0</v>
      </c>
      <c r="S14" s="2837"/>
      <c r="T14" s="2837"/>
      <c r="U14" s="2837"/>
      <c r="V14" s="2845"/>
    </row>
    <row r="15" spans="1:22" s="2849" customFormat="1" ht="13.15" customHeight="1">
      <c r="A15" s="2892" t="s">
        <v>2372</v>
      </c>
      <c r="B15" s="3783" t="s">
        <v>2373</v>
      </c>
      <c r="C15" s="3784"/>
      <c r="D15" s="2893">
        <f>ROUND(D6*E15,0)</f>
        <v>0</v>
      </c>
      <c r="E15" s="2894">
        <v>5.5E-2</v>
      </c>
      <c r="F15" s="2887" t="s">
        <v>2374</v>
      </c>
      <c r="G15" s="2869"/>
      <c r="H15" s="2844"/>
      <c r="I15" s="2845"/>
      <c r="J15" s="3777">
        <v>2</v>
      </c>
      <c r="K15" s="3778" t="s">
        <v>2375</v>
      </c>
      <c r="L15" s="2879" t="s">
        <v>2376</v>
      </c>
      <c r="M15" s="2880" t="s">
        <v>2377</v>
      </c>
      <c r="N15" s="2880" t="s">
        <v>2378</v>
      </c>
      <c r="O15" s="2881" t="s">
        <v>2379</v>
      </c>
      <c r="P15" s="2881" t="s">
        <v>2341</v>
      </c>
      <c r="Q15" s="2856" t="s">
        <v>2380</v>
      </c>
      <c r="R15" s="2903" t="s">
        <v>2342</v>
      </c>
      <c r="S15" s="2837"/>
      <c r="T15" s="2837"/>
      <c r="U15" s="2837"/>
      <c r="V15" s="2845"/>
    </row>
    <row r="16" spans="1:22" s="2849" customFormat="1" ht="13.15" customHeight="1">
      <c r="A16" s="2892" t="s">
        <v>2381</v>
      </c>
      <c r="B16" s="3783" t="s">
        <v>2382</v>
      </c>
      <c r="C16" s="3784"/>
      <c r="D16" s="2904">
        <f>D6*E16</f>
        <v>0</v>
      </c>
      <c r="E16" s="2905"/>
      <c r="F16" s="2890" t="s">
        <v>2383</v>
      </c>
      <c r="G16" s="2869"/>
      <c r="H16" s="2844"/>
      <c r="I16" s="2845"/>
      <c r="J16" s="3777"/>
      <c r="K16" s="3779"/>
      <c r="L16" s="2879" t="s">
        <v>2384</v>
      </c>
      <c r="M16" s="2880"/>
      <c r="N16" s="2880"/>
      <c r="O16" s="2881"/>
      <c r="P16" s="2882">
        <v>365</v>
      </c>
      <c r="Q16" s="2856"/>
      <c r="R16" s="2903">
        <f>ROUND(M16*N16*O16*P16/10000,0)</f>
        <v>0</v>
      </c>
      <c r="S16" s="2837"/>
      <c r="T16" s="2837"/>
      <c r="U16" s="2837"/>
      <c r="V16" s="2845"/>
    </row>
    <row r="17" spans="1:22" s="2849" customFormat="1" ht="13.15" customHeight="1" thickBot="1">
      <c r="A17" s="2906">
        <v>4</v>
      </c>
      <c r="B17" s="3785" t="s">
        <v>2385</v>
      </c>
      <c r="C17" s="3786"/>
      <c r="D17" s="2907">
        <f>ROUND(D6*E17,0)</f>
        <v>0</v>
      </c>
      <c r="E17" s="2908"/>
      <c r="F17" s="2909" t="s">
        <v>2386</v>
      </c>
      <c r="G17" s="2869"/>
      <c r="H17" s="2844"/>
      <c r="I17" s="2845"/>
      <c r="J17" s="3777"/>
      <c r="K17" s="3779"/>
      <c r="L17" s="2879" t="s">
        <v>2387</v>
      </c>
      <c r="M17" s="2880"/>
      <c r="N17" s="2880"/>
      <c r="O17" s="2881"/>
      <c r="P17" s="2882">
        <v>365</v>
      </c>
      <c r="Q17" s="2856"/>
      <c r="R17" s="2903">
        <f>ROUND(M17*N17*O17*P17/10000,0)</f>
        <v>0</v>
      </c>
      <c r="S17" s="2837"/>
      <c r="T17" s="2837"/>
      <c r="U17" s="2837"/>
      <c r="V17" s="2845"/>
    </row>
    <row r="18" spans="1:22" s="2849" customFormat="1" ht="13.15" customHeight="1" thickBot="1">
      <c r="A18" s="2872" t="s">
        <v>2388</v>
      </c>
      <c r="B18" s="2873"/>
      <c r="C18" s="2873"/>
      <c r="D18" s="2910">
        <f>ROUND(D6*E18,0)</f>
        <v>0</v>
      </c>
      <c r="E18" s="2911"/>
      <c r="F18" s="2912" t="s">
        <v>2389</v>
      </c>
      <c r="G18" s="2869"/>
      <c r="H18" s="2844"/>
      <c r="I18" s="2845"/>
      <c r="J18" s="3777"/>
      <c r="K18" s="3779"/>
      <c r="L18" s="2879" t="s">
        <v>2390</v>
      </c>
      <c r="M18" s="2880"/>
      <c r="N18" s="2880"/>
      <c r="O18" s="2881"/>
      <c r="P18" s="2882">
        <v>365</v>
      </c>
      <c r="Q18" s="2856"/>
      <c r="R18" s="2903">
        <f>ROUND(M18*N18*O18*P18/10000,0)</f>
        <v>0</v>
      </c>
      <c r="S18" s="2837"/>
      <c r="T18" s="2837"/>
      <c r="U18" s="2837"/>
      <c r="V18" s="2845"/>
    </row>
    <row r="19" spans="1:22" s="2849" customFormat="1" ht="13.15" customHeight="1" thickBot="1">
      <c r="A19" s="2913" t="s">
        <v>2391</v>
      </c>
      <c r="B19" s="2867"/>
      <c r="C19" s="2867"/>
      <c r="D19" s="2867"/>
      <c r="E19" s="2867"/>
      <c r="F19" s="2868"/>
      <c r="G19" s="2888"/>
      <c r="H19" s="2844"/>
      <c r="I19" s="2845"/>
      <c r="J19" s="3777"/>
      <c r="K19" s="3780"/>
      <c r="L19" s="2899" t="s">
        <v>2371</v>
      </c>
      <c r="M19" s="2900"/>
      <c r="N19" s="2900">
        <f>SUM(N16:N18)</f>
        <v>0</v>
      </c>
      <c r="O19" s="2901"/>
      <c r="P19" s="2914" t="s">
        <v>2435</v>
      </c>
      <c r="Q19" s="2881">
        <v>0</v>
      </c>
      <c r="R19" s="2915">
        <f>ROUND(IF(P19="按比例",R14*Q19,SUM(R16:R18)),0)</f>
        <v>0</v>
      </c>
      <c r="S19" s="2837"/>
      <c r="T19" s="2837"/>
      <c r="U19" s="2837"/>
      <c r="V19" s="2845"/>
    </row>
    <row r="20" spans="1:22" s="2849" customFormat="1" ht="13.15" customHeight="1">
      <c r="A20" s="2872"/>
      <c r="B20" s="2873"/>
      <c r="C20" s="2873"/>
      <c r="D20" s="2873"/>
      <c r="E20" s="2873"/>
      <c r="F20" s="2916"/>
      <c r="G20" s="2888"/>
      <c r="H20" s="2844"/>
      <c r="I20" s="2845"/>
      <c r="J20" s="3777">
        <v>3</v>
      </c>
      <c r="K20" s="3778" t="s">
        <v>2392</v>
      </c>
      <c r="L20" s="2879" t="s">
        <v>2393</v>
      </c>
      <c r="M20" s="2880" t="s">
        <v>2394</v>
      </c>
      <c r="N20" s="2917" t="s">
        <v>2395</v>
      </c>
      <c r="O20" s="2881" t="s">
        <v>2396</v>
      </c>
      <c r="P20" s="2882" t="s">
        <v>2397</v>
      </c>
      <c r="Q20" s="2856" t="s">
        <v>2398</v>
      </c>
      <c r="R20" s="2903" t="s">
        <v>2399</v>
      </c>
      <c r="S20" s="2918"/>
      <c r="T20" s="2918"/>
      <c r="U20" s="2918"/>
      <c r="V20" s="2845"/>
    </row>
    <row r="21" spans="1:22" s="2849" customFormat="1" ht="13.15" customHeight="1">
      <c r="A21" s="2872"/>
      <c r="B21" s="2873"/>
      <c r="C21" s="2919" t="s">
        <v>2400</v>
      </c>
      <c r="D21" s="2920" t="s">
        <v>2401</v>
      </c>
      <c r="E21" s="2921" t="s">
        <v>2402</v>
      </c>
      <c r="F21" s="2916"/>
      <c r="G21" s="2888"/>
      <c r="H21" s="2844"/>
      <c r="I21" s="2845"/>
      <c r="J21" s="3777"/>
      <c r="K21" s="3779"/>
      <c r="L21" s="2879" t="s">
        <v>2403</v>
      </c>
      <c r="M21" s="2880"/>
      <c r="N21" s="2880"/>
      <c r="O21" s="2881"/>
      <c r="P21" s="2882">
        <v>365</v>
      </c>
      <c r="Q21" s="2856"/>
      <c r="R21" s="2922">
        <f>ROUND(M21*N21*O21*P21/10000,0)</f>
        <v>0</v>
      </c>
      <c r="S21" s="2918"/>
      <c r="T21" s="2918"/>
      <c r="U21" s="2918"/>
      <c r="V21" s="2845"/>
    </row>
    <row r="22" spans="1:22" s="2849" customFormat="1" ht="13.15" customHeight="1">
      <c r="A22" s="2872"/>
      <c r="B22" s="2873"/>
      <c r="C22" s="2923" t="s">
        <v>2404</v>
      </c>
      <c r="D22" s="2924" t="s">
        <v>2405</v>
      </c>
      <c r="E22" s="2925" t="s">
        <v>2406</v>
      </c>
      <c r="F22" s="2916"/>
      <c r="G22" s="2926"/>
      <c r="H22" s="2844"/>
      <c r="I22" s="2845"/>
      <c r="J22" s="3777"/>
      <c r="K22" s="3779"/>
      <c r="L22" s="2879" t="s">
        <v>2407</v>
      </c>
      <c r="M22" s="2880"/>
      <c r="N22" s="2880"/>
      <c r="O22" s="2881"/>
      <c r="P22" s="2882">
        <v>365</v>
      </c>
      <c r="Q22" s="2856"/>
      <c r="R22" s="2922">
        <f>ROUND(M22*N22*O22*P22/10000,0)</f>
        <v>0</v>
      </c>
      <c r="S22" s="2918"/>
      <c r="T22" s="2918"/>
      <c r="U22" s="2918"/>
      <c r="V22" s="2845"/>
    </row>
    <row r="23" spans="1:22" s="2849" customFormat="1" ht="13.15" customHeight="1">
      <c r="A23" s="2927">
        <v>1</v>
      </c>
      <c r="B23" s="2928" t="s">
        <v>2408</v>
      </c>
      <c r="C23" s="2929">
        <f>D6</f>
        <v>0</v>
      </c>
      <c r="D23" s="2930">
        <f>C23*(1+D24)</f>
        <v>0</v>
      </c>
      <c r="E23" s="2931">
        <f>D23*(1+E24)</f>
        <v>0</v>
      </c>
      <c r="F23" s="2932"/>
      <c r="G23" s="2933"/>
      <c r="H23" s="2844"/>
      <c r="I23" s="2845"/>
      <c r="J23" s="3777"/>
      <c r="K23" s="3779"/>
      <c r="L23" s="2879" t="s">
        <v>2409</v>
      </c>
      <c r="M23" s="2880"/>
      <c r="N23" s="2880"/>
      <c r="O23" s="2881"/>
      <c r="P23" s="2882">
        <v>365</v>
      </c>
      <c r="Q23" s="2856"/>
      <c r="R23" s="2922">
        <f>ROUND(M23*N23*O23*P23/10000,0)</f>
        <v>0</v>
      </c>
      <c r="S23" s="2837"/>
      <c r="T23" s="2837"/>
      <c r="U23" s="2837"/>
      <c r="V23" s="2845"/>
    </row>
    <row r="24" spans="1:22" s="2849" customFormat="1" ht="13.15" customHeight="1">
      <c r="A24" s="2934"/>
      <c r="B24" s="2935" t="s">
        <v>2410</v>
      </c>
      <c r="C24" s="2936"/>
      <c r="D24" s="2937"/>
      <c r="E24" s="2938"/>
      <c r="F24" s="2939"/>
      <c r="G24" s="2933"/>
      <c r="H24" s="2844"/>
      <c r="I24" s="2845"/>
      <c r="J24" s="3777"/>
      <c r="K24" s="3780"/>
      <c r="L24" s="2899" t="s">
        <v>2371</v>
      </c>
      <c r="M24" s="2900">
        <f>SUM(M21:M23)</f>
        <v>0</v>
      </c>
      <c r="N24" s="2900"/>
      <c r="O24" s="2901"/>
      <c r="P24" s="2914" t="s">
        <v>2435</v>
      </c>
      <c r="Q24" s="2881">
        <v>0</v>
      </c>
      <c r="R24" s="2915">
        <f>ROUND(IF(P24="按比例",R14*Q24,SUM(R21:R23)),0)</f>
        <v>0</v>
      </c>
      <c r="S24" s="2837"/>
      <c r="T24" s="2837"/>
      <c r="U24" s="2837"/>
      <c r="V24" s="2845"/>
    </row>
    <row r="25" spans="1:22" s="2946" customFormat="1" ht="13.15" customHeight="1">
      <c r="A25" s="2934"/>
      <c r="B25" s="2935"/>
      <c r="C25" s="2936"/>
      <c r="D25" s="2937"/>
      <c r="E25" s="2938"/>
      <c r="F25" s="2939"/>
      <c r="G25" s="2926"/>
      <c r="H25" s="2844"/>
      <c r="I25" s="2845"/>
      <c r="J25" s="2940">
        <v>4</v>
      </c>
      <c r="K25" s="2941" t="s">
        <v>2411</v>
      </c>
      <c r="L25" s="2942"/>
      <c r="M25" s="2942"/>
      <c r="N25" s="2942"/>
      <c r="O25" s="2942"/>
      <c r="P25" s="2943"/>
      <c r="Q25" s="2944">
        <v>0</v>
      </c>
      <c r="R25" s="2915">
        <f>ROUND(R14*Q25,0)</f>
        <v>0</v>
      </c>
      <c r="S25" s="2837"/>
      <c r="T25" s="2837"/>
      <c r="U25" s="2837"/>
      <c r="V25" s="2945"/>
    </row>
    <row r="26" spans="1:22" s="2946" customFormat="1" ht="13.15" customHeight="1">
      <c r="A26" s="2927">
        <v>2</v>
      </c>
      <c r="B26" s="2928" t="s">
        <v>2412</v>
      </c>
      <c r="C26" s="2929">
        <f>D7</f>
        <v>0</v>
      </c>
      <c r="D26" s="2930">
        <f>D23*D27</f>
        <v>0</v>
      </c>
      <c r="E26" s="2931">
        <f>E23*E27</f>
        <v>0</v>
      </c>
      <c r="F26" s="2932"/>
      <c r="G26" s="2933"/>
      <c r="H26" s="2844"/>
      <c r="I26" s="2845"/>
      <c r="J26" s="3787">
        <v>5</v>
      </c>
      <c r="K26" s="2947" t="s">
        <v>2413</v>
      </c>
      <c r="L26" s="2948"/>
      <c r="M26" s="2949"/>
      <c r="N26" s="2950" t="s">
        <v>2414</v>
      </c>
      <c r="O26" s="2950" t="s">
        <v>2415</v>
      </c>
      <c r="P26" s="2951" t="s">
        <v>2416</v>
      </c>
      <c r="Q26" s="2951" t="s">
        <v>2417</v>
      </c>
      <c r="R26" s="2854" t="s">
        <v>2342</v>
      </c>
      <c r="S26" s="2952"/>
      <c r="T26" s="2952"/>
      <c r="U26" s="2952"/>
      <c r="V26" s="2945"/>
    </row>
    <row r="27" spans="1:22" s="2849" customFormat="1" ht="13.15" customHeight="1">
      <c r="A27" s="2934"/>
      <c r="B27" s="2935" t="s">
        <v>2418</v>
      </c>
      <c r="C27" s="2953" t="e">
        <f>E7</f>
        <v>#DIV/0!</v>
      </c>
      <c r="D27" s="2937"/>
      <c r="E27" s="2938"/>
      <c r="F27" s="2939"/>
      <c r="G27" s="2933"/>
      <c r="H27" s="2954"/>
      <c r="I27" s="2945"/>
      <c r="J27" s="3788"/>
      <c r="K27" s="2955"/>
      <c r="L27" s="2956"/>
      <c r="M27" s="2957"/>
      <c r="N27" s="2958"/>
      <c r="O27" s="2958"/>
      <c r="P27" s="2958"/>
      <c r="Q27" s="2959"/>
      <c r="R27" s="2915">
        <f>ROUND(O27*N27*P27*(1-Q27)/10000,0)</f>
        <v>0</v>
      </c>
      <c r="S27" s="2837"/>
      <c r="T27" s="2837"/>
      <c r="U27" s="2837"/>
      <c r="V27" s="2845"/>
    </row>
    <row r="28" spans="1:22" s="2946" customFormat="1" ht="13.15" customHeight="1" thickBot="1">
      <c r="A28" s="2934"/>
      <c r="B28" s="2935"/>
      <c r="C28" s="2953"/>
      <c r="D28" s="2937"/>
      <c r="E28" s="2938" t="s">
        <v>2419</v>
      </c>
      <c r="F28" s="2939"/>
      <c r="G28" s="2926"/>
      <c r="H28" s="2954"/>
      <c r="I28" s="2945"/>
      <c r="J28" s="2960">
        <v>6</v>
      </c>
      <c r="K28" s="2961" t="s">
        <v>2420</v>
      </c>
      <c r="L28" s="2962" t="s">
        <v>2421</v>
      </c>
      <c r="M28" s="2963"/>
      <c r="N28" s="2962" t="s">
        <v>2422</v>
      </c>
      <c r="O28" s="2964"/>
      <c r="P28" s="2962" t="s">
        <v>2423</v>
      </c>
      <c r="Q28" s="2965">
        <v>1.4999999999999999E-2</v>
      </c>
      <c r="R28" s="2966"/>
      <c r="S28" s="2918"/>
      <c r="T28" s="2918"/>
      <c r="U28" s="2918"/>
      <c r="V28" s="2945"/>
    </row>
    <row r="29" spans="1:22" s="2946" customFormat="1" ht="13.15" customHeight="1">
      <c r="A29" s="2927">
        <v>3</v>
      </c>
      <c r="B29" s="2928" t="s">
        <v>2424</v>
      </c>
      <c r="C29" s="2929">
        <f>C23*C30</f>
        <v>0</v>
      </c>
      <c r="D29" s="2930">
        <f>D23*C30</f>
        <v>0</v>
      </c>
      <c r="E29" s="2931">
        <f>E23*C30</f>
        <v>0</v>
      </c>
      <c r="F29" s="2932"/>
      <c r="G29" s="2933"/>
      <c r="H29" s="2844"/>
      <c r="I29" s="2845"/>
      <c r="J29" s="2918"/>
      <c r="K29" s="2918"/>
      <c r="L29" s="2918"/>
      <c r="M29" s="2918"/>
      <c r="N29" s="2918"/>
      <c r="O29" s="2918"/>
      <c r="P29" s="2918"/>
      <c r="Q29" s="2918"/>
      <c r="R29" s="2918"/>
      <c r="S29" s="2918"/>
      <c r="T29" s="2918"/>
      <c r="U29" s="2918"/>
      <c r="V29" s="2945"/>
    </row>
    <row r="30" spans="1:22" s="2849" customFormat="1" ht="13.15" customHeight="1" thickBot="1">
      <c r="A30" s="2934"/>
      <c r="B30" s="2935" t="s">
        <v>2418</v>
      </c>
      <c r="C30" s="2953">
        <f>E18</f>
        <v>0</v>
      </c>
      <c r="D30" s="2967"/>
      <c r="E30" s="2898"/>
      <c r="F30" s="2939"/>
      <c r="G30" s="2933"/>
      <c r="H30" s="2954"/>
      <c r="I30" s="2945"/>
      <c r="J30" s="2918"/>
      <c r="K30" s="2918"/>
      <c r="L30" s="2918"/>
      <c r="M30" s="2918"/>
      <c r="N30" s="2918"/>
      <c r="O30" s="2918"/>
      <c r="P30" s="2918"/>
      <c r="Q30" s="2918"/>
      <c r="R30" s="2918"/>
      <c r="S30" s="2918"/>
      <c r="T30" s="2918"/>
      <c r="U30" s="2837"/>
      <c r="V30" s="2845"/>
    </row>
    <row r="31" spans="1:22" s="2946" customFormat="1" ht="13.15" customHeight="1">
      <c r="A31" s="2934"/>
      <c r="B31" s="2935"/>
      <c r="C31" s="2968"/>
      <c r="D31" s="2967"/>
      <c r="E31" s="2898"/>
      <c r="F31" s="2939"/>
      <c r="G31" s="2926"/>
      <c r="H31" s="2954"/>
      <c r="I31" s="2945"/>
      <c r="J31" s="2834" t="s">
        <v>2425</v>
      </c>
      <c r="K31" s="2835"/>
      <c r="L31" s="2835"/>
      <c r="M31" s="2835"/>
      <c r="N31" s="2835"/>
      <c r="O31" s="2835"/>
      <c r="P31" s="2835"/>
      <c r="Q31" s="2835"/>
      <c r="R31" s="2836"/>
      <c r="S31" s="2918"/>
      <c r="T31" s="2837"/>
      <c r="U31" s="2837"/>
      <c r="V31" s="2945"/>
    </row>
    <row r="32" spans="1:22" s="2946" customFormat="1" ht="13.15" customHeight="1">
      <c r="A32" s="2927">
        <v>4</v>
      </c>
      <c r="B32" s="2928" t="s">
        <v>2426</v>
      </c>
      <c r="C32" s="2929">
        <f>C23-C26-C29</f>
        <v>0</v>
      </c>
      <c r="D32" s="2930">
        <f>D23-D26-D29</f>
        <v>0</v>
      </c>
      <c r="E32" s="2931">
        <f>E23-E26-E29</f>
        <v>0</v>
      </c>
      <c r="F32" s="2932"/>
      <c r="G32" s="2926"/>
      <c r="H32" s="2844"/>
      <c r="I32" s="2845"/>
      <c r="J32" s="3770" t="s">
        <v>2318</v>
      </c>
      <c r="K32" s="3771"/>
      <c r="L32" s="2846" t="s">
        <v>2319</v>
      </c>
      <c r="M32" s="2846" t="s">
        <v>2320</v>
      </c>
      <c r="N32" s="2846" t="s">
        <v>2321</v>
      </c>
      <c r="O32" s="2846" t="s">
        <v>2322</v>
      </c>
      <c r="P32" s="2846" t="s">
        <v>2323</v>
      </c>
      <c r="Q32" s="2847" t="s">
        <v>2324</v>
      </c>
      <c r="R32" s="2969" t="s">
        <v>2325</v>
      </c>
      <c r="S32" s="2918"/>
      <c r="T32" s="2837"/>
      <c r="U32" s="2837"/>
      <c r="V32" s="2945"/>
    </row>
    <row r="33" spans="1:23" s="2849" customFormat="1" ht="13.15" customHeight="1">
      <c r="A33" s="2927"/>
      <c r="B33" s="2928"/>
      <c r="C33" s="2929"/>
      <c r="D33" s="2970"/>
      <c r="E33" s="2971"/>
      <c r="F33" s="2932"/>
      <c r="G33" s="2926"/>
      <c r="H33" s="2954"/>
      <c r="I33" s="2945"/>
      <c r="J33" s="3772" t="s">
        <v>2328</v>
      </c>
      <c r="K33" s="3773"/>
      <c r="L33" s="2852"/>
      <c r="M33" s="2852"/>
      <c r="N33" s="2852"/>
      <c r="O33" s="2852"/>
      <c r="P33" s="2852"/>
      <c r="Q33" s="2853"/>
      <c r="R33" s="2972">
        <f>SUM(L33:Q33)</f>
        <v>0</v>
      </c>
      <c r="S33" s="2918"/>
      <c r="T33" s="2837"/>
      <c r="U33" s="2837"/>
      <c r="V33" s="2845"/>
    </row>
    <row r="34" spans="1:23" s="2849" customFormat="1" ht="13.15" customHeight="1">
      <c r="A34" s="2927">
        <v>5</v>
      </c>
      <c r="B34" s="2928" t="s">
        <v>2427</v>
      </c>
      <c r="C34" s="2973"/>
      <c r="D34" s="2974"/>
      <c r="E34" s="2975"/>
      <c r="F34" s="2932"/>
      <c r="G34" s="2926"/>
      <c r="H34" s="2954"/>
      <c r="I34" s="2945"/>
      <c r="J34" s="3772" t="s">
        <v>2330</v>
      </c>
      <c r="K34" s="3773"/>
      <c r="L34" s="2857"/>
      <c r="M34" s="2857"/>
      <c r="N34" s="2857"/>
      <c r="O34" s="2857"/>
      <c r="P34" s="2857"/>
      <c r="Q34" s="2858"/>
      <c r="R34" s="2976">
        <f>SUM(L34:Q34)</f>
        <v>0</v>
      </c>
      <c r="S34" s="2918"/>
      <c r="T34" s="2837"/>
      <c r="U34" s="2837" t="e">
        <f>ROUND(R35*10000/365/R33,1)</f>
        <v>#DIV/0!</v>
      </c>
      <c r="V34" s="2845"/>
    </row>
    <row r="35" spans="1:23" s="2849" customFormat="1" ht="13.15" customHeight="1">
      <c r="A35" s="2927">
        <v>6</v>
      </c>
      <c r="B35" s="2928" t="s">
        <v>2428</v>
      </c>
      <c r="C35" s="2977"/>
      <c r="D35" s="2978"/>
      <c r="E35" s="2979"/>
      <c r="F35" s="2932"/>
      <c r="G35" s="2980"/>
      <c r="H35" s="2844"/>
      <c r="I35" s="2945"/>
      <c r="J35" s="2863" t="s">
        <v>2332</v>
      </c>
      <c r="K35" s="2864"/>
      <c r="L35" s="2864"/>
      <c r="M35" s="2865"/>
      <c r="N35" s="2865"/>
      <c r="O35" s="2865"/>
      <c r="P35" s="2865"/>
      <c r="Q35" s="2865"/>
      <c r="R35" s="2981">
        <f>R40+R41+R43</f>
        <v>0</v>
      </c>
      <c r="S35" s="2918"/>
      <c r="T35" s="2837" t="s">
        <v>2333</v>
      </c>
      <c r="U35" s="2837"/>
      <c r="V35" s="2845"/>
    </row>
    <row r="36" spans="1:23" s="2849" customFormat="1" ht="13.15" customHeight="1" thickBot="1">
      <c r="A36" s="2927">
        <v>7</v>
      </c>
      <c r="B36" s="2982" t="s">
        <v>2429</v>
      </c>
      <c r="C36" s="2983"/>
      <c r="D36" s="2984"/>
      <c r="E36" s="2985"/>
      <c r="F36" s="2986">
        <f>C36+D36+E36</f>
        <v>0</v>
      </c>
      <c r="G36" s="2926"/>
      <c r="H36" s="2844"/>
      <c r="I36" s="2845"/>
      <c r="J36" s="3777">
        <v>1</v>
      </c>
      <c r="K36" s="3778" t="s">
        <v>2430</v>
      </c>
      <c r="L36" s="2870"/>
      <c r="M36" s="2871"/>
      <c r="N36" s="2871"/>
      <c r="O36" s="2871"/>
      <c r="P36" s="2871"/>
      <c r="Q36" s="2871"/>
      <c r="R36" s="2854" t="s">
        <v>2342</v>
      </c>
      <c r="S36" s="2918"/>
      <c r="T36" s="2837" t="s">
        <v>2343</v>
      </c>
      <c r="U36" s="2837"/>
      <c r="V36" s="2845"/>
    </row>
    <row r="37" spans="1:23" s="2849" customFormat="1" ht="13.15" customHeight="1">
      <c r="A37" s="2927"/>
      <c r="B37" s="2928"/>
      <c r="C37" s="2928"/>
      <c r="D37" s="2928"/>
      <c r="E37" s="2928"/>
      <c r="F37" s="2932"/>
      <c r="G37" s="2926"/>
      <c r="H37" s="2844"/>
      <c r="I37" s="2845"/>
      <c r="J37" s="3777"/>
      <c r="K37" s="3779"/>
      <c r="L37" s="2879"/>
      <c r="M37" s="2880"/>
      <c r="N37" s="2856"/>
      <c r="O37" s="2881"/>
      <c r="P37" s="2881"/>
      <c r="Q37" s="2882"/>
      <c r="R37" s="2883"/>
      <c r="S37" s="2918"/>
      <c r="T37" s="2837" t="s">
        <v>2346</v>
      </c>
      <c r="U37" s="2837"/>
      <c r="V37" s="2845"/>
    </row>
    <row r="38" spans="1:23" s="2849" customFormat="1" ht="13.15" customHeight="1">
      <c r="A38" s="2927">
        <v>8</v>
      </c>
      <c r="B38" s="2928"/>
      <c r="C38" s="2885" t="e">
        <f>ROUND(C32*(1-((1+C35)/(1+C34))^C36)/(C34-C35),0)</f>
        <v>#DIV/0!</v>
      </c>
      <c r="D38" s="2885">
        <f>IF(D23=0,0,ROUND(D32*(1-((1+D35)/(1+D34))^D36)/(D34-D35),0))</f>
        <v>0</v>
      </c>
      <c r="E38" s="2885">
        <f>IF(E23=0,0,ROUND(E32*(1-((1+E35)/(1+E34))^E36)/(E34-E35),0))</f>
        <v>0</v>
      </c>
      <c r="F38" s="2932"/>
      <c r="G38" s="2926"/>
      <c r="H38" s="2844"/>
      <c r="I38" s="2845"/>
      <c r="J38" s="3777"/>
      <c r="K38" s="3779"/>
      <c r="L38" s="2879"/>
      <c r="M38" s="2880"/>
      <c r="N38" s="2856"/>
      <c r="O38" s="2881"/>
      <c r="P38" s="2881"/>
      <c r="Q38" s="2882"/>
      <c r="R38" s="2883"/>
      <c r="S38" s="2918"/>
      <c r="T38" s="2837" t="s">
        <v>2353</v>
      </c>
      <c r="U38" s="2837"/>
      <c r="V38" s="2845"/>
    </row>
    <row r="39" spans="1:23" s="2849" customFormat="1" ht="13.15" customHeight="1">
      <c r="A39" s="2927">
        <v>9</v>
      </c>
      <c r="B39" s="2928" t="s">
        <v>2431</v>
      </c>
      <c r="C39" s="2893" t="e">
        <f>C38</f>
        <v>#DIV/0!</v>
      </c>
      <c r="D39" s="2928">
        <f>D38/(1+D34)^C36</f>
        <v>0</v>
      </c>
      <c r="E39" s="2928">
        <f>E38/(1+E34)^(C36+D36)</f>
        <v>0</v>
      </c>
      <c r="F39" s="2932"/>
      <c r="G39" s="2987"/>
      <c r="H39" s="2844"/>
      <c r="I39" s="2845"/>
      <c r="J39" s="3777"/>
      <c r="K39" s="3779"/>
      <c r="L39" s="2879"/>
      <c r="M39" s="2880"/>
      <c r="N39" s="2856"/>
      <c r="O39" s="2881"/>
      <c r="P39" s="2881"/>
      <c r="Q39" s="2882"/>
      <c r="R39" s="2883"/>
      <c r="S39" s="2918"/>
      <c r="T39" s="2837"/>
      <c r="U39" s="2837"/>
      <c r="V39" s="2845"/>
    </row>
    <row r="40" spans="1:23" s="2849" customFormat="1" ht="13.15" customHeight="1">
      <c r="A40" s="2988">
        <v>10</v>
      </c>
      <c r="B40" s="2928" t="s">
        <v>2432</v>
      </c>
      <c r="C40" s="2989" t="e">
        <f>C39+D39+E39</f>
        <v>#DIV/0!</v>
      </c>
      <c r="D40" s="2990"/>
      <c r="E40" s="2990"/>
      <c r="F40" s="2991"/>
      <c r="G40" s="2926"/>
      <c r="H40" s="2844"/>
      <c r="I40" s="2845"/>
      <c r="J40" s="3777"/>
      <c r="K40" s="3780"/>
      <c r="L40" s="2899" t="s">
        <v>2371</v>
      </c>
      <c r="M40" s="2900"/>
      <c r="N40" s="2900"/>
      <c r="O40" s="2901"/>
      <c r="P40" s="2901"/>
      <c r="Q40" s="2902"/>
      <c r="R40" s="2848">
        <f>SUM(R37:R39)</f>
        <v>0</v>
      </c>
      <c r="S40" s="2918"/>
      <c r="T40" s="2837"/>
      <c r="U40" s="2837"/>
      <c r="V40" s="2845"/>
    </row>
    <row r="41" spans="1:23" s="2849" customFormat="1" ht="13.15" customHeight="1" thickBot="1">
      <c r="A41" s="2992">
        <v>11</v>
      </c>
      <c r="B41" s="2993" t="s">
        <v>2433</v>
      </c>
      <c r="C41" s="2993" t="e">
        <f>ROUND(C40*10000/B4,0)</f>
        <v>#DIV/0!</v>
      </c>
      <c r="D41" s="2994"/>
      <c r="E41" s="2994"/>
      <c r="F41" s="2995"/>
      <c r="G41" s="2996"/>
      <c r="H41" s="2844"/>
      <c r="I41" s="2845"/>
      <c r="J41" s="2940">
        <v>2</v>
      </c>
      <c r="K41" s="2941" t="s">
        <v>2411</v>
      </c>
      <c r="L41" s="2942"/>
      <c r="M41" s="2942"/>
      <c r="N41" s="2942"/>
      <c r="O41" s="2942"/>
      <c r="P41" s="2943"/>
      <c r="Q41" s="2944"/>
      <c r="R41" s="2915">
        <f>ROUND(R40*Q41,0)</f>
        <v>0</v>
      </c>
      <c r="S41" s="2918"/>
      <c r="T41" s="2837"/>
      <c r="U41" s="2952"/>
      <c r="V41" s="2845"/>
    </row>
    <row r="42" spans="1:23" s="2849" customFormat="1" ht="13.15" customHeight="1">
      <c r="G42" s="2996"/>
      <c r="H42" s="2844"/>
      <c r="I42" s="2845"/>
      <c r="J42" s="3787">
        <v>3</v>
      </c>
      <c r="K42" s="2947" t="s">
        <v>2413</v>
      </c>
      <c r="L42" s="2948"/>
      <c r="M42" s="2949"/>
      <c r="N42" s="2950" t="s">
        <v>2414</v>
      </c>
      <c r="O42" s="2950" t="s">
        <v>2415</v>
      </c>
      <c r="P42" s="2951" t="s">
        <v>2416</v>
      </c>
      <c r="Q42" s="2951" t="s">
        <v>2417</v>
      </c>
      <c r="R42" s="2854" t="s">
        <v>2342</v>
      </c>
      <c r="S42" s="2952"/>
      <c r="T42" s="2952"/>
      <c r="U42" s="2837"/>
      <c r="V42" s="2845"/>
    </row>
    <row r="43" spans="1:23" ht="13.15" customHeight="1">
      <c r="A43" s="2849"/>
      <c r="B43" s="2849"/>
      <c r="C43" s="2849"/>
      <c r="D43" s="2849"/>
      <c r="E43" s="2849"/>
      <c r="F43" s="2849"/>
      <c r="I43" s="2832"/>
      <c r="J43" s="3788"/>
      <c r="K43" s="2955"/>
      <c r="L43" s="2956"/>
      <c r="M43" s="2957"/>
      <c r="N43" s="2880"/>
      <c r="O43" s="2880"/>
      <c r="P43" s="2880"/>
      <c r="Q43" s="2944"/>
      <c r="R43" s="2915">
        <f>ROUND(O43*N43*P43*(1-Q43)/10000,0)</f>
        <v>0</v>
      </c>
      <c r="S43" s="2918"/>
      <c r="T43" s="2837"/>
      <c r="V43" s="2998"/>
      <c r="W43" s="2999"/>
    </row>
    <row r="44" spans="1:23" ht="13.15" customHeight="1" thickBot="1">
      <c r="J44" s="2960">
        <v>6</v>
      </c>
      <c r="K44" s="2961" t="s">
        <v>2420</v>
      </c>
      <c r="L44" s="3000" t="s">
        <v>2421</v>
      </c>
      <c r="M44" s="2963"/>
      <c r="N44" s="3000" t="s">
        <v>2422</v>
      </c>
      <c r="O44" s="2963"/>
      <c r="P44" s="3000" t="s">
        <v>2423</v>
      </c>
      <c r="Q44" s="2965">
        <v>1.4999999999999999E-2</v>
      </c>
      <c r="R44" s="296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9:E108"/>
  <sheetViews>
    <sheetView topLeftCell="A73" workbookViewId="0">
      <selection activeCell="P123" sqref="P123"/>
    </sheetView>
  </sheetViews>
  <sheetFormatPr defaultRowHeight="13.5"/>
  <sheetData>
    <row r="99" spans="2:5">
      <c r="B99" s="3461" t="s">
        <v>3506</v>
      </c>
      <c r="D99" s="3461" t="s">
        <v>3508</v>
      </c>
      <c r="E99" s="3461" t="s">
        <v>3509</v>
      </c>
    </row>
    <row r="100" spans="2:5">
      <c r="B100" s="3461" t="s">
        <v>3507</v>
      </c>
      <c r="D100" s="3461">
        <v>40</v>
      </c>
      <c r="E100">
        <v>28750</v>
      </c>
    </row>
    <row r="105" spans="2:5">
      <c r="B105" s="3461" t="s">
        <v>3539</v>
      </c>
      <c r="C105" s="3461" t="s">
        <v>3540</v>
      </c>
    </row>
    <row r="106" spans="2:5">
      <c r="B106" s="3461" t="s">
        <v>3536</v>
      </c>
    </row>
    <row r="107" spans="2:5">
      <c r="B107" s="3461" t="s">
        <v>3537</v>
      </c>
    </row>
    <row r="108" spans="2:5">
      <c r="B108" s="3461" t="s">
        <v>3538</v>
      </c>
    </row>
  </sheetData>
  <phoneticPr fontId="134" type="noConversion"/>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8" sqref="B28"/>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4"/>
    <col min="46" max="16384" width="9" style="130"/>
  </cols>
  <sheetData>
    <row r="1" spans="1:45" ht="14.25" customHeight="1" thickBot="1">
      <c r="A1" s="146"/>
      <c r="B1" s="982" t="s">
        <v>2082</v>
      </c>
      <c r="C1" s="3792" t="s">
        <v>2083</v>
      </c>
      <c r="D1" s="3793"/>
      <c r="E1" s="3793"/>
      <c r="F1" s="3793"/>
      <c r="G1" s="3793"/>
      <c r="H1" s="3793"/>
      <c r="I1" s="3793"/>
      <c r="J1" s="3793"/>
      <c r="K1" s="3793"/>
      <c r="L1" s="3793"/>
      <c r="M1" s="3793"/>
      <c r="N1" s="3793"/>
      <c r="O1" s="3793"/>
      <c r="P1" s="3793"/>
      <c r="Q1" s="3793"/>
      <c r="R1" s="3793"/>
      <c r="S1" s="3794"/>
      <c r="T1" s="982" t="s">
        <v>2084</v>
      </c>
    </row>
    <row r="2" spans="1:45" s="655" customFormat="1" ht="38.25">
      <c r="A2" s="983"/>
      <c r="B2" s="651" t="s">
        <v>2085</v>
      </c>
      <c r="C2" s="652" t="str">
        <f t="shared" ref="C2:L2" si="0">C3&amp;"(含)"&amp;"-"&amp;D3</f>
        <v>0(含)-100</v>
      </c>
      <c r="D2" s="653" t="str">
        <f t="shared" si="0"/>
        <v>100(含)-200</v>
      </c>
      <c r="E2" s="653" t="str">
        <f t="shared" si="0"/>
        <v>200(含)-500</v>
      </c>
      <c r="F2" s="653" t="str">
        <f t="shared" si="0"/>
        <v>500(含)-1000</v>
      </c>
      <c r="G2" s="653" t="str">
        <f t="shared" si="0"/>
        <v>1000(含)-3000</v>
      </c>
      <c r="H2" s="653" t="str">
        <f t="shared" si="0"/>
        <v>3000(含)-6000</v>
      </c>
      <c r="I2" s="653" t="str">
        <f t="shared" si="0"/>
        <v>6000(含)-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4" t="str">
        <f>S3&amp;"(含)"&amp;"-"</f>
        <v>(含)-</v>
      </c>
      <c r="T2" s="654"/>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row>
    <row r="3" spans="1:45" s="659" customFormat="1">
      <c r="A3" s="985"/>
      <c r="B3" s="656"/>
      <c r="C3" s="657">
        <f>'比较法-商业'!C103</f>
        <v>0</v>
      </c>
      <c r="D3" s="657">
        <f>'比较法-商业'!D103</f>
        <v>100</v>
      </c>
      <c r="E3" s="657">
        <f>'比较法-商业'!E103</f>
        <v>200</v>
      </c>
      <c r="F3" s="657">
        <f>'比较法-商业'!F103</f>
        <v>500</v>
      </c>
      <c r="G3" s="657">
        <f>'比较法-商业'!G103</f>
        <v>1000</v>
      </c>
      <c r="H3" s="657">
        <f>'比较法-商业'!H103</f>
        <v>3000</v>
      </c>
      <c r="I3" s="657">
        <f>'比较法-商业'!I103</f>
        <v>6000</v>
      </c>
      <c r="J3" s="657"/>
      <c r="K3" s="1303"/>
      <c r="L3" s="1304"/>
      <c r="M3" s="1305"/>
      <c r="N3" s="1305"/>
      <c r="O3" s="1303"/>
      <c r="P3" s="1303"/>
      <c r="Q3" s="1303"/>
      <c r="R3" s="1303"/>
      <c r="S3" s="1306"/>
      <c r="T3" s="658"/>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row>
    <row r="4" spans="1:45" s="659" customFormat="1" ht="13.5" thickBot="1">
      <c r="A4" s="986"/>
      <c r="B4" s="987"/>
      <c r="C4" s="657">
        <f>'比较法-商业'!C104</f>
        <v>100</v>
      </c>
      <c r="D4" s="657">
        <f>'比较法-商业'!D104</f>
        <v>97</v>
      </c>
      <c r="E4" s="657">
        <f>'比较法-商业'!E104</f>
        <v>94</v>
      </c>
      <c r="F4" s="657">
        <f>'比较法-商业'!F104</f>
        <v>91</v>
      </c>
      <c r="G4" s="657">
        <f>'比较法-商业'!G104</f>
        <v>88</v>
      </c>
      <c r="H4" s="657">
        <f>'比较法-商业'!H104</f>
        <v>85</v>
      </c>
      <c r="I4" s="657">
        <f>'比较法-商业'!I104</f>
        <v>82</v>
      </c>
      <c r="J4" s="657"/>
      <c r="K4" s="1307"/>
      <c r="L4" s="1307"/>
      <c r="M4" s="1308"/>
      <c r="N4" s="1308"/>
      <c r="O4" s="1307"/>
      <c r="P4" s="1307"/>
      <c r="Q4" s="1307"/>
      <c r="R4" s="1307"/>
      <c r="S4" s="1309"/>
      <c r="T4" s="992"/>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row>
    <row r="5" spans="1:45" s="109" customFormat="1">
      <c r="A5" s="993"/>
      <c r="B5" s="1334" t="s">
        <v>2086</v>
      </c>
      <c r="C5" s="994"/>
      <c r="D5" s="995"/>
      <c r="E5" s="995"/>
      <c r="F5" s="1310"/>
      <c r="G5" s="1310"/>
      <c r="H5" s="1310"/>
      <c r="I5" s="1310"/>
      <c r="J5" s="1310"/>
      <c r="K5" s="1310"/>
      <c r="L5" s="1311"/>
      <c r="M5" s="1312"/>
      <c r="N5" s="1312"/>
      <c r="O5" s="1310"/>
      <c r="P5" s="1310"/>
      <c r="Q5" s="1310"/>
      <c r="R5" s="1310"/>
      <c r="S5" s="1313"/>
      <c r="T5" s="997"/>
      <c r="U5" s="727"/>
      <c r="V5" s="727"/>
      <c r="W5" s="727"/>
      <c r="X5" s="727"/>
      <c r="Y5" s="727"/>
      <c r="Z5" s="727"/>
      <c r="AA5" s="727"/>
      <c r="AB5" s="727"/>
      <c r="AC5" s="727"/>
      <c r="AD5" s="727"/>
      <c r="AE5" s="727"/>
      <c r="AF5" s="727"/>
      <c r="AG5" s="727"/>
      <c r="AH5" s="727"/>
      <c r="AI5" s="727"/>
      <c r="AJ5" s="727"/>
      <c r="AK5" s="727"/>
      <c r="AL5" s="727"/>
      <c r="AM5" s="727"/>
      <c r="AN5" s="727"/>
      <c r="AO5" s="727"/>
      <c r="AP5" s="727"/>
      <c r="AQ5" s="727"/>
      <c r="AR5" s="727"/>
      <c r="AS5" s="727"/>
    </row>
    <row r="6" spans="1:45" s="109" customFormat="1" ht="13.5" thickBot="1">
      <c r="A6" s="993"/>
      <c r="B6" s="898"/>
      <c r="C6" s="904">
        <v>100</v>
      </c>
      <c r="D6" s="901">
        <f>C6-$T5</f>
        <v>100</v>
      </c>
      <c r="E6" s="901">
        <f t="shared" ref="E6:S6" si="7">D6-$T5</f>
        <v>100</v>
      </c>
      <c r="F6" s="1314">
        <f t="shared" si="7"/>
        <v>100</v>
      </c>
      <c r="G6" s="1314">
        <f t="shared" si="7"/>
        <v>100</v>
      </c>
      <c r="H6" s="1314">
        <f t="shared" si="7"/>
        <v>100</v>
      </c>
      <c r="I6" s="1314">
        <f t="shared" si="7"/>
        <v>100</v>
      </c>
      <c r="J6" s="1314">
        <f t="shared" si="7"/>
        <v>100</v>
      </c>
      <c r="K6" s="1314">
        <f t="shared" si="7"/>
        <v>100</v>
      </c>
      <c r="L6" s="1314">
        <f t="shared" si="7"/>
        <v>100</v>
      </c>
      <c r="M6" s="1314">
        <f t="shared" si="7"/>
        <v>100</v>
      </c>
      <c r="N6" s="1314">
        <f t="shared" si="7"/>
        <v>100</v>
      </c>
      <c r="O6" s="1314">
        <f t="shared" si="7"/>
        <v>100</v>
      </c>
      <c r="P6" s="1314">
        <f t="shared" si="7"/>
        <v>100</v>
      </c>
      <c r="Q6" s="1314">
        <f t="shared" si="7"/>
        <v>100</v>
      </c>
      <c r="R6" s="1314">
        <f t="shared" si="7"/>
        <v>100</v>
      </c>
      <c r="S6" s="1314">
        <f t="shared" si="7"/>
        <v>100</v>
      </c>
      <c r="T6" s="900"/>
      <c r="U6" s="727"/>
      <c r="V6" s="727"/>
      <c r="W6" s="727"/>
      <c r="X6" s="727"/>
      <c r="Y6" s="727"/>
      <c r="Z6" s="727"/>
      <c r="AA6" s="727"/>
      <c r="AB6" s="727"/>
      <c r="AC6" s="727"/>
      <c r="AD6" s="727"/>
      <c r="AE6" s="727"/>
      <c r="AF6" s="727"/>
      <c r="AG6" s="727"/>
      <c r="AH6" s="727"/>
      <c r="AI6" s="727"/>
      <c r="AJ6" s="727"/>
      <c r="AK6" s="727"/>
      <c r="AL6" s="727"/>
      <c r="AM6" s="727"/>
      <c r="AN6" s="727"/>
      <c r="AO6" s="727"/>
      <c r="AP6" s="727"/>
      <c r="AQ6" s="727"/>
      <c r="AR6" s="727"/>
      <c r="AS6" s="727"/>
    </row>
    <row r="7" spans="1:45" s="109" customFormat="1">
      <c r="A7" s="993"/>
      <c r="B7" s="1335" t="s">
        <v>2087</v>
      </c>
      <c r="C7" s="903"/>
      <c r="D7" s="897"/>
      <c r="E7" s="897"/>
      <c r="F7" s="1315"/>
      <c r="G7" s="1315"/>
      <c r="H7" s="1315"/>
      <c r="I7" s="1315"/>
      <c r="J7" s="1315"/>
      <c r="K7" s="1315"/>
      <c r="L7" s="1315"/>
      <c r="M7" s="1316"/>
      <c r="N7" s="1317"/>
      <c r="O7" s="1318"/>
      <c r="P7" s="1319"/>
      <c r="Q7" s="1320"/>
      <c r="R7" s="1321"/>
      <c r="S7" s="1322"/>
      <c r="T7" s="660"/>
      <c r="U7" s="727"/>
      <c r="V7" s="727"/>
      <c r="W7" s="727"/>
      <c r="X7" s="727"/>
      <c r="Y7" s="727"/>
      <c r="Z7" s="727"/>
      <c r="AA7" s="727"/>
      <c r="AB7" s="727"/>
      <c r="AC7" s="727"/>
      <c r="AD7" s="727"/>
      <c r="AE7" s="727"/>
      <c r="AF7" s="727"/>
      <c r="AG7" s="727"/>
      <c r="AH7" s="727"/>
      <c r="AI7" s="727"/>
      <c r="AJ7" s="727"/>
      <c r="AK7" s="727"/>
      <c r="AL7" s="727"/>
      <c r="AM7" s="727"/>
      <c r="AN7" s="727"/>
      <c r="AO7" s="727"/>
      <c r="AP7" s="727"/>
      <c r="AQ7" s="727"/>
      <c r="AR7" s="727"/>
      <c r="AS7" s="727"/>
    </row>
    <row r="8" spans="1:45" s="109" customFormat="1" ht="13.5" thickBot="1">
      <c r="A8" s="993"/>
      <c r="B8" s="898"/>
      <c r="C8" s="904">
        <v>100</v>
      </c>
      <c r="D8" s="901">
        <f>C8-$T7</f>
        <v>100</v>
      </c>
      <c r="E8" s="901">
        <f t="shared" ref="E8:S8" si="8">D8-$T7</f>
        <v>100</v>
      </c>
      <c r="F8" s="1314">
        <f t="shared" si="8"/>
        <v>100</v>
      </c>
      <c r="G8" s="1314">
        <f t="shared" si="8"/>
        <v>100</v>
      </c>
      <c r="H8" s="1314">
        <f t="shared" si="8"/>
        <v>100</v>
      </c>
      <c r="I8" s="1314">
        <f t="shared" si="8"/>
        <v>100</v>
      </c>
      <c r="J8" s="1314">
        <f t="shared" si="8"/>
        <v>100</v>
      </c>
      <c r="K8" s="1314">
        <f t="shared" si="8"/>
        <v>100</v>
      </c>
      <c r="L8" s="1314">
        <f t="shared" si="8"/>
        <v>100</v>
      </c>
      <c r="M8" s="1314">
        <f t="shared" si="8"/>
        <v>100</v>
      </c>
      <c r="N8" s="1314">
        <f t="shared" si="8"/>
        <v>100</v>
      </c>
      <c r="O8" s="1314">
        <f t="shared" si="8"/>
        <v>100</v>
      </c>
      <c r="P8" s="1314">
        <f t="shared" si="8"/>
        <v>100</v>
      </c>
      <c r="Q8" s="1314">
        <f t="shared" si="8"/>
        <v>100</v>
      </c>
      <c r="R8" s="1314">
        <f t="shared" si="8"/>
        <v>100</v>
      </c>
      <c r="S8" s="1314">
        <f t="shared" si="8"/>
        <v>100</v>
      </c>
      <c r="T8" s="900"/>
      <c r="U8" s="727"/>
      <c r="V8" s="727"/>
      <c r="W8" s="727"/>
      <c r="X8" s="727"/>
      <c r="Y8" s="727"/>
      <c r="Z8" s="727"/>
      <c r="AA8" s="727"/>
      <c r="AB8" s="727"/>
      <c r="AC8" s="727"/>
      <c r="AD8" s="727"/>
      <c r="AE8" s="727"/>
      <c r="AF8" s="727"/>
      <c r="AG8" s="727"/>
      <c r="AH8" s="727"/>
      <c r="AI8" s="727"/>
      <c r="AJ8" s="727"/>
      <c r="AK8" s="727"/>
      <c r="AL8" s="727"/>
      <c r="AM8" s="727"/>
      <c r="AN8" s="727"/>
      <c r="AO8" s="727"/>
      <c r="AP8" s="727"/>
      <c r="AQ8" s="727"/>
      <c r="AR8" s="727"/>
      <c r="AS8" s="727"/>
    </row>
    <row r="9" spans="1:45" s="109" customFormat="1">
      <c r="A9" s="993"/>
      <c r="B9" s="1335" t="s">
        <v>2088</v>
      </c>
      <c r="C9" s="903"/>
      <c r="D9" s="897"/>
      <c r="E9" s="897"/>
      <c r="F9" s="1315"/>
      <c r="G9" s="1315"/>
      <c r="H9" s="1315"/>
      <c r="I9" s="1315"/>
      <c r="J9" s="1315"/>
      <c r="K9" s="1315"/>
      <c r="L9" s="1323"/>
      <c r="M9" s="1316"/>
      <c r="N9" s="1317"/>
      <c r="O9" s="1318"/>
      <c r="P9" s="1319"/>
      <c r="Q9" s="1320"/>
      <c r="R9" s="1321"/>
      <c r="S9" s="1322"/>
      <c r="T9" s="660"/>
      <c r="U9" s="727"/>
      <c r="V9" s="727"/>
      <c r="W9" s="727"/>
      <c r="X9" s="727"/>
      <c r="Y9" s="727"/>
      <c r="Z9" s="727"/>
      <c r="AA9" s="727"/>
      <c r="AB9" s="727"/>
      <c r="AC9" s="727"/>
      <c r="AD9" s="727"/>
      <c r="AE9" s="727"/>
      <c r="AF9" s="727"/>
      <c r="AG9" s="727"/>
      <c r="AH9" s="727"/>
      <c r="AI9" s="727"/>
      <c r="AJ9" s="727"/>
      <c r="AK9" s="727"/>
      <c r="AL9" s="727"/>
      <c r="AM9" s="727"/>
      <c r="AN9" s="727"/>
      <c r="AO9" s="727"/>
      <c r="AP9" s="727"/>
      <c r="AQ9" s="727"/>
      <c r="AR9" s="727"/>
      <c r="AS9" s="727"/>
    </row>
    <row r="10" spans="1:45" s="109" customFormat="1" ht="13.5" thickBot="1">
      <c r="A10" s="993"/>
      <c r="B10" s="987"/>
      <c r="C10" s="998">
        <v>100</v>
      </c>
      <c r="D10" s="999">
        <f>C10-$T9</f>
        <v>100</v>
      </c>
      <c r="E10" s="999">
        <f t="shared" ref="E10:S10" si="9">D10-$T9</f>
        <v>100</v>
      </c>
      <c r="F10" s="1324">
        <f t="shared" si="9"/>
        <v>100</v>
      </c>
      <c r="G10" s="1324">
        <f t="shared" si="9"/>
        <v>100</v>
      </c>
      <c r="H10" s="1324">
        <f t="shared" si="9"/>
        <v>100</v>
      </c>
      <c r="I10" s="1324">
        <f t="shared" si="9"/>
        <v>100</v>
      </c>
      <c r="J10" s="1324">
        <f t="shared" si="9"/>
        <v>100</v>
      </c>
      <c r="K10" s="1324">
        <f t="shared" si="9"/>
        <v>100</v>
      </c>
      <c r="L10" s="1324">
        <f t="shared" si="9"/>
        <v>100</v>
      </c>
      <c r="M10" s="1324">
        <f t="shared" si="9"/>
        <v>100</v>
      </c>
      <c r="N10" s="1324">
        <f t="shared" si="9"/>
        <v>100</v>
      </c>
      <c r="O10" s="1324">
        <f t="shared" si="9"/>
        <v>100</v>
      </c>
      <c r="P10" s="1324">
        <f t="shared" si="9"/>
        <v>100</v>
      </c>
      <c r="Q10" s="1324">
        <f t="shared" si="9"/>
        <v>100</v>
      </c>
      <c r="R10" s="1324">
        <f t="shared" si="9"/>
        <v>100</v>
      </c>
      <c r="S10" s="1324">
        <f t="shared" si="9"/>
        <v>100</v>
      </c>
      <c r="T10" s="992"/>
      <c r="U10" s="727"/>
      <c r="V10" s="727"/>
      <c r="W10" s="727"/>
      <c r="X10" s="727"/>
      <c r="Y10" s="727"/>
      <c r="Z10" s="727"/>
      <c r="AA10" s="727"/>
      <c r="AB10" s="727"/>
      <c r="AC10" s="727"/>
      <c r="AD10" s="727"/>
      <c r="AE10" s="727"/>
      <c r="AF10" s="727"/>
      <c r="AG10" s="727"/>
      <c r="AH10" s="727"/>
      <c r="AI10" s="727"/>
      <c r="AJ10" s="727"/>
      <c r="AK10" s="727"/>
      <c r="AL10" s="727"/>
      <c r="AM10" s="727"/>
      <c r="AN10" s="727"/>
      <c r="AO10" s="727"/>
      <c r="AP10" s="727"/>
      <c r="AQ10" s="727"/>
      <c r="AR10" s="727"/>
      <c r="AS10" s="727"/>
    </row>
    <row r="11" spans="1:45" s="109" customFormat="1">
      <c r="A11" s="993"/>
      <c r="B11" s="1334" t="s">
        <v>2089</v>
      </c>
      <c r="C11" s="994"/>
      <c r="D11" s="995"/>
      <c r="E11" s="995"/>
      <c r="F11" s="995"/>
      <c r="G11" s="995"/>
      <c r="H11" s="995"/>
      <c r="I11" s="995"/>
      <c r="J11" s="995"/>
      <c r="K11" s="995"/>
      <c r="L11" s="995"/>
      <c r="M11" s="996"/>
      <c r="N11" s="1000"/>
      <c r="O11" s="1001"/>
      <c r="P11" s="1002"/>
      <c r="Q11" s="1003"/>
      <c r="R11" s="1004"/>
      <c r="S11" s="1005"/>
      <c r="T11" s="997"/>
      <c r="U11" s="727"/>
      <c r="V11" s="727"/>
      <c r="W11" s="727"/>
      <c r="X11" s="727"/>
      <c r="Y11" s="727"/>
      <c r="Z11" s="727"/>
      <c r="AA11" s="727"/>
      <c r="AB11" s="727"/>
      <c r="AC11" s="727"/>
      <c r="AD11" s="727"/>
      <c r="AE11" s="727"/>
      <c r="AF11" s="727"/>
      <c r="AG11" s="727"/>
      <c r="AH11" s="727"/>
      <c r="AI11" s="727"/>
      <c r="AJ11" s="727"/>
      <c r="AK11" s="727"/>
      <c r="AL11" s="727"/>
      <c r="AM11" s="727"/>
      <c r="AN11" s="727"/>
      <c r="AO11" s="727"/>
      <c r="AP11" s="727"/>
      <c r="AQ11" s="727"/>
      <c r="AR11" s="727"/>
      <c r="AS11" s="727"/>
    </row>
    <row r="12" spans="1:45" s="109" customFormat="1" ht="13.5" thickBot="1">
      <c r="A12" s="993"/>
      <c r="B12" s="898"/>
      <c r="C12" s="904">
        <v>100</v>
      </c>
      <c r="D12" s="901">
        <f>C12-$T11</f>
        <v>100</v>
      </c>
      <c r="E12" s="901">
        <f t="shared" ref="E12:S12" si="10">D12-$T11</f>
        <v>100</v>
      </c>
      <c r="F12" s="901">
        <f t="shared" si="10"/>
        <v>100</v>
      </c>
      <c r="G12" s="901">
        <f t="shared" si="10"/>
        <v>100</v>
      </c>
      <c r="H12" s="901">
        <f t="shared" si="10"/>
        <v>100</v>
      </c>
      <c r="I12" s="901">
        <f t="shared" si="10"/>
        <v>100</v>
      </c>
      <c r="J12" s="901">
        <f t="shared" si="10"/>
        <v>100</v>
      </c>
      <c r="K12" s="901">
        <f t="shared" si="10"/>
        <v>100</v>
      </c>
      <c r="L12" s="901">
        <f t="shared" si="10"/>
        <v>100</v>
      </c>
      <c r="M12" s="901">
        <f t="shared" si="10"/>
        <v>100</v>
      </c>
      <c r="N12" s="901">
        <f t="shared" si="10"/>
        <v>100</v>
      </c>
      <c r="O12" s="901">
        <f t="shared" si="10"/>
        <v>100</v>
      </c>
      <c r="P12" s="901">
        <f t="shared" si="10"/>
        <v>100</v>
      </c>
      <c r="Q12" s="901">
        <f t="shared" si="10"/>
        <v>100</v>
      </c>
      <c r="R12" s="901">
        <f>Q12-$T11</f>
        <v>100</v>
      </c>
      <c r="S12" s="901">
        <f t="shared" si="10"/>
        <v>100</v>
      </c>
      <c r="T12" s="900"/>
      <c r="U12" s="727"/>
      <c r="V12" s="727"/>
      <c r="W12" s="727"/>
      <c r="X12" s="727"/>
      <c r="Y12" s="727"/>
      <c r="Z12" s="727"/>
      <c r="AA12" s="727"/>
      <c r="AB12" s="727"/>
      <c r="AC12" s="727"/>
      <c r="AD12" s="727"/>
      <c r="AE12" s="727"/>
      <c r="AF12" s="727"/>
      <c r="AG12" s="727"/>
      <c r="AH12" s="727"/>
      <c r="AI12" s="727"/>
      <c r="AJ12" s="727"/>
      <c r="AK12" s="727"/>
      <c r="AL12" s="727"/>
      <c r="AM12" s="727"/>
      <c r="AN12" s="727"/>
      <c r="AO12" s="727"/>
      <c r="AP12" s="727"/>
      <c r="AQ12" s="727"/>
      <c r="AR12" s="727"/>
      <c r="AS12" s="727"/>
    </row>
    <row r="13" spans="1:45" s="109" customFormat="1">
      <c r="A13" s="993"/>
      <c r="B13" s="1334" t="s">
        <v>2090</v>
      </c>
      <c r="C13" s="994"/>
      <c r="D13" s="995"/>
      <c r="E13" s="995"/>
      <c r="F13" s="995"/>
      <c r="G13" s="995"/>
      <c r="H13" s="995"/>
      <c r="I13" s="995"/>
      <c r="J13" s="995"/>
      <c r="K13" s="995"/>
      <c r="L13" s="995"/>
      <c r="M13" s="996"/>
      <c r="N13" s="1000"/>
      <c r="O13" s="1001"/>
      <c r="P13" s="1002"/>
      <c r="Q13" s="1003"/>
      <c r="R13" s="1004"/>
      <c r="S13" s="1005"/>
      <c r="T13" s="1006"/>
      <c r="U13" s="727"/>
      <c r="V13" s="727"/>
      <c r="W13" s="727"/>
      <c r="X13" s="727"/>
      <c r="Y13" s="727"/>
      <c r="Z13" s="727"/>
      <c r="AA13" s="727"/>
      <c r="AB13" s="727"/>
      <c r="AC13" s="727"/>
      <c r="AD13" s="727"/>
      <c r="AE13" s="727"/>
      <c r="AF13" s="727"/>
      <c r="AG13" s="727"/>
      <c r="AH13" s="727"/>
      <c r="AI13" s="727"/>
      <c r="AJ13" s="727"/>
      <c r="AK13" s="727"/>
      <c r="AL13" s="727"/>
      <c r="AM13" s="727"/>
      <c r="AN13" s="727"/>
      <c r="AO13" s="727"/>
      <c r="AP13" s="727"/>
      <c r="AQ13" s="727"/>
      <c r="AR13" s="727"/>
      <c r="AS13" s="727"/>
    </row>
    <row r="14" spans="1:45" s="109" customFormat="1" ht="13.5" thickBot="1">
      <c r="A14" s="993"/>
      <c r="B14" s="898"/>
      <c r="C14" s="902"/>
      <c r="D14" s="899"/>
      <c r="E14" s="899"/>
      <c r="F14" s="899"/>
      <c r="G14" s="899"/>
      <c r="H14" s="899"/>
      <c r="I14" s="899"/>
      <c r="J14" s="899"/>
      <c r="K14" s="899"/>
      <c r="L14" s="899"/>
      <c r="M14" s="1007"/>
      <c r="N14" s="1007"/>
      <c r="O14" s="899"/>
      <c r="P14" s="899"/>
      <c r="Q14" s="899"/>
      <c r="R14" s="899"/>
      <c r="S14" s="1008"/>
      <c r="T14" s="900"/>
      <c r="U14" s="727"/>
      <c r="V14" s="727"/>
      <c r="W14" s="727"/>
      <c r="X14" s="727"/>
      <c r="Y14" s="727"/>
      <c r="Z14" s="727"/>
      <c r="AA14" s="727"/>
      <c r="AB14" s="727"/>
      <c r="AC14" s="727"/>
      <c r="AD14" s="727"/>
      <c r="AE14" s="727"/>
      <c r="AF14" s="727"/>
      <c r="AG14" s="727"/>
      <c r="AH14" s="727"/>
      <c r="AI14" s="727"/>
      <c r="AJ14" s="727"/>
      <c r="AK14" s="727"/>
      <c r="AL14" s="727"/>
      <c r="AM14" s="727"/>
      <c r="AN14" s="727"/>
      <c r="AO14" s="727"/>
      <c r="AP14" s="727"/>
      <c r="AQ14" s="727"/>
      <c r="AR14" s="727"/>
      <c r="AS14" s="727"/>
    </row>
    <row r="15" spans="1:45" s="109" customFormat="1">
      <c r="A15" s="993"/>
      <c r="B15" s="1334" t="s">
        <v>2091</v>
      </c>
      <c r="C15" s="994"/>
      <c r="D15" s="995"/>
      <c r="E15" s="995"/>
      <c r="F15" s="995"/>
      <c r="G15" s="995"/>
      <c r="H15" s="995"/>
      <c r="I15" s="995"/>
      <c r="J15" s="995"/>
      <c r="K15" s="995"/>
      <c r="L15" s="995"/>
      <c r="M15" s="996"/>
      <c r="N15" s="1000"/>
      <c r="O15" s="1001"/>
      <c r="P15" s="1002"/>
      <c r="Q15" s="1003"/>
      <c r="R15" s="1004"/>
      <c r="S15" s="1005"/>
      <c r="T15" s="1006"/>
      <c r="U15" s="727"/>
      <c r="V15" s="727"/>
      <c r="W15" s="727"/>
      <c r="X15" s="727"/>
      <c r="Y15" s="727"/>
      <c r="Z15" s="727"/>
      <c r="AA15" s="727"/>
      <c r="AB15" s="727"/>
      <c r="AC15" s="727"/>
      <c r="AD15" s="727"/>
      <c r="AE15" s="727"/>
      <c r="AF15" s="727"/>
      <c r="AG15" s="727"/>
      <c r="AH15" s="727"/>
      <c r="AI15" s="727"/>
      <c r="AJ15" s="727"/>
      <c r="AK15" s="727"/>
      <c r="AL15" s="727"/>
      <c r="AM15" s="727"/>
      <c r="AN15" s="727"/>
      <c r="AO15" s="727"/>
      <c r="AP15" s="727"/>
      <c r="AQ15" s="727"/>
      <c r="AR15" s="727"/>
      <c r="AS15" s="727"/>
    </row>
    <row r="16" spans="1:45" s="109" customFormat="1" ht="13.5" thickBot="1">
      <c r="A16" s="993"/>
      <c r="B16" s="987"/>
      <c r="C16" s="988"/>
      <c r="D16" s="989"/>
      <c r="E16" s="989"/>
      <c r="F16" s="989"/>
      <c r="G16" s="989"/>
      <c r="H16" s="989"/>
      <c r="I16" s="989"/>
      <c r="J16" s="989"/>
      <c r="K16" s="989"/>
      <c r="L16" s="989"/>
      <c r="M16" s="990"/>
      <c r="N16" s="990"/>
      <c r="O16" s="989"/>
      <c r="P16" s="989"/>
      <c r="Q16" s="989"/>
      <c r="R16" s="989"/>
      <c r="S16" s="991"/>
      <c r="T16" s="992"/>
      <c r="U16" s="727"/>
      <c r="V16" s="727"/>
      <c r="W16" s="727"/>
      <c r="X16" s="727"/>
      <c r="Y16" s="727"/>
      <c r="Z16" s="727"/>
      <c r="AA16" s="727"/>
      <c r="AB16" s="727"/>
      <c r="AC16" s="727"/>
      <c r="AD16" s="727"/>
      <c r="AE16" s="727"/>
      <c r="AF16" s="727"/>
      <c r="AG16" s="727"/>
      <c r="AH16" s="727"/>
      <c r="AI16" s="727"/>
      <c r="AJ16" s="727"/>
      <c r="AK16" s="727"/>
      <c r="AL16" s="727"/>
      <c r="AM16" s="727"/>
      <c r="AN16" s="727"/>
      <c r="AO16" s="727"/>
      <c r="AP16" s="727"/>
      <c r="AQ16" s="727"/>
      <c r="AR16" s="727"/>
      <c r="AS16" s="727"/>
    </row>
    <row r="17" spans="1:45" s="655" customFormat="1">
      <c r="A17" s="2145" t="s">
        <v>2092</v>
      </c>
      <c r="B17" s="2146" t="s">
        <v>2093</v>
      </c>
      <c r="C17" s="1009">
        <v>1</v>
      </c>
      <c r="D17" s="1010">
        <v>2</v>
      </c>
      <c r="E17" s="1010">
        <v>3</v>
      </c>
      <c r="F17" s="1010">
        <v>-1</v>
      </c>
      <c r="G17" s="1010"/>
      <c r="H17" s="1010"/>
      <c r="I17" s="1010"/>
      <c r="J17" s="1010"/>
      <c r="K17" s="1010"/>
      <c r="L17" s="1011"/>
      <c r="M17" s="1012"/>
      <c r="N17" s="1013"/>
      <c r="O17" s="1014"/>
      <c r="P17" s="1015"/>
      <c r="Q17" s="1016"/>
      <c r="R17" s="1017"/>
      <c r="S17" s="1018"/>
      <c r="T17" s="1018"/>
      <c r="U17" s="1018"/>
      <c r="V17" s="1018"/>
      <c r="W17" s="1018"/>
      <c r="X17" s="1018"/>
      <c r="Y17" s="1018"/>
      <c r="Z17" s="1018"/>
      <c r="AA17" s="1018"/>
      <c r="AB17" s="1018"/>
      <c r="AC17" s="1018"/>
      <c r="AD17" s="1018"/>
      <c r="AE17" s="1018"/>
      <c r="AF17" s="1018"/>
      <c r="AG17" s="1018"/>
      <c r="AH17" s="1018"/>
      <c r="AI17" s="1018"/>
      <c r="AJ17" s="1018"/>
      <c r="AK17" s="1018"/>
      <c r="AL17" s="1018"/>
      <c r="AM17" s="1018"/>
      <c r="AN17" s="1018"/>
      <c r="AO17" s="1018"/>
      <c r="AP17" s="1018"/>
      <c r="AQ17" s="1018"/>
      <c r="AR17" s="725"/>
      <c r="AS17" s="725"/>
    </row>
    <row r="18" spans="1:45" s="655" customFormat="1" ht="13.5" thickBot="1">
      <c r="A18" s="1019"/>
      <c r="B18" s="1020"/>
      <c r="C18" s="1021">
        <v>100</v>
      </c>
      <c r="D18" s="1022">
        <v>70</v>
      </c>
      <c r="E18" s="1022">
        <v>60</v>
      </c>
      <c r="F18" s="1022">
        <v>20</v>
      </c>
      <c r="G18" s="1022"/>
      <c r="H18" s="1022"/>
      <c r="I18" s="1022"/>
      <c r="J18" s="1022"/>
      <c r="K18" s="1022"/>
      <c r="L18" s="1022"/>
      <c r="M18" s="1023"/>
      <c r="N18" s="1023"/>
      <c r="O18" s="1022"/>
      <c r="P18" s="1022"/>
      <c r="Q18" s="1022"/>
      <c r="R18" s="1022"/>
      <c r="S18" s="1024"/>
      <c r="T18" s="1024"/>
      <c r="U18" s="1024"/>
      <c r="V18" s="1024"/>
      <c r="W18" s="1024"/>
      <c r="X18" s="1024"/>
      <c r="Y18" s="1024"/>
      <c r="Z18" s="1024"/>
      <c r="AA18" s="1024"/>
      <c r="AB18" s="1024"/>
      <c r="AC18" s="1024"/>
      <c r="AD18" s="1024"/>
      <c r="AE18" s="1024"/>
      <c r="AF18" s="1024"/>
      <c r="AG18" s="1024"/>
      <c r="AH18" s="1024"/>
      <c r="AI18" s="1024"/>
      <c r="AJ18" s="1024"/>
      <c r="AK18" s="1024"/>
      <c r="AL18" s="1024"/>
      <c r="AM18" s="1024"/>
      <c r="AN18" s="1024"/>
      <c r="AO18" s="1024"/>
      <c r="AP18" s="1024"/>
      <c r="AQ18" s="1024"/>
      <c r="AR18" s="725"/>
      <c r="AS18" s="725"/>
    </row>
    <row r="19" spans="1:45">
      <c r="A19" s="129"/>
      <c r="B19" s="159"/>
      <c r="C19" s="159"/>
      <c r="D19" s="2147" t="s">
        <v>2094</v>
      </c>
      <c r="E19" s="1338"/>
      <c r="F19" s="1338"/>
      <c r="G19" s="1338"/>
      <c r="H19" s="1058"/>
      <c r="I19" s="159"/>
      <c r="J19" s="159"/>
      <c r="K19" s="159"/>
      <c r="L19" s="159"/>
      <c r="M19" s="159"/>
      <c r="N19" s="159"/>
      <c r="O19" s="159"/>
      <c r="P19" s="159"/>
      <c r="Q19" s="159"/>
      <c r="R19" s="717"/>
      <c r="S19" s="129"/>
    </row>
    <row r="20" spans="1:45" ht="16.5" thickBot="1">
      <c r="A20" s="661" t="s">
        <v>2095</v>
      </c>
      <c r="B20" s="294">
        <f>IF(D20="——",S22,S22-F20)</f>
        <v>30954</v>
      </c>
      <c r="C20" s="159"/>
      <c r="D20" s="2148" t="s">
        <v>43</v>
      </c>
      <c r="E20" s="1339"/>
      <c r="F20" s="982" t="e">
        <f ca="1">SUMIF(INDIRECT("'"&amp;H20&amp;"'"&amp;"!A:A"),"承租人权益价值",INDIRECT("'"&amp;H20&amp;"'"&amp;"!c:c"))</f>
        <v>#REF!</v>
      </c>
      <c r="G20" s="982" t="s">
        <v>2096</v>
      </c>
      <c r="H20" s="2149"/>
      <c r="I20" s="159"/>
      <c r="J20" s="159"/>
      <c r="K20" s="159"/>
      <c r="L20" s="159"/>
      <c r="M20" s="159"/>
      <c r="N20" s="159"/>
      <c r="O20" s="159"/>
      <c r="P20" s="159"/>
      <c r="Q20" s="159"/>
      <c r="R20" s="717"/>
      <c r="S20" s="129"/>
    </row>
    <row r="21" spans="1:45" ht="15.75">
      <c r="A21" s="661" t="s">
        <v>2097</v>
      </c>
      <c r="B21" s="294">
        <f>ROUND(B20*10000/B22,0)</f>
        <v>15428</v>
      </c>
      <c r="C21" s="159"/>
      <c r="D21" s="159"/>
      <c r="E21" s="159"/>
      <c r="F21" s="159"/>
      <c r="G21" s="159"/>
      <c r="H21" s="159"/>
      <c r="I21" s="159"/>
      <c r="J21" s="159"/>
      <c r="K21" s="159"/>
      <c r="L21" s="159"/>
      <c r="M21" s="159"/>
      <c r="N21" s="159"/>
      <c r="O21" s="159"/>
      <c r="P21" s="159"/>
      <c r="Q21" s="159"/>
      <c r="R21" s="717"/>
      <c r="S21" s="129"/>
    </row>
    <row r="22" spans="1:45">
      <c r="A22" s="316" t="s">
        <v>2098</v>
      </c>
      <c r="B22" s="21">
        <f>SUM(B24:B10000)</f>
        <v>20062.899999999998</v>
      </c>
      <c r="C22" s="3789" t="s">
        <v>27</v>
      </c>
      <c r="D22" s="3790"/>
      <c r="E22" s="3790"/>
      <c r="F22" s="3790"/>
      <c r="G22" s="3790"/>
      <c r="H22" s="3790"/>
      <c r="I22" s="3790"/>
      <c r="J22" s="3790"/>
      <c r="K22" s="3790"/>
      <c r="L22" s="3790"/>
      <c r="M22" s="3790"/>
      <c r="N22" s="3790"/>
      <c r="O22" s="3790"/>
      <c r="P22" s="3790"/>
      <c r="Q22" s="3791"/>
      <c r="R22" s="662">
        <f>ROUND(S22*10000/B22,0)</f>
        <v>15428</v>
      </c>
      <c r="S22" s="21">
        <f>SUM(S24:S10000)</f>
        <v>30954</v>
      </c>
    </row>
    <row r="23" spans="1:45" s="9" customFormat="1" ht="24">
      <c r="A23" s="8" t="s">
        <v>2099</v>
      </c>
      <c r="B23" s="8" t="s">
        <v>2100</v>
      </c>
      <c r="C23" s="8" t="s">
        <v>2101</v>
      </c>
      <c r="D23" s="8" t="str">
        <f>B5</f>
        <v>修正项2</v>
      </c>
      <c r="E23" s="8" t="s">
        <v>2101</v>
      </c>
      <c r="F23" s="8" t="str">
        <f>B7</f>
        <v>修正项3</v>
      </c>
      <c r="G23" s="8" t="s">
        <v>2101</v>
      </c>
      <c r="H23" s="8" t="str">
        <f>B9</f>
        <v>修正项4</v>
      </c>
      <c r="I23" s="8" t="s">
        <v>2101</v>
      </c>
      <c r="J23" s="8" t="str">
        <f>B11</f>
        <v>修正项5</v>
      </c>
      <c r="K23" s="8" t="s">
        <v>2101</v>
      </c>
      <c r="L23" s="8" t="str">
        <f>B13</f>
        <v>修正项6</v>
      </c>
      <c r="M23" s="8" t="s">
        <v>2101</v>
      </c>
      <c r="N23" s="8" t="str">
        <f>B15</f>
        <v>修正项7</v>
      </c>
      <c r="O23" s="8" t="s">
        <v>2101</v>
      </c>
      <c r="P23" s="8" t="str">
        <f>B17</f>
        <v>楼层</v>
      </c>
      <c r="Q23" s="8" t="s">
        <v>2101</v>
      </c>
      <c r="R23" s="663" t="s">
        <v>2102</v>
      </c>
      <c r="S23" s="8" t="s">
        <v>2103</v>
      </c>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row>
    <row r="24" spans="1:45" s="668" customFormat="1">
      <c r="A24" s="664" t="s">
        <v>3517</v>
      </c>
      <c r="B24" s="3503">
        <f>'数据-取费表'!V23</f>
        <v>5637.5</v>
      </c>
      <c r="C24" s="2806">
        <v>1</v>
      </c>
      <c r="D24" s="2807"/>
      <c r="E24" s="2806">
        <v>1</v>
      </c>
      <c r="F24" s="2807"/>
      <c r="G24" s="2806">
        <v>1</v>
      </c>
      <c r="H24" s="2807"/>
      <c r="I24" s="2806">
        <v>1</v>
      </c>
      <c r="J24" s="2807"/>
      <c r="K24" s="2806">
        <v>1</v>
      </c>
      <c r="L24" s="2807"/>
      <c r="M24" s="2806">
        <v>1</v>
      </c>
      <c r="N24" s="2807"/>
      <c r="O24" s="2806">
        <v>1</v>
      </c>
      <c r="P24" s="2807">
        <v>1</v>
      </c>
      <c r="Q24" s="2806">
        <v>1</v>
      </c>
      <c r="R24" s="667">
        <f>'比较法-商业'!C49</f>
        <v>22640</v>
      </c>
      <c r="S24" s="665">
        <f t="shared" ref="S24:S54" si="11">ROUND(R24*B24/10000,0)</f>
        <v>12763</v>
      </c>
      <c r="T24" s="729"/>
      <c r="U24" s="729"/>
      <c r="V24" s="729"/>
      <c r="W24" s="729"/>
      <c r="X24" s="729"/>
      <c r="Y24" s="729"/>
      <c r="Z24" s="729"/>
      <c r="AA24" s="729"/>
      <c r="AB24" s="729"/>
      <c r="AC24" s="729"/>
      <c r="AD24" s="729"/>
      <c r="AE24" s="729"/>
      <c r="AF24" s="729"/>
      <c r="AG24" s="729"/>
      <c r="AH24" s="729"/>
      <c r="AI24" s="729"/>
      <c r="AJ24" s="729"/>
      <c r="AK24" s="729"/>
      <c r="AL24" s="729"/>
      <c r="AM24" s="729"/>
      <c r="AN24" s="729"/>
      <c r="AO24" s="729"/>
      <c r="AP24" s="729"/>
      <c r="AQ24" s="729"/>
      <c r="AR24" s="729"/>
      <c r="AS24" s="729"/>
    </row>
    <row r="25" spans="1:45">
      <c r="A25" s="150" t="s">
        <v>3518</v>
      </c>
      <c r="B25" s="3503">
        <f>'数据-取费表'!V24</f>
        <v>6456.64</v>
      </c>
      <c r="C25" s="21">
        <f>IF(B25="",1,(LOOKUP(B25,$3:$3,$4:$4)-LOOKUP($B$24,$3:$3,$4:$4)+100)/100)</f>
        <v>0.97</v>
      </c>
      <c r="D25" s="666"/>
      <c r="E25" s="21">
        <f>(SUMIF($5:$5,D25,$6:$6)-SUMIF($5:$5,$D$24,$6:$6)+100)/100</f>
        <v>1</v>
      </c>
      <c r="F25" s="666"/>
      <c r="G25" s="21">
        <f>(SUMIF($7:$7,F25,$8:$8)-SUMIF($7:$7,$F$24,$8:$8)+100)/100</f>
        <v>1</v>
      </c>
      <c r="H25" s="666"/>
      <c r="I25" s="21">
        <f>(SUMIF($9:$9,H25,$10:$10)-SUMIF($9:$9,$H$24,$10:$10)+100)/100</f>
        <v>1</v>
      </c>
      <c r="J25" s="666"/>
      <c r="K25" s="21">
        <f>(SUMIF($11:$11,J25,$12:$12)-SUMIF($11:$11,$J$24,$12:$12)+100)/100</f>
        <v>1</v>
      </c>
      <c r="L25" s="666"/>
      <c r="M25" s="21">
        <f>(SUMIF($13:$13,L25,$14:$14)-SUMIF($13:$13,$L$24,$14:$14)+100)/100</f>
        <v>1</v>
      </c>
      <c r="N25" s="666"/>
      <c r="O25" s="21">
        <f>(SUMIF($15:$15,N25,$16:$16)-SUMIF($15:$15,$N$24,$16:$16)+100)/100</f>
        <v>1</v>
      </c>
      <c r="P25" s="666">
        <v>2</v>
      </c>
      <c r="Q25" s="21">
        <f>(SUMIF($17:$17,P25,$18:$18)-SUMIF($17:$17,$P$24,$18:$18)+100)/100</f>
        <v>0.7</v>
      </c>
      <c r="R25" s="662">
        <f>IF(B25="",0,ROUND($R$24*C25*E25*G25*I25*K25*M25*O25*Q25,0))</f>
        <v>15373</v>
      </c>
      <c r="S25" s="316">
        <f t="shared" si="11"/>
        <v>9926</v>
      </c>
    </row>
    <row r="26" spans="1:45">
      <c r="A26" s="150" t="s">
        <v>3519</v>
      </c>
      <c r="B26" s="3503">
        <f>'数据-取费表'!V25</f>
        <v>5099.4799999999996</v>
      </c>
      <c r="C26" s="21">
        <f t="shared" ref="C26:C89" si="12">IF(B26="",1,(LOOKUP(B26,$3:$3,$4:$4)-LOOKUP($B$24,$3:$3,$4:$4)+100)/100)</f>
        <v>1</v>
      </c>
      <c r="D26" s="666"/>
      <c r="E26" s="21">
        <f t="shared" ref="E26:E89" si="13">(SUMIF($5:$5,D26,$6:$6)-SUMIF($5:$5,$D$24,$6:$6)+100)/100</f>
        <v>1</v>
      </c>
      <c r="F26" s="666"/>
      <c r="G26" s="21">
        <f t="shared" ref="G26:G89" si="14">(SUMIF($7:$7,F26,$8:$8)-SUMIF($7:$7,$F$24,$8:$8)+100)/100</f>
        <v>1</v>
      </c>
      <c r="H26" s="666"/>
      <c r="I26" s="21">
        <f t="shared" ref="I26:I89" si="15">(SUMIF($9:$9,H26,$10:$10)-SUMIF($9:$9,$H$24,$10:$10)+100)/100</f>
        <v>1</v>
      </c>
      <c r="J26" s="666"/>
      <c r="K26" s="21">
        <f t="shared" ref="K26:K89" si="16">(SUMIF($11:$11,J26,$12:$12)-SUMIF($11:$11,$J$24,$12:$12)+100)/100</f>
        <v>1</v>
      </c>
      <c r="L26" s="666"/>
      <c r="M26" s="21">
        <f t="shared" ref="M26:M89" si="17">(SUMIF($13:$13,L26,$14:$14)-SUMIF($13:$13,$L$24,$14:$14)+100)/100</f>
        <v>1</v>
      </c>
      <c r="N26" s="666"/>
      <c r="O26" s="21">
        <f t="shared" ref="O26:O89" si="18">(SUMIF($15:$15,N26,$16:$16)-SUMIF($15:$15,$N$24,$16:$16)+100)/100</f>
        <v>1</v>
      </c>
      <c r="P26" s="666">
        <v>3</v>
      </c>
      <c r="Q26" s="21">
        <f t="shared" ref="Q26:Q89" si="19">(SUMIF($17:$17,P26,$18:$18)-SUMIF($17:$17,$P$24,$18:$18)+100)/100</f>
        <v>0.6</v>
      </c>
      <c r="R26" s="662">
        <f t="shared" ref="R26:R89" si="20">IF(B26="",0,ROUND($R$24*C26*E26*G26*I26*K26*M26*O26*Q26,0))</f>
        <v>13584</v>
      </c>
      <c r="S26" s="316">
        <f t="shared" si="11"/>
        <v>6927</v>
      </c>
    </row>
    <row r="27" spans="1:45">
      <c r="A27" s="150" t="s">
        <v>3520</v>
      </c>
      <c r="B27" s="54">
        <f>'数据-取费表'!V22</f>
        <v>2869.28</v>
      </c>
      <c r="C27" s="21">
        <f t="shared" si="12"/>
        <v>1.03</v>
      </c>
      <c r="D27" s="666"/>
      <c r="E27" s="21">
        <f t="shared" si="13"/>
        <v>1</v>
      </c>
      <c r="F27" s="666"/>
      <c r="G27" s="21">
        <f t="shared" si="14"/>
        <v>1</v>
      </c>
      <c r="H27" s="666"/>
      <c r="I27" s="21">
        <f t="shared" si="15"/>
        <v>1</v>
      </c>
      <c r="J27" s="666"/>
      <c r="K27" s="21">
        <f t="shared" si="16"/>
        <v>1</v>
      </c>
      <c r="L27" s="666"/>
      <c r="M27" s="21">
        <f t="shared" si="17"/>
        <v>1</v>
      </c>
      <c r="N27" s="666"/>
      <c r="O27" s="21">
        <f t="shared" si="18"/>
        <v>1</v>
      </c>
      <c r="P27" s="666">
        <v>-1</v>
      </c>
      <c r="Q27" s="21">
        <f t="shared" si="19"/>
        <v>0.2</v>
      </c>
      <c r="R27" s="662">
        <f t="shared" si="20"/>
        <v>4664</v>
      </c>
      <c r="S27" s="316">
        <f t="shared" si="11"/>
        <v>1338</v>
      </c>
    </row>
    <row r="28" spans="1:45">
      <c r="A28" s="150"/>
      <c r="B28" s="54"/>
      <c r="C28" s="21">
        <f t="shared" si="12"/>
        <v>1</v>
      </c>
      <c r="D28" s="666"/>
      <c r="E28" s="21">
        <f t="shared" si="13"/>
        <v>1</v>
      </c>
      <c r="F28" s="666"/>
      <c r="G28" s="21">
        <f t="shared" si="14"/>
        <v>1</v>
      </c>
      <c r="H28" s="666"/>
      <c r="I28" s="21">
        <f t="shared" si="15"/>
        <v>1</v>
      </c>
      <c r="J28" s="666"/>
      <c r="K28" s="21">
        <f t="shared" si="16"/>
        <v>1</v>
      </c>
      <c r="L28" s="666"/>
      <c r="M28" s="21">
        <f t="shared" si="17"/>
        <v>1</v>
      </c>
      <c r="N28" s="666"/>
      <c r="O28" s="21">
        <f t="shared" si="18"/>
        <v>1</v>
      </c>
      <c r="P28" s="666"/>
      <c r="Q28" s="21">
        <f t="shared" si="19"/>
        <v>0</v>
      </c>
      <c r="R28" s="662">
        <f t="shared" si="20"/>
        <v>0</v>
      </c>
      <c r="S28" s="316">
        <f t="shared" si="11"/>
        <v>0</v>
      </c>
    </row>
    <row r="29" spans="1:45">
      <c r="A29" s="150"/>
      <c r="B29" s="54"/>
      <c r="C29" s="21">
        <f t="shared" si="12"/>
        <v>1</v>
      </c>
      <c r="D29" s="666"/>
      <c r="E29" s="21">
        <f t="shared" si="13"/>
        <v>1</v>
      </c>
      <c r="F29" s="666"/>
      <c r="G29" s="21">
        <f t="shared" si="14"/>
        <v>1</v>
      </c>
      <c r="H29" s="666"/>
      <c r="I29" s="21">
        <f t="shared" si="15"/>
        <v>1</v>
      </c>
      <c r="J29" s="666"/>
      <c r="K29" s="21">
        <f t="shared" si="16"/>
        <v>1</v>
      </c>
      <c r="L29" s="666"/>
      <c r="M29" s="21">
        <f t="shared" si="17"/>
        <v>1</v>
      </c>
      <c r="N29" s="666"/>
      <c r="O29" s="21">
        <f t="shared" si="18"/>
        <v>1</v>
      </c>
      <c r="P29" s="666"/>
      <c r="Q29" s="21">
        <f t="shared" si="19"/>
        <v>0</v>
      </c>
      <c r="R29" s="662">
        <f t="shared" si="20"/>
        <v>0</v>
      </c>
      <c r="S29" s="316">
        <f t="shared" si="11"/>
        <v>0</v>
      </c>
    </row>
    <row r="30" spans="1:45">
      <c r="A30" s="150"/>
      <c r="B30" s="54"/>
      <c r="C30" s="21">
        <f t="shared" si="12"/>
        <v>1</v>
      </c>
      <c r="D30" s="666"/>
      <c r="E30" s="21">
        <f t="shared" si="13"/>
        <v>1</v>
      </c>
      <c r="F30" s="666"/>
      <c r="G30" s="21">
        <f t="shared" si="14"/>
        <v>1</v>
      </c>
      <c r="H30" s="666"/>
      <c r="I30" s="21">
        <f t="shared" si="15"/>
        <v>1</v>
      </c>
      <c r="J30" s="666"/>
      <c r="K30" s="21">
        <f t="shared" si="16"/>
        <v>1</v>
      </c>
      <c r="L30" s="666"/>
      <c r="M30" s="21">
        <f t="shared" si="17"/>
        <v>1</v>
      </c>
      <c r="N30" s="666"/>
      <c r="O30" s="21">
        <f t="shared" si="18"/>
        <v>1</v>
      </c>
      <c r="P30" s="666"/>
      <c r="Q30" s="21">
        <f t="shared" si="19"/>
        <v>0</v>
      </c>
      <c r="R30" s="662">
        <f t="shared" si="20"/>
        <v>0</v>
      </c>
      <c r="S30" s="316">
        <f t="shared" si="11"/>
        <v>0</v>
      </c>
    </row>
    <row r="31" spans="1:45">
      <c r="A31" s="150"/>
      <c r="B31" s="54"/>
      <c r="C31" s="21">
        <f t="shared" si="12"/>
        <v>1</v>
      </c>
      <c r="D31" s="666"/>
      <c r="E31" s="21">
        <f t="shared" si="13"/>
        <v>1</v>
      </c>
      <c r="F31" s="666"/>
      <c r="G31" s="21">
        <f t="shared" si="14"/>
        <v>1</v>
      </c>
      <c r="H31" s="666"/>
      <c r="I31" s="21">
        <f t="shared" si="15"/>
        <v>1</v>
      </c>
      <c r="J31" s="666"/>
      <c r="K31" s="21">
        <f t="shared" si="16"/>
        <v>1</v>
      </c>
      <c r="L31" s="666"/>
      <c r="M31" s="21">
        <f t="shared" si="17"/>
        <v>1</v>
      </c>
      <c r="N31" s="666"/>
      <c r="O31" s="21">
        <f t="shared" si="18"/>
        <v>1</v>
      </c>
      <c r="P31" s="666"/>
      <c r="Q31" s="21">
        <f t="shared" si="19"/>
        <v>0</v>
      </c>
      <c r="R31" s="662">
        <f t="shared" si="20"/>
        <v>0</v>
      </c>
      <c r="S31" s="316">
        <f t="shared" si="11"/>
        <v>0</v>
      </c>
    </row>
    <row r="32" spans="1:45">
      <c r="A32" s="150"/>
      <c r="B32" s="54"/>
      <c r="C32" s="21">
        <f t="shared" si="12"/>
        <v>1</v>
      </c>
      <c r="D32" s="666"/>
      <c r="E32" s="21">
        <f t="shared" si="13"/>
        <v>1</v>
      </c>
      <c r="F32" s="666"/>
      <c r="G32" s="21">
        <f t="shared" si="14"/>
        <v>1</v>
      </c>
      <c r="H32" s="666"/>
      <c r="I32" s="21">
        <f t="shared" si="15"/>
        <v>1</v>
      </c>
      <c r="J32" s="666"/>
      <c r="K32" s="21">
        <f t="shared" si="16"/>
        <v>1</v>
      </c>
      <c r="L32" s="666"/>
      <c r="M32" s="21">
        <f t="shared" si="17"/>
        <v>1</v>
      </c>
      <c r="N32" s="666"/>
      <c r="O32" s="21">
        <f t="shared" si="18"/>
        <v>1</v>
      </c>
      <c r="P32" s="666"/>
      <c r="Q32" s="21">
        <f t="shared" si="19"/>
        <v>0</v>
      </c>
      <c r="R32" s="662">
        <f t="shared" si="20"/>
        <v>0</v>
      </c>
      <c r="S32" s="316">
        <f t="shared" si="11"/>
        <v>0</v>
      </c>
    </row>
    <row r="33" spans="1:19">
      <c r="A33" s="150"/>
      <c r="B33" s="54"/>
      <c r="C33" s="21">
        <f t="shared" si="12"/>
        <v>1</v>
      </c>
      <c r="D33" s="666"/>
      <c r="E33" s="21">
        <f t="shared" si="13"/>
        <v>1</v>
      </c>
      <c r="F33" s="666"/>
      <c r="G33" s="21">
        <f t="shared" si="14"/>
        <v>1</v>
      </c>
      <c r="H33" s="666"/>
      <c r="I33" s="21">
        <f t="shared" si="15"/>
        <v>1</v>
      </c>
      <c r="J33" s="666"/>
      <c r="K33" s="21">
        <f t="shared" si="16"/>
        <v>1</v>
      </c>
      <c r="L33" s="666"/>
      <c r="M33" s="21">
        <f t="shared" si="17"/>
        <v>1</v>
      </c>
      <c r="N33" s="666"/>
      <c r="O33" s="21">
        <f t="shared" si="18"/>
        <v>1</v>
      </c>
      <c r="P33" s="666"/>
      <c r="Q33" s="21">
        <f t="shared" si="19"/>
        <v>0</v>
      </c>
      <c r="R33" s="662">
        <f t="shared" si="20"/>
        <v>0</v>
      </c>
      <c r="S33" s="316">
        <f t="shared" si="11"/>
        <v>0</v>
      </c>
    </row>
    <row r="34" spans="1:19">
      <c r="A34" s="150"/>
      <c r="B34" s="54"/>
      <c r="C34" s="21">
        <f t="shared" si="12"/>
        <v>1</v>
      </c>
      <c r="D34" s="666"/>
      <c r="E34" s="21">
        <f t="shared" si="13"/>
        <v>1</v>
      </c>
      <c r="F34" s="666"/>
      <c r="G34" s="21">
        <f t="shared" si="14"/>
        <v>1</v>
      </c>
      <c r="H34" s="666"/>
      <c r="I34" s="21">
        <f t="shared" si="15"/>
        <v>1</v>
      </c>
      <c r="J34" s="666"/>
      <c r="K34" s="21">
        <f t="shared" si="16"/>
        <v>1</v>
      </c>
      <c r="L34" s="666"/>
      <c r="M34" s="21">
        <f t="shared" si="17"/>
        <v>1</v>
      </c>
      <c r="N34" s="666"/>
      <c r="O34" s="21">
        <f t="shared" si="18"/>
        <v>1</v>
      </c>
      <c r="P34" s="666"/>
      <c r="Q34" s="21">
        <f t="shared" si="19"/>
        <v>0</v>
      </c>
      <c r="R34" s="662">
        <f t="shared" si="20"/>
        <v>0</v>
      </c>
      <c r="S34" s="316">
        <f t="shared" si="11"/>
        <v>0</v>
      </c>
    </row>
    <row r="35" spans="1:19">
      <c r="A35" s="150"/>
      <c r="B35" s="54"/>
      <c r="C35" s="21">
        <f t="shared" si="12"/>
        <v>1</v>
      </c>
      <c r="D35" s="666"/>
      <c r="E35" s="21">
        <f t="shared" si="13"/>
        <v>1</v>
      </c>
      <c r="F35" s="666"/>
      <c r="G35" s="21">
        <f t="shared" si="14"/>
        <v>1</v>
      </c>
      <c r="H35" s="666"/>
      <c r="I35" s="21">
        <f t="shared" si="15"/>
        <v>1</v>
      </c>
      <c r="J35" s="666"/>
      <c r="K35" s="21">
        <f t="shared" si="16"/>
        <v>1</v>
      </c>
      <c r="L35" s="666"/>
      <c r="M35" s="21">
        <f t="shared" si="17"/>
        <v>1</v>
      </c>
      <c r="N35" s="666"/>
      <c r="O35" s="21">
        <f t="shared" si="18"/>
        <v>1</v>
      </c>
      <c r="P35" s="666"/>
      <c r="Q35" s="21">
        <f t="shared" si="19"/>
        <v>0</v>
      </c>
      <c r="R35" s="662">
        <f t="shared" si="20"/>
        <v>0</v>
      </c>
      <c r="S35" s="316">
        <f t="shared" si="11"/>
        <v>0</v>
      </c>
    </row>
    <row r="36" spans="1:19">
      <c r="A36" s="150"/>
      <c r="B36" s="54"/>
      <c r="C36" s="21">
        <f t="shared" si="12"/>
        <v>1</v>
      </c>
      <c r="D36" s="666"/>
      <c r="E36" s="21">
        <f t="shared" si="13"/>
        <v>1</v>
      </c>
      <c r="F36" s="666"/>
      <c r="G36" s="21">
        <f t="shared" si="14"/>
        <v>1</v>
      </c>
      <c r="H36" s="666"/>
      <c r="I36" s="21">
        <f t="shared" si="15"/>
        <v>1</v>
      </c>
      <c r="J36" s="666"/>
      <c r="K36" s="21">
        <f t="shared" si="16"/>
        <v>1</v>
      </c>
      <c r="L36" s="666"/>
      <c r="M36" s="21">
        <f t="shared" si="17"/>
        <v>1</v>
      </c>
      <c r="N36" s="666"/>
      <c r="O36" s="21">
        <f t="shared" si="18"/>
        <v>1</v>
      </c>
      <c r="P36" s="666"/>
      <c r="Q36" s="21">
        <f t="shared" si="19"/>
        <v>0</v>
      </c>
      <c r="R36" s="662">
        <f t="shared" si="20"/>
        <v>0</v>
      </c>
      <c r="S36" s="316">
        <f t="shared" si="11"/>
        <v>0</v>
      </c>
    </row>
    <row r="37" spans="1:19">
      <c r="A37" s="150"/>
      <c r="B37" s="54"/>
      <c r="C37" s="21">
        <f t="shared" si="12"/>
        <v>1</v>
      </c>
      <c r="D37" s="666"/>
      <c r="E37" s="21">
        <f t="shared" si="13"/>
        <v>1</v>
      </c>
      <c r="F37" s="666"/>
      <c r="G37" s="21">
        <f t="shared" si="14"/>
        <v>1</v>
      </c>
      <c r="H37" s="666"/>
      <c r="I37" s="21">
        <f t="shared" si="15"/>
        <v>1</v>
      </c>
      <c r="J37" s="666"/>
      <c r="K37" s="21">
        <f t="shared" si="16"/>
        <v>1</v>
      </c>
      <c r="L37" s="666"/>
      <c r="M37" s="21">
        <f t="shared" si="17"/>
        <v>1</v>
      </c>
      <c r="N37" s="666"/>
      <c r="O37" s="21">
        <f t="shared" si="18"/>
        <v>1</v>
      </c>
      <c r="P37" s="666"/>
      <c r="Q37" s="21">
        <f t="shared" si="19"/>
        <v>0</v>
      </c>
      <c r="R37" s="662">
        <f t="shared" si="20"/>
        <v>0</v>
      </c>
      <c r="S37" s="316">
        <f t="shared" si="11"/>
        <v>0</v>
      </c>
    </row>
    <row r="38" spans="1:19">
      <c r="A38" s="150"/>
      <c r="B38" s="54"/>
      <c r="C38" s="21">
        <f t="shared" si="12"/>
        <v>1</v>
      </c>
      <c r="D38" s="666"/>
      <c r="E38" s="21">
        <f t="shared" si="13"/>
        <v>1</v>
      </c>
      <c r="F38" s="666"/>
      <c r="G38" s="21">
        <f t="shared" si="14"/>
        <v>1</v>
      </c>
      <c r="H38" s="666"/>
      <c r="I38" s="21">
        <f t="shared" si="15"/>
        <v>1</v>
      </c>
      <c r="J38" s="666"/>
      <c r="K38" s="21">
        <f t="shared" si="16"/>
        <v>1</v>
      </c>
      <c r="L38" s="666"/>
      <c r="M38" s="21">
        <f t="shared" si="17"/>
        <v>1</v>
      </c>
      <c r="N38" s="666"/>
      <c r="O38" s="21">
        <f t="shared" si="18"/>
        <v>1</v>
      </c>
      <c r="P38" s="666"/>
      <c r="Q38" s="21">
        <f t="shared" si="19"/>
        <v>0</v>
      </c>
      <c r="R38" s="662">
        <f t="shared" si="20"/>
        <v>0</v>
      </c>
      <c r="S38" s="316">
        <f t="shared" si="11"/>
        <v>0</v>
      </c>
    </row>
    <row r="39" spans="1:19">
      <c r="A39" s="150"/>
      <c r="B39" s="54"/>
      <c r="C39" s="21">
        <f t="shared" si="12"/>
        <v>1</v>
      </c>
      <c r="D39" s="666"/>
      <c r="E39" s="21">
        <f t="shared" si="13"/>
        <v>1</v>
      </c>
      <c r="F39" s="666"/>
      <c r="G39" s="21">
        <f t="shared" si="14"/>
        <v>1</v>
      </c>
      <c r="H39" s="666"/>
      <c r="I39" s="21">
        <f t="shared" si="15"/>
        <v>1</v>
      </c>
      <c r="J39" s="666"/>
      <c r="K39" s="21">
        <f t="shared" si="16"/>
        <v>1</v>
      </c>
      <c r="L39" s="666"/>
      <c r="M39" s="21">
        <f t="shared" si="17"/>
        <v>1</v>
      </c>
      <c r="N39" s="666"/>
      <c r="O39" s="21">
        <f t="shared" si="18"/>
        <v>1</v>
      </c>
      <c r="P39" s="666"/>
      <c r="Q39" s="21">
        <f t="shared" si="19"/>
        <v>0</v>
      </c>
      <c r="R39" s="662">
        <f t="shared" si="20"/>
        <v>0</v>
      </c>
      <c r="S39" s="316">
        <f t="shared" si="11"/>
        <v>0</v>
      </c>
    </row>
    <row r="40" spans="1:19">
      <c r="A40" s="150"/>
      <c r="B40" s="54"/>
      <c r="C40" s="21">
        <f t="shared" si="12"/>
        <v>1</v>
      </c>
      <c r="D40" s="666"/>
      <c r="E40" s="21">
        <f t="shared" si="13"/>
        <v>1</v>
      </c>
      <c r="F40" s="666"/>
      <c r="G40" s="21">
        <f t="shared" si="14"/>
        <v>1</v>
      </c>
      <c r="H40" s="666"/>
      <c r="I40" s="21">
        <f t="shared" si="15"/>
        <v>1</v>
      </c>
      <c r="J40" s="666"/>
      <c r="K40" s="21">
        <f t="shared" si="16"/>
        <v>1</v>
      </c>
      <c r="L40" s="666"/>
      <c r="M40" s="21">
        <f t="shared" si="17"/>
        <v>1</v>
      </c>
      <c r="N40" s="666"/>
      <c r="O40" s="21">
        <f t="shared" si="18"/>
        <v>1</v>
      </c>
      <c r="P40" s="666"/>
      <c r="Q40" s="21">
        <f t="shared" si="19"/>
        <v>0</v>
      </c>
      <c r="R40" s="662">
        <f t="shared" si="20"/>
        <v>0</v>
      </c>
      <c r="S40" s="316">
        <f t="shared" si="11"/>
        <v>0</v>
      </c>
    </row>
    <row r="41" spans="1:19">
      <c r="A41" s="150"/>
      <c r="B41" s="54"/>
      <c r="C41" s="21">
        <f t="shared" si="12"/>
        <v>1</v>
      </c>
      <c r="D41" s="666"/>
      <c r="E41" s="21">
        <f t="shared" si="13"/>
        <v>1</v>
      </c>
      <c r="F41" s="666"/>
      <c r="G41" s="21">
        <f t="shared" si="14"/>
        <v>1</v>
      </c>
      <c r="H41" s="666"/>
      <c r="I41" s="21">
        <f t="shared" si="15"/>
        <v>1</v>
      </c>
      <c r="J41" s="666"/>
      <c r="K41" s="21">
        <f t="shared" si="16"/>
        <v>1</v>
      </c>
      <c r="L41" s="666"/>
      <c r="M41" s="21">
        <f t="shared" si="17"/>
        <v>1</v>
      </c>
      <c r="N41" s="666"/>
      <c r="O41" s="21">
        <f t="shared" si="18"/>
        <v>1</v>
      </c>
      <c r="P41" s="666"/>
      <c r="Q41" s="21">
        <f t="shared" si="19"/>
        <v>0</v>
      </c>
      <c r="R41" s="662">
        <f t="shared" si="20"/>
        <v>0</v>
      </c>
      <c r="S41" s="316">
        <f t="shared" si="11"/>
        <v>0</v>
      </c>
    </row>
    <row r="42" spans="1:19">
      <c r="A42" s="150"/>
      <c r="B42" s="54"/>
      <c r="C42" s="21">
        <f t="shared" si="12"/>
        <v>1</v>
      </c>
      <c r="D42" s="666"/>
      <c r="E42" s="21">
        <f t="shared" si="13"/>
        <v>1</v>
      </c>
      <c r="F42" s="666"/>
      <c r="G42" s="21">
        <f t="shared" si="14"/>
        <v>1</v>
      </c>
      <c r="H42" s="666"/>
      <c r="I42" s="21">
        <f t="shared" si="15"/>
        <v>1</v>
      </c>
      <c r="J42" s="666"/>
      <c r="K42" s="21">
        <f t="shared" si="16"/>
        <v>1</v>
      </c>
      <c r="L42" s="666"/>
      <c r="M42" s="21">
        <f t="shared" si="17"/>
        <v>1</v>
      </c>
      <c r="N42" s="666"/>
      <c r="O42" s="21">
        <f t="shared" si="18"/>
        <v>1</v>
      </c>
      <c r="P42" s="666"/>
      <c r="Q42" s="21">
        <f t="shared" si="19"/>
        <v>0</v>
      </c>
      <c r="R42" s="662">
        <f t="shared" si="20"/>
        <v>0</v>
      </c>
      <c r="S42" s="316">
        <f t="shared" si="11"/>
        <v>0</v>
      </c>
    </row>
    <row r="43" spans="1:19">
      <c r="A43" s="150"/>
      <c r="B43" s="54"/>
      <c r="C43" s="21">
        <f t="shared" si="12"/>
        <v>1</v>
      </c>
      <c r="D43" s="666"/>
      <c r="E43" s="21">
        <f t="shared" si="13"/>
        <v>1</v>
      </c>
      <c r="F43" s="666"/>
      <c r="G43" s="21">
        <f t="shared" si="14"/>
        <v>1</v>
      </c>
      <c r="H43" s="666"/>
      <c r="I43" s="21">
        <f t="shared" si="15"/>
        <v>1</v>
      </c>
      <c r="J43" s="666"/>
      <c r="K43" s="21">
        <f t="shared" si="16"/>
        <v>1</v>
      </c>
      <c r="L43" s="666"/>
      <c r="M43" s="21">
        <f t="shared" si="17"/>
        <v>1</v>
      </c>
      <c r="N43" s="666"/>
      <c r="O43" s="21">
        <f t="shared" si="18"/>
        <v>1</v>
      </c>
      <c r="P43" s="666"/>
      <c r="Q43" s="21">
        <f t="shared" si="19"/>
        <v>0</v>
      </c>
      <c r="R43" s="662">
        <f t="shared" si="20"/>
        <v>0</v>
      </c>
      <c r="S43" s="316">
        <f t="shared" si="11"/>
        <v>0</v>
      </c>
    </row>
    <row r="44" spans="1:19">
      <c r="A44" s="150"/>
      <c r="B44" s="54"/>
      <c r="C44" s="21">
        <f t="shared" si="12"/>
        <v>1</v>
      </c>
      <c r="D44" s="666"/>
      <c r="E44" s="21">
        <f t="shared" si="13"/>
        <v>1</v>
      </c>
      <c r="F44" s="666"/>
      <c r="G44" s="21">
        <f t="shared" si="14"/>
        <v>1</v>
      </c>
      <c r="H44" s="666"/>
      <c r="I44" s="21">
        <f t="shared" si="15"/>
        <v>1</v>
      </c>
      <c r="J44" s="666"/>
      <c r="K44" s="21">
        <f t="shared" si="16"/>
        <v>1</v>
      </c>
      <c r="L44" s="666"/>
      <c r="M44" s="21">
        <f t="shared" si="17"/>
        <v>1</v>
      </c>
      <c r="N44" s="666"/>
      <c r="O44" s="21">
        <f t="shared" si="18"/>
        <v>1</v>
      </c>
      <c r="P44" s="666"/>
      <c r="Q44" s="21">
        <f t="shared" si="19"/>
        <v>0</v>
      </c>
      <c r="R44" s="662">
        <f t="shared" si="20"/>
        <v>0</v>
      </c>
      <c r="S44" s="316">
        <f t="shared" si="11"/>
        <v>0</v>
      </c>
    </row>
    <row r="45" spans="1:19">
      <c r="A45" s="150"/>
      <c r="B45" s="54"/>
      <c r="C45" s="21">
        <f t="shared" si="12"/>
        <v>1</v>
      </c>
      <c r="D45" s="666"/>
      <c r="E45" s="21">
        <f t="shared" si="13"/>
        <v>1</v>
      </c>
      <c r="F45" s="666"/>
      <c r="G45" s="21">
        <f t="shared" si="14"/>
        <v>1</v>
      </c>
      <c r="H45" s="666"/>
      <c r="I45" s="21">
        <f t="shared" si="15"/>
        <v>1</v>
      </c>
      <c r="J45" s="666"/>
      <c r="K45" s="21">
        <f t="shared" si="16"/>
        <v>1</v>
      </c>
      <c r="L45" s="666"/>
      <c r="M45" s="21">
        <f t="shared" si="17"/>
        <v>1</v>
      </c>
      <c r="N45" s="666"/>
      <c r="O45" s="21">
        <f t="shared" si="18"/>
        <v>1</v>
      </c>
      <c r="P45" s="666"/>
      <c r="Q45" s="21">
        <f t="shared" si="19"/>
        <v>0</v>
      </c>
      <c r="R45" s="662">
        <f t="shared" si="20"/>
        <v>0</v>
      </c>
      <c r="S45" s="316">
        <f t="shared" si="11"/>
        <v>0</v>
      </c>
    </row>
    <row r="46" spans="1:19">
      <c r="A46" s="150"/>
      <c r="B46" s="54"/>
      <c r="C46" s="21">
        <f t="shared" si="12"/>
        <v>1</v>
      </c>
      <c r="D46" s="666"/>
      <c r="E46" s="21">
        <f t="shared" si="13"/>
        <v>1</v>
      </c>
      <c r="F46" s="666"/>
      <c r="G46" s="21">
        <f t="shared" si="14"/>
        <v>1</v>
      </c>
      <c r="H46" s="666"/>
      <c r="I46" s="21">
        <f t="shared" si="15"/>
        <v>1</v>
      </c>
      <c r="J46" s="666"/>
      <c r="K46" s="21">
        <f t="shared" si="16"/>
        <v>1</v>
      </c>
      <c r="L46" s="666"/>
      <c r="M46" s="21">
        <f t="shared" si="17"/>
        <v>1</v>
      </c>
      <c r="N46" s="666"/>
      <c r="O46" s="21">
        <f t="shared" si="18"/>
        <v>1</v>
      </c>
      <c r="P46" s="666"/>
      <c r="Q46" s="21">
        <f t="shared" si="19"/>
        <v>0</v>
      </c>
      <c r="R46" s="662">
        <f t="shared" si="20"/>
        <v>0</v>
      </c>
      <c r="S46" s="316">
        <f t="shared" si="11"/>
        <v>0</v>
      </c>
    </row>
    <row r="47" spans="1:19">
      <c r="A47" s="150"/>
      <c r="B47" s="54"/>
      <c r="C47" s="21">
        <f t="shared" si="12"/>
        <v>1</v>
      </c>
      <c r="D47" s="666"/>
      <c r="E47" s="21">
        <f t="shared" si="13"/>
        <v>1</v>
      </c>
      <c r="F47" s="666"/>
      <c r="G47" s="21">
        <f t="shared" si="14"/>
        <v>1</v>
      </c>
      <c r="H47" s="666"/>
      <c r="I47" s="21">
        <f t="shared" si="15"/>
        <v>1</v>
      </c>
      <c r="J47" s="666"/>
      <c r="K47" s="21">
        <f t="shared" si="16"/>
        <v>1</v>
      </c>
      <c r="L47" s="666"/>
      <c r="M47" s="21">
        <f t="shared" si="17"/>
        <v>1</v>
      </c>
      <c r="N47" s="666"/>
      <c r="O47" s="21">
        <f t="shared" si="18"/>
        <v>1</v>
      </c>
      <c r="P47" s="666"/>
      <c r="Q47" s="21">
        <f t="shared" si="19"/>
        <v>0</v>
      </c>
      <c r="R47" s="662">
        <f t="shared" si="20"/>
        <v>0</v>
      </c>
      <c r="S47" s="316">
        <f t="shared" si="11"/>
        <v>0</v>
      </c>
    </row>
    <row r="48" spans="1:19">
      <c r="A48" s="150"/>
      <c r="B48" s="54"/>
      <c r="C48" s="21">
        <f t="shared" si="12"/>
        <v>1</v>
      </c>
      <c r="D48" s="666"/>
      <c r="E48" s="21">
        <f t="shared" si="13"/>
        <v>1</v>
      </c>
      <c r="F48" s="666"/>
      <c r="G48" s="21">
        <f t="shared" si="14"/>
        <v>1</v>
      </c>
      <c r="H48" s="666"/>
      <c r="I48" s="21">
        <f t="shared" si="15"/>
        <v>1</v>
      </c>
      <c r="J48" s="666"/>
      <c r="K48" s="21">
        <f t="shared" si="16"/>
        <v>1</v>
      </c>
      <c r="L48" s="666"/>
      <c r="M48" s="21">
        <f t="shared" si="17"/>
        <v>1</v>
      </c>
      <c r="N48" s="666"/>
      <c r="O48" s="21">
        <f t="shared" si="18"/>
        <v>1</v>
      </c>
      <c r="P48" s="666"/>
      <c r="Q48" s="21">
        <f t="shared" si="19"/>
        <v>0</v>
      </c>
      <c r="R48" s="662">
        <f t="shared" si="20"/>
        <v>0</v>
      </c>
      <c r="S48" s="316">
        <f t="shared" si="11"/>
        <v>0</v>
      </c>
    </row>
    <row r="49" spans="1:19">
      <c r="A49" s="150"/>
      <c r="B49" s="54"/>
      <c r="C49" s="21">
        <f t="shared" si="12"/>
        <v>1</v>
      </c>
      <c r="D49" s="666"/>
      <c r="E49" s="21">
        <f t="shared" si="13"/>
        <v>1</v>
      </c>
      <c r="F49" s="666"/>
      <c r="G49" s="21">
        <f t="shared" si="14"/>
        <v>1</v>
      </c>
      <c r="H49" s="666"/>
      <c r="I49" s="21">
        <f t="shared" si="15"/>
        <v>1</v>
      </c>
      <c r="J49" s="666"/>
      <c r="K49" s="21">
        <f t="shared" si="16"/>
        <v>1</v>
      </c>
      <c r="L49" s="666"/>
      <c r="M49" s="21">
        <f t="shared" si="17"/>
        <v>1</v>
      </c>
      <c r="N49" s="666"/>
      <c r="O49" s="21">
        <f t="shared" si="18"/>
        <v>1</v>
      </c>
      <c r="P49" s="666"/>
      <c r="Q49" s="21">
        <f t="shared" si="19"/>
        <v>0</v>
      </c>
      <c r="R49" s="662">
        <f t="shared" si="20"/>
        <v>0</v>
      </c>
      <c r="S49" s="316">
        <f t="shared" si="11"/>
        <v>0</v>
      </c>
    </row>
    <row r="50" spans="1:19">
      <c r="A50" s="150"/>
      <c r="B50" s="54"/>
      <c r="C50" s="21">
        <f t="shared" si="12"/>
        <v>1</v>
      </c>
      <c r="D50" s="666"/>
      <c r="E50" s="21">
        <f t="shared" si="13"/>
        <v>1</v>
      </c>
      <c r="F50" s="666"/>
      <c r="G50" s="21">
        <f t="shared" si="14"/>
        <v>1</v>
      </c>
      <c r="H50" s="666"/>
      <c r="I50" s="21">
        <f t="shared" si="15"/>
        <v>1</v>
      </c>
      <c r="J50" s="666"/>
      <c r="K50" s="21">
        <f t="shared" si="16"/>
        <v>1</v>
      </c>
      <c r="L50" s="666"/>
      <c r="M50" s="21">
        <f t="shared" si="17"/>
        <v>1</v>
      </c>
      <c r="N50" s="666"/>
      <c r="O50" s="21">
        <f t="shared" si="18"/>
        <v>1</v>
      </c>
      <c r="P50" s="666"/>
      <c r="Q50" s="21">
        <f t="shared" si="19"/>
        <v>0</v>
      </c>
      <c r="R50" s="662">
        <f t="shared" si="20"/>
        <v>0</v>
      </c>
      <c r="S50" s="316">
        <f t="shared" si="11"/>
        <v>0</v>
      </c>
    </row>
    <row r="51" spans="1:19">
      <c r="A51" s="150"/>
      <c r="B51" s="54"/>
      <c r="C51" s="21">
        <f t="shared" si="12"/>
        <v>1</v>
      </c>
      <c r="D51" s="666"/>
      <c r="E51" s="21">
        <f t="shared" si="13"/>
        <v>1</v>
      </c>
      <c r="F51" s="666"/>
      <c r="G51" s="21">
        <f t="shared" si="14"/>
        <v>1</v>
      </c>
      <c r="H51" s="666"/>
      <c r="I51" s="21">
        <f t="shared" si="15"/>
        <v>1</v>
      </c>
      <c r="J51" s="666"/>
      <c r="K51" s="21">
        <f t="shared" si="16"/>
        <v>1</v>
      </c>
      <c r="L51" s="666"/>
      <c r="M51" s="21">
        <f t="shared" si="17"/>
        <v>1</v>
      </c>
      <c r="N51" s="666"/>
      <c r="O51" s="21">
        <f t="shared" si="18"/>
        <v>1</v>
      </c>
      <c r="P51" s="666"/>
      <c r="Q51" s="21">
        <f t="shared" si="19"/>
        <v>0</v>
      </c>
      <c r="R51" s="662">
        <f t="shared" si="20"/>
        <v>0</v>
      </c>
      <c r="S51" s="316">
        <f t="shared" si="11"/>
        <v>0</v>
      </c>
    </row>
    <row r="52" spans="1:19">
      <c r="A52" s="150"/>
      <c r="B52" s="54"/>
      <c r="C52" s="21">
        <f t="shared" si="12"/>
        <v>1</v>
      </c>
      <c r="D52" s="666"/>
      <c r="E52" s="21">
        <f t="shared" si="13"/>
        <v>1</v>
      </c>
      <c r="F52" s="666"/>
      <c r="G52" s="21">
        <f t="shared" si="14"/>
        <v>1</v>
      </c>
      <c r="H52" s="666"/>
      <c r="I52" s="21">
        <f t="shared" si="15"/>
        <v>1</v>
      </c>
      <c r="J52" s="666"/>
      <c r="K52" s="21">
        <f t="shared" si="16"/>
        <v>1</v>
      </c>
      <c r="L52" s="666"/>
      <c r="M52" s="21">
        <f t="shared" si="17"/>
        <v>1</v>
      </c>
      <c r="N52" s="666"/>
      <c r="O52" s="21">
        <f t="shared" si="18"/>
        <v>1</v>
      </c>
      <c r="P52" s="666"/>
      <c r="Q52" s="21">
        <f t="shared" si="19"/>
        <v>0</v>
      </c>
      <c r="R52" s="662">
        <f t="shared" si="20"/>
        <v>0</v>
      </c>
      <c r="S52" s="316">
        <f t="shared" si="11"/>
        <v>0</v>
      </c>
    </row>
    <row r="53" spans="1:19">
      <c r="A53" s="150"/>
      <c r="B53" s="54"/>
      <c r="C53" s="21">
        <f t="shared" si="12"/>
        <v>1</v>
      </c>
      <c r="D53" s="666"/>
      <c r="E53" s="21">
        <f t="shared" si="13"/>
        <v>1</v>
      </c>
      <c r="F53" s="666"/>
      <c r="G53" s="21">
        <f t="shared" si="14"/>
        <v>1</v>
      </c>
      <c r="H53" s="666"/>
      <c r="I53" s="21">
        <f t="shared" si="15"/>
        <v>1</v>
      </c>
      <c r="J53" s="666"/>
      <c r="K53" s="21">
        <f t="shared" si="16"/>
        <v>1</v>
      </c>
      <c r="L53" s="666"/>
      <c r="M53" s="21">
        <f t="shared" si="17"/>
        <v>1</v>
      </c>
      <c r="N53" s="666"/>
      <c r="O53" s="21">
        <f t="shared" si="18"/>
        <v>1</v>
      </c>
      <c r="P53" s="666"/>
      <c r="Q53" s="21">
        <f t="shared" si="19"/>
        <v>0</v>
      </c>
      <c r="R53" s="662">
        <f t="shared" si="20"/>
        <v>0</v>
      </c>
      <c r="S53" s="316">
        <f t="shared" si="11"/>
        <v>0</v>
      </c>
    </row>
    <row r="54" spans="1:19">
      <c r="A54" s="150"/>
      <c r="B54" s="54"/>
      <c r="C54" s="21">
        <f t="shared" si="12"/>
        <v>1</v>
      </c>
      <c r="D54" s="666"/>
      <c r="E54" s="21">
        <f t="shared" si="13"/>
        <v>1</v>
      </c>
      <c r="F54" s="666"/>
      <c r="G54" s="21">
        <f t="shared" si="14"/>
        <v>1</v>
      </c>
      <c r="H54" s="666"/>
      <c r="I54" s="21">
        <f t="shared" si="15"/>
        <v>1</v>
      </c>
      <c r="J54" s="666"/>
      <c r="K54" s="21">
        <f t="shared" si="16"/>
        <v>1</v>
      </c>
      <c r="L54" s="666"/>
      <c r="M54" s="21">
        <f t="shared" si="17"/>
        <v>1</v>
      </c>
      <c r="N54" s="666"/>
      <c r="O54" s="21">
        <f t="shared" si="18"/>
        <v>1</v>
      </c>
      <c r="P54" s="666"/>
      <c r="Q54" s="21">
        <f t="shared" si="19"/>
        <v>0</v>
      </c>
      <c r="R54" s="662">
        <f t="shared" si="20"/>
        <v>0</v>
      </c>
      <c r="S54" s="316">
        <f t="shared" si="11"/>
        <v>0</v>
      </c>
    </row>
    <row r="55" spans="1:19">
      <c r="A55" s="150"/>
      <c r="B55" s="54"/>
      <c r="C55" s="21">
        <f t="shared" si="12"/>
        <v>1</v>
      </c>
      <c r="D55" s="666"/>
      <c r="E55" s="21">
        <f t="shared" si="13"/>
        <v>1</v>
      </c>
      <c r="F55" s="666"/>
      <c r="G55" s="21">
        <f t="shared" si="14"/>
        <v>1</v>
      </c>
      <c r="H55" s="666"/>
      <c r="I55" s="21">
        <f t="shared" si="15"/>
        <v>1</v>
      </c>
      <c r="J55" s="666"/>
      <c r="K55" s="21">
        <f t="shared" si="16"/>
        <v>1</v>
      </c>
      <c r="L55" s="666"/>
      <c r="M55" s="21">
        <f t="shared" si="17"/>
        <v>1</v>
      </c>
      <c r="N55" s="666"/>
      <c r="O55" s="21">
        <f t="shared" si="18"/>
        <v>1</v>
      </c>
      <c r="P55" s="666"/>
      <c r="Q55" s="21">
        <f t="shared" si="19"/>
        <v>0</v>
      </c>
      <c r="R55" s="662">
        <f t="shared" si="20"/>
        <v>0</v>
      </c>
      <c r="S55" s="316">
        <f t="shared" ref="S55:S77" si="21">ROUND(R55*B55/10000,0)</f>
        <v>0</v>
      </c>
    </row>
    <row r="56" spans="1:19">
      <c r="A56" s="150"/>
      <c r="B56" s="54"/>
      <c r="C56" s="21">
        <f t="shared" si="12"/>
        <v>1</v>
      </c>
      <c r="D56" s="666"/>
      <c r="E56" s="21">
        <f t="shared" si="13"/>
        <v>1</v>
      </c>
      <c r="F56" s="666"/>
      <c r="G56" s="21">
        <f t="shared" si="14"/>
        <v>1</v>
      </c>
      <c r="H56" s="666"/>
      <c r="I56" s="21">
        <f t="shared" si="15"/>
        <v>1</v>
      </c>
      <c r="J56" s="666"/>
      <c r="K56" s="21">
        <f t="shared" si="16"/>
        <v>1</v>
      </c>
      <c r="L56" s="666"/>
      <c r="M56" s="21">
        <f t="shared" si="17"/>
        <v>1</v>
      </c>
      <c r="N56" s="666"/>
      <c r="O56" s="21">
        <f t="shared" si="18"/>
        <v>1</v>
      </c>
      <c r="P56" s="666"/>
      <c r="Q56" s="21">
        <f t="shared" si="19"/>
        <v>0</v>
      </c>
      <c r="R56" s="662">
        <f t="shared" si="20"/>
        <v>0</v>
      </c>
      <c r="S56" s="316">
        <f t="shared" si="21"/>
        <v>0</v>
      </c>
    </row>
    <row r="57" spans="1:19">
      <c r="A57" s="150"/>
      <c r="B57" s="54"/>
      <c r="C57" s="21">
        <f t="shared" si="12"/>
        <v>1</v>
      </c>
      <c r="D57" s="666"/>
      <c r="E57" s="21">
        <f t="shared" si="13"/>
        <v>1</v>
      </c>
      <c r="F57" s="666"/>
      <c r="G57" s="21">
        <f t="shared" si="14"/>
        <v>1</v>
      </c>
      <c r="H57" s="666"/>
      <c r="I57" s="21">
        <f t="shared" si="15"/>
        <v>1</v>
      </c>
      <c r="J57" s="666"/>
      <c r="K57" s="21">
        <f t="shared" si="16"/>
        <v>1</v>
      </c>
      <c r="L57" s="666"/>
      <c r="M57" s="21">
        <f t="shared" si="17"/>
        <v>1</v>
      </c>
      <c r="N57" s="666"/>
      <c r="O57" s="21">
        <f t="shared" si="18"/>
        <v>1</v>
      </c>
      <c r="P57" s="666"/>
      <c r="Q57" s="21">
        <f t="shared" si="19"/>
        <v>0</v>
      </c>
      <c r="R57" s="662">
        <f t="shared" si="20"/>
        <v>0</v>
      </c>
      <c r="S57" s="316">
        <f t="shared" si="21"/>
        <v>0</v>
      </c>
    </row>
    <row r="58" spans="1:19">
      <c r="A58" s="150"/>
      <c r="B58" s="54"/>
      <c r="C58" s="21">
        <f t="shared" si="12"/>
        <v>1</v>
      </c>
      <c r="D58" s="666"/>
      <c r="E58" s="21">
        <f t="shared" si="13"/>
        <v>1</v>
      </c>
      <c r="F58" s="666"/>
      <c r="G58" s="21">
        <f t="shared" si="14"/>
        <v>1</v>
      </c>
      <c r="H58" s="666"/>
      <c r="I58" s="21">
        <f t="shared" si="15"/>
        <v>1</v>
      </c>
      <c r="J58" s="666"/>
      <c r="K58" s="21">
        <f t="shared" si="16"/>
        <v>1</v>
      </c>
      <c r="L58" s="666"/>
      <c r="M58" s="21">
        <f t="shared" si="17"/>
        <v>1</v>
      </c>
      <c r="N58" s="666"/>
      <c r="O58" s="21">
        <f t="shared" si="18"/>
        <v>1</v>
      </c>
      <c r="P58" s="666"/>
      <c r="Q58" s="21">
        <f t="shared" si="19"/>
        <v>0</v>
      </c>
      <c r="R58" s="662">
        <f t="shared" si="20"/>
        <v>0</v>
      </c>
      <c r="S58" s="316">
        <f t="shared" si="21"/>
        <v>0</v>
      </c>
    </row>
    <row r="59" spans="1:19">
      <c r="A59" s="150"/>
      <c r="B59" s="54"/>
      <c r="C59" s="21">
        <f t="shared" si="12"/>
        <v>1</v>
      </c>
      <c r="D59" s="666"/>
      <c r="E59" s="21">
        <f t="shared" si="13"/>
        <v>1</v>
      </c>
      <c r="F59" s="666"/>
      <c r="G59" s="21">
        <f t="shared" si="14"/>
        <v>1</v>
      </c>
      <c r="H59" s="666"/>
      <c r="I59" s="21">
        <f t="shared" si="15"/>
        <v>1</v>
      </c>
      <c r="J59" s="666"/>
      <c r="K59" s="21">
        <f t="shared" si="16"/>
        <v>1</v>
      </c>
      <c r="L59" s="666"/>
      <c r="M59" s="21">
        <f t="shared" si="17"/>
        <v>1</v>
      </c>
      <c r="N59" s="666"/>
      <c r="O59" s="21">
        <f t="shared" si="18"/>
        <v>1</v>
      </c>
      <c r="P59" s="666"/>
      <c r="Q59" s="21">
        <f t="shared" si="19"/>
        <v>0</v>
      </c>
      <c r="R59" s="662">
        <f t="shared" si="20"/>
        <v>0</v>
      </c>
      <c r="S59" s="316">
        <f t="shared" si="21"/>
        <v>0</v>
      </c>
    </row>
    <row r="60" spans="1:19">
      <c r="A60" s="150"/>
      <c r="B60" s="54"/>
      <c r="C60" s="21">
        <f t="shared" si="12"/>
        <v>1</v>
      </c>
      <c r="D60" s="666"/>
      <c r="E60" s="21">
        <f t="shared" si="13"/>
        <v>1</v>
      </c>
      <c r="F60" s="666"/>
      <c r="G60" s="21">
        <f t="shared" si="14"/>
        <v>1</v>
      </c>
      <c r="H60" s="666"/>
      <c r="I60" s="21">
        <f t="shared" si="15"/>
        <v>1</v>
      </c>
      <c r="J60" s="666"/>
      <c r="K60" s="21">
        <f t="shared" si="16"/>
        <v>1</v>
      </c>
      <c r="L60" s="666"/>
      <c r="M60" s="21">
        <f t="shared" si="17"/>
        <v>1</v>
      </c>
      <c r="N60" s="666"/>
      <c r="O60" s="21">
        <f t="shared" si="18"/>
        <v>1</v>
      </c>
      <c r="P60" s="666"/>
      <c r="Q60" s="21">
        <f t="shared" si="19"/>
        <v>0</v>
      </c>
      <c r="R60" s="662">
        <f t="shared" si="20"/>
        <v>0</v>
      </c>
      <c r="S60" s="316">
        <f t="shared" si="21"/>
        <v>0</v>
      </c>
    </row>
    <row r="61" spans="1:19">
      <c r="A61" s="150"/>
      <c r="B61" s="54"/>
      <c r="C61" s="21">
        <f t="shared" si="12"/>
        <v>1</v>
      </c>
      <c r="D61" s="666"/>
      <c r="E61" s="21">
        <f t="shared" si="13"/>
        <v>1</v>
      </c>
      <c r="F61" s="666"/>
      <c r="G61" s="21">
        <f t="shared" si="14"/>
        <v>1</v>
      </c>
      <c r="H61" s="666"/>
      <c r="I61" s="21">
        <f t="shared" si="15"/>
        <v>1</v>
      </c>
      <c r="J61" s="666"/>
      <c r="K61" s="21">
        <f t="shared" si="16"/>
        <v>1</v>
      </c>
      <c r="L61" s="666"/>
      <c r="M61" s="21">
        <f t="shared" si="17"/>
        <v>1</v>
      </c>
      <c r="N61" s="666"/>
      <c r="O61" s="21">
        <f t="shared" si="18"/>
        <v>1</v>
      </c>
      <c r="P61" s="666"/>
      <c r="Q61" s="21">
        <f t="shared" si="19"/>
        <v>0</v>
      </c>
      <c r="R61" s="662">
        <f t="shared" si="20"/>
        <v>0</v>
      </c>
      <c r="S61" s="316">
        <f t="shared" si="21"/>
        <v>0</v>
      </c>
    </row>
    <row r="62" spans="1:19">
      <c r="A62" s="150"/>
      <c r="B62" s="54"/>
      <c r="C62" s="21">
        <f t="shared" si="12"/>
        <v>1</v>
      </c>
      <c r="D62" s="666"/>
      <c r="E62" s="21">
        <f t="shared" si="13"/>
        <v>1</v>
      </c>
      <c r="F62" s="666"/>
      <c r="G62" s="21">
        <f t="shared" si="14"/>
        <v>1</v>
      </c>
      <c r="H62" s="666"/>
      <c r="I62" s="21">
        <f t="shared" si="15"/>
        <v>1</v>
      </c>
      <c r="J62" s="666"/>
      <c r="K62" s="21">
        <f t="shared" si="16"/>
        <v>1</v>
      </c>
      <c r="L62" s="666"/>
      <c r="M62" s="21">
        <f t="shared" si="17"/>
        <v>1</v>
      </c>
      <c r="N62" s="666"/>
      <c r="O62" s="21">
        <f t="shared" si="18"/>
        <v>1</v>
      </c>
      <c r="P62" s="666"/>
      <c r="Q62" s="21">
        <f t="shared" si="19"/>
        <v>0</v>
      </c>
      <c r="R62" s="662">
        <f t="shared" si="20"/>
        <v>0</v>
      </c>
      <c r="S62" s="316">
        <f t="shared" si="21"/>
        <v>0</v>
      </c>
    </row>
    <row r="63" spans="1:19">
      <c r="A63" s="150"/>
      <c r="B63" s="54"/>
      <c r="C63" s="21">
        <f t="shared" si="12"/>
        <v>1</v>
      </c>
      <c r="D63" s="666"/>
      <c r="E63" s="21">
        <f t="shared" si="13"/>
        <v>1</v>
      </c>
      <c r="F63" s="666"/>
      <c r="G63" s="21">
        <f t="shared" si="14"/>
        <v>1</v>
      </c>
      <c r="H63" s="666"/>
      <c r="I63" s="21">
        <f t="shared" si="15"/>
        <v>1</v>
      </c>
      <c r="J63" s="666"/>
      <c r="K63" s="21">
        <f t="shared" si="16"/>
        <v>1</v>
      </c>
      <c r="L63" s="666"/>
      <c r="M63" s="21">
        <f t="shared" si="17"/>
        <v>1</v>
      </c>
      <c r="N63" s="666"/>
      <c r="O63" s="21">
        <f t="shared" si="18"/>
        <v>1</v>
      </c>
      <c r="P63" s="666"/>
      <c r="Q63" s="21">
        <f t="shared" si="19"/>
        <v>0</v>
      </c>
      <c r="R63" s="662">
        <f t="shared" si="20"/>
        <v>0</v>
      </c>
      <c r="S63" s="316">
        <f t="shared" si="21"/>
        <v>0</v>
      </c>
    </row>
    <row r="64" spans="1:19">
      <c r="A64" s="150"/>
      <c r="B64" s="54"/>
      <c r="C64" s="21">
        <f t="shared" si="12"/>
        <v>1</v>
      </c>
      <c r="D64" s="666"/>
      <c r="E64" s="21">
        <f t="shared" si="13"/>
        <v>1</v>
      </c>
      <c r="F64" s="666"/>
      <c r="G64" s="21">
        <f t="shared" si="14"/>
        <v>1</v>
      </c>
      <c r="H64" s="666"/>
      <c r="I64" s="21">
        <f t="shared" si="15"/>
        <v>1</v>
      </c>
      <c r="J64" s="666"/>
      <c r="K64" s="21">
        <f t="shared" si="16"/>
        <v>1</v>
      </c>
      <c r="L64" s="666"/>
      <c r="M64" s="21">
        <f t="shared" si="17"/>
        <v>1</v>
      </c>
      <c r="N64" s="666"/>
      <c r="O64" s="21">
        <f t="shared" si="18"/>
        <v>1</v>
      </c>
      <c r="P64" s="666"/>
      <c r="Q64" s="21">
        <f t="shared" si="19"/>
        <v>0</v>
      </c>
      <c r="R64" s="662">
        <f t="shared" si="20"/>
        <v>0</v>
      </c>
      <c r="S64" s="316">
        <f t="shared" si="21"/>
        <v>0</v>
      </c>
    </row>
    <row r="65" spans="1:19">
      <c r="A65" s="150"/>
      <c r="B65" s="54"/>
      <c r="C65" s="21">
        <f t="shared" si="12"/>
        <v>1</v>
      </c>
      <c r="D65" s="666"/>
      <c r="E65" s="21">
        <f t="shared" si="13"/>
        <v>1</v>
      </c>
      <c r="F65" s="666"/>
      <c r="G65" s="21">
        <f t="shared" si="14"/>
        <v>1</v>
      </c>
      <c r="H65" s="666"/>
      <c r="I65" s="21">
        <f t="shared" si="15"/>
        <v>1</v>
      </c>
      <c r="J65" s="666"/>
      <c r="K65" s="21">
        <f t="shared" si="16"/>
        <v>1</v>
      </c>
      <c r="L65" s="666"/>
      <c r="M65" s="21">
        <f t="shared" si="17"/>
        <v>1</v>
      </c>
      <c r="N65" s="666"/>
      <c r="O65" s="21">
        <f t="shared" si="18"/>
        <v>1</v>
      </c>
      <c r="P65" s="666"/>
      <c r="Q65" s="21">
        <f t="shared" si="19"/>
        <v>0</v>
      </c>
      <c r="R65" s="662">
        <f t="shared" si="20"/>
        <v>0</v>
      </c>
      <c r="S65" s="316">
        <f t="shared" si="21"/>
        <v>0</v>
      </c>
    </row>
    <row r="66" spans="1:19">
      <c r="A66" s="150"/>
      <c r="B66" s="54"/>
      <c r="C66" s="21">
        <f t="shared" si="12"/>
        <v>1</v>
      </c>
      <c r="D66" s="666"/>
      <c r="E66" s="21">
        <f t="shared" si="13"/>
        <v>1</v>
      </c>
      <c r="F66" s="666"/>
      <c r="G66" s="21">
        <f t="shared" si="14"/>
        <v>1</v>
      </c>
      <c r="H66" s="666"/>
      <c r="I66" s="21">
        <f t="shared" si="15"/>
        <v>1</v>
      </c>
      <c r="J66" s="666"/>
      <c r="K66" s="21">
        <f t="shared" si="16"/>
        <v>1</v>
      </c>
      <c r="L66" s="666"/>
      <c r="M66" s="21">
        <f t="shared" si="17"/>
        <v>1</v>
      </c>
      <c r="N66" s="666"/>
      <c r="O66" s="21">
        <f t="shared" si="18"/>
        <v>1</v>
      </c>
      <c r="P66" s="666"/>
      <c r="Q66" s="21">
        <f t="shared" si="19"/>
        <v>0</v>
      </c>
      <c r="R66" s="662">
        <f t="shared" si="20"/>
        <v>0</v>
      </c>
      <c r="S66" s="316">
        <f t="shared" si="21"/>
        <v>0</v>
      </c>
    </row>
    <row r="67" spans="1:19">
      <c r="A67" s="150"/>
      <c r="B67" s="54"/>
      <c r="C67" s="21">
        <f t="shared" si="12"/>
        <v>1</v>
      </c>
      <c r="D67" s="666"/>
      <c r="E67" s="21">
        <f t="shared" si="13"/>
        <v>1</v>
      </c>
      <c r="F67" s="666"/>
      <c r="G67" s="21">
        <f t="shared" si="14"/>
        <v>1</v>
      </c>
      <c r="H67" s="666"/>
      <c r="I67" s="21">
        <f t="shared" si="15"/>
        <v>1</v>
      </c>
      <c r="J67" s="666"/>
      <c r="K67" s="21">
        <f t="shared" si="16"/>
        <v>1</v>
      </c>
      <c r="L67" s="666"/>
      <c r="M67" s="21">
        <f t="shared" si="17"/>
        <v>1</v>
      </c>
      <c r="N67" s="666"/>
      <c r="O67" s="21">
        <f t="shared" si="18"/>
        <v>1</v>
      </c>
      <c r="P67" s="666"/>
      <c r="Q67" s="21">
        <f t="shared" si="19"/>
        <v>0</v>
      </c>
      <c r="R67" s="662">
        <f t="shared" si="20"/>
        <v>0</v>
      </c>
      <c r="S67" s="316">
        <f t="shared" si="21"/>
        <v>0</v>
      </c>
    </row>
    <row r="68" spans="1:19">
      <c r="A68" s="150"/>
      <c r="B68" s="54"/>
      <c r="C68" s="21">
        <f t="shared" si="12"/>
        <v>1</v>
      </c>
      <c r="D68" s="666"/>
      <c r="E68" s="21">
        <f t="shared" si="13"/>
        <v>1</v>
      </c>
      <c r="F68" s="666"/>
      <c r="G68" s="21">
        <f t="shared" si="14"/>
        <v>1</v>
      </c>
      <c r="H68" s="666"/>
      <c r="I68" s="21">
        <f t="shared" si="15"/>
        <v>1</v>
      </c>
      <c r="J68" s="666"/>
      <c r="K68" s="21">
        <f t="shared" si="16"/>
        <v>1</v>
      </c>
      <c r="L68" s="666"/>
      <c r="M68" s="21">
        <f t="shared" si="17"/>
        <v>1</v>
      </c>
      <c r="N68" s="666"/>
      <c r="O68" s="21">
        <f t="shared" si="18"/>
        <v>1</v>
      </c>
      <c r="P68" s="666"/>
      <c r="Q68" s="21">
        <f t="shared" si="19"/>
        <v>0</v>
      </c>
      <c r="R68" s="662">
        <f t="shared" si="20"/>
        <v>0</v>
      </c>
      <c r="S68" s="316">
        <f t="shared" si="21"/>
        <v>0</v>
      </c>
    </row>
    <row r="69" spans="1:19">
      <c r="A69" s="150"/>
      <c r="B69" s="54"/>
      <c r="C69" s="21">
        <f t="shared" si="12"/>
        <v>1</v>
      </c>
      <c r="D69" s="666"/>
      <c r="E69" s="21">
        <f t="shared" si="13"/>
        <v>1</v>
      </c>
      <c r="F69" s="666"/>
      <c r="G69" s="21">
        <f t="shared" si="14"/>
        <v>1</v>
      </c>
      <c r="H69" s="666"/>
      <c r="I69" s="21">
        <f t="shared" si="15"/>
        <v>1</v>
      </c>
      <c r="J69" s="666"/>
      <c r="K69" s="21">
        <f t="shared" si="16"/>
        <v>1</v>
      </c>
      <c r="L69" s="666"/>
      <c r="M69" s="21">
        <f t="shared" si="17"/>
        <v>1</v>
      </c>
      <c r="N69" s="666"/>
      <c r="O69" s="21">
        <f t="shared" si="18"/>
        <v>1</v>
      </c>
      <c r="P69" s="666"/>
      <c r="Q69" s="21">
        <f t="shared" si="19"/>
        <v>0</v>
      </c>
      <c r="R69" s="662">
        <f t="shared" si="20"/>
        <v>0</v>
      </c>
      <c r="S69" s="316">
        <f t="shared" si="21"/>
        <v>0</v>
      </c>
    </row>
    <row r="70" spans="1:19">
      <c r="A70" s="150"/>
      <c r="B70" s="54"/>
      <c r="C70" s="21">
        <f t="shared" si="12"/>
        <v>1</v>
      </c>
      <c r="D70" s="666"/>
      <c r="E70" s="21">
        <f t="shared" si="13"/>
        <v>1</v>
      </c>
      <c r="F70" s="666"/>
      <c r="G70" s="21">
        <f t="shared" si="14"/>
        <v>1</v>
      </c>
      <c r="H70" s="666"/>
      <c r="I70" s="21">
        <f t="shared" si="15"/>
        <v>1</v>
      </c>
      <c r="J70" s="666"/>
      <c r="K70" s="21">
        <f t="shared" si="16"/>
        <v>1</v>
      </c>
      <c r="L70" s="666"/>
      <c r="M70" s="21">
        <f t="shared" si="17"/>
        <v>1</v>
      </c>
      <c r="N70" s="666"/>
      <c r="O70" s="21">
        <f t="shared" si="18"/>
        <v>1</v>
      </c>
      <c r="P70" s="666"/>
      <c r="Q70" s="21">
        <f t="shared" si="19"/>
        <v>0</v>
      </c>
      <c r="R70" s="662">
        <f t="shared" si="20"/>
        <v>0</v>
      </c>
      <c r="S70" s="316">
        <f t="shared" si="21"/>
        <v>0</v>
      </c>
    </row>
    <row r="71" spans="1:19">
      <c r="A71" s="150"/>
      <c r="B71" s="54"/>
      <c r="C71" s="21">
        <f t="shared" si="12"/>
        <v>1</v>
      </c>
      <c r="D71" s="666"/>
      <c r="E71" s="21">
        <f t="shared" si="13"/>
        <v>1</v>
      </c>
      <c r="F71" s="666"/>
      <c r="G71" s="21">
        <f t="shared" si="14"/>
        <v>1</v>
      </c>
      <c r="H71" s="666"/>
      <c r="I71" s="21">
        <f t="shared" si="15"/>
        <v>1</v>
      </c>
      <c r="J71" s="666"/>
      <c r="K71" s="21">
        <f t="shared" si="16"/>
        <v>1</v>
      </c>
      <c r="L71" s="666"/>
      <c r="M71" s="21">
        <f t="shared" si="17"/>
        <v>1</v>
      </c>
      <c r="N71" s="666"/>
      <c r="O71" s="21">
        <f t="shared" si="18"/>
        <v>1</v>
      </c>
      <c r="P71" s="666"/>
      <c r="Q71" s="21">
        <f t="shared" si="19"/>
        <v>0</v>
      </c>
      <c r="R71" s="662">
        <f t="shared" si="20"/>
        <v>0</v>
      </c>
      <c r="S71" s="316">
        <f t="shared" si="21"/>
        <v>0</v>
      </c>
    </row>
    <row r="72" spans="1:19">
      <c r="A72" s="150"/>
      <c r="B72" s="54"/>
      <c r="C72" s="21">
        <f t="shared" si="12"/>
        <v>1</v>
      </c>
      <c r="D72" s="666"/>
      <c r="E72" s="21">
        <f t="shared" si="13"/>
        <v>1</v>
      </c>
      <c r="F72" s="666"/>
      <c r="G72" s="21">
        <f t="shared" si="14"/>
        <v>1</v>
      </c>
      <c r="H72" s="666"/>
      <c r="I72" s="21">
        <f t="shared" si="15"/>
        <v>1</v>
      </c>
      <c r="J72" s="666"/>
      <c r="K72" s="21">
        <f t="shared" si="16"/>
        <v>1</v>
      </c>
      <c r="L72" s="666"/>
      <c r="M72" s="21">
        <f t="shared" si="17"/>
        <v>1</v>
      </c>
      <c r="N72" s="666"/>
      <c r="O72" s="21">
        <f t="shared" si="18"/>
        <v>1</v>
      </c>
      <c r="P72" s="666"/>
      <c r="Q72" s="21">
        <f t="shared" si="19"/>
        <v>0</v>
      </c>
      <c r="R72" s="662">
        <f t="shared" si="20"/>
        <v>0</v>
      </c>
      <c r="S72" s="316">
        <f t="shared" si="21"/>
        <v>0</v>
      </c>
    </row>
    <row r="73" spans="1:19">
      <c r="A73" s="150"/>
      <c r="B73" s="54"/>
      <c r="C73" s="21">
        <f t="shared" si="12"/>
        <v>1</v>
      </c>
      <c r="D73" s="666"/>
      <c r="E73" s="21">
        <f t="shared" si="13"/>
        <v>1</v>
      </c>
      <c r="F73" s="666"/>
      <c r="G73" s="21">
        <f t="shared" si="14"/>
        <v>1</v>
      </c>
      <c r="H73" s="666"/>
      <c r="I73" s="21">
        <f t="shared" si="15"/>
        <v>1</v>
      </c>
      <c r="J73" s="666"/>
      <c r="K73" s="21">
        <f t="shared" si="16"/>
        <v>1</v>
      </c>
      <c r="L73" s="666"/>
      <c r="M73" s="21">
        <f t="shared" si="17"/>
        <v>1</v>
      </c>
      <c r="N73" s="666"/>
      <c r="O73" s="21">
        <f t="shared" si="18"/>
        <v>1</v>
      </c>
      <c r="P73" s="666"/>
      <c r="Q73" s="21">
        <f t="shared" si="19"/>
        <v>0</v>
      </c>
      <c r="R73" s="662">
        <f t="shared" si="20"/>
        <v>0</v>
      </c>
      <c r="S73" s="316">
        <f t="shared" si="21"/>
        <v>0</v>
      </c>
    </row>
    <row r="74" spans="1:19">
      <c r="A74" s="150"/>
      <c r="B74" s="54"/>
      <c r="C74" s="21">
        <f t="shared" si="12"/>
        <v>1</v>
      </c>
      <c r="D74" s="666"/>
      <c r="E74" s="21">
        <f t="shared" si="13"/>
        <v>1</v>
      </c>
      <c r="F74" s="666"/>
      <c r="G74" s="21">
        <f t="shared" si="14"/>
        <v>1</v>
      </c>
      <c r="H74" s="666"/>
      <c r="I74" s="21">
        <f t="shared" si="15"/>
        <v>1</v>
      </c>
      <c r="J74" s="666"/>
      <c r="K74" s="21">
        <f t="shared" si="16"/>
        <v>1</v>
      </c>
      <c r="L74" s="666"/>
      <c r="M74" s="21">
        <f t="shared" si="17"/>
        <v>1</v>
      </c>
      <c r="N74" s="666"/>
      <c r="O74" s="21">
        <f t="shared" si="18"/>
        <v>1</v>
      </c>
      <c r="P74" s="666"/>
      <c r="Q74" s="21">
        <f t="shared" si="19"/>
        <v>0</v>
      </c>
      <c r="R74" s="662">
        <f t="shared" si="20"/>
        <v>0</v>
      </c>
      <c r="S74" s="316">
        <f t="shared" si="21"/>
        <v>0</v>
      </c>
    </row>
    <row r="75" spans="1:19">
      <c r="A75" s="150"/>
      <c r="B75" s="54"/>
      <c r="C75" s="21">
        <f t="shared" si="12"/>
        <v>1</v>
      </c>
      <c r="D75" s="666"/>
      <c r="E75" s="21">
        <f t="shared" si="13"/>
        <v>1</v>
      </c>
      <c r="F75" s="666"/>
      <c r="G75" s="21">
        <f t="shared" si="14"/>
        <v>1</v>
      </c>
      <c r="H75" s="666"/>
      <c r="I75" s="21">
        <f t="shared" si="15"/>
        <v>1</v>
      </c>
      <c r="J75" s="666"/>
      <c r="K75" s="21">
        <f t="shared" si="16"/>
        <v>1</v>
      </c>
      <c r="L75" s="666"/>
      <c r="M75" s="21">
        <f t="shared" si="17"/>
        <v>1</v>
      </c>
      <c r="N75" s="666"/>
      <c r="O75" s="21">
        <f t="shared" si="18"/>
        <v>1</v>
      </c>
      <c r="P75" s="666"/>
      <c r="Q75" s="21">
        <f t="shared" si="19"/>
        <v>0</v>
      </c>
      <c r="R75" s="662">
        <f t="shared" si="20"/>
        <v>0</v>
      </c>
      <c r="S75" s="316">
        <f t="shared" si="21"/>
        <v>0</v>
      </c>
    </row>
    <row r="76" spans="1:19">
      <c r="A76" s="150"/>
      <c r="B76" s="54"/>
      <c r="C76" s="21">
        <f t="shared" si="12"/>
        <v>1</v>
      </c>
      <c r="D76" s="666"/>
      <c r="E76" s="21">
        <f t="shared" si="13"/>
        <v>1</v>
      </c>
      <c r="F76" s="666"/>
      <c r="G76" s="21">
        <f t="shared" si="14"/>
        <v>1</v>
      </c>
      <c r="H76" s="666"/>
      <c r="I76" s="21">
        <f t="shared" si="15"/>
        <v>1</v>
      </c>
      <c r="J76" s="666"/>
      <c r="K76" s="21">
        <f t="shared" si="16"/>
        <v>1</v>
      </c>
      <c r="L76" s="666"/>
      <c r="M76" s="21">
        <f t="shared" si="17"/>
        <v>1</v>
      </c>
      <c r="N76" s="666"/>
      <c r="O76" s="21">
        <f t="shared" si="18"/>
        <v>1</v>
      </c>
      <c r="P76" s="666"/>
      <c r="Q76" s="21">
        <f t="shared" si="19"/>
        <v>0</v>
      </c>
      <c r="R76" s="662">
        <f t="shared" si="20"/>
        <v>0</v>
      </c>
      <c r="S76" s="316">
        <f t="shared" si="21"/>
        <v>0</v>
      </c>
    </row>
    <row r="77" spans="1:19">
      <c r="A77" s="150"/>
      <c r="B77" s="54"/>
      <c r="C77" s="21">
        <f t="shared" si="12"/>
        <v>1</v>
      </c>
      <c r="D77" s="666"/>
      <c r="E77" s="21">
        <f t="shared" si="13"/>
        <v>1</v>
      </c>
      <c r="F77" s="666"/>
      <c r="G77" s="21">
        <f t="shared" si="14"/>
        <v>1</v>
      </c>
      <c r="H77" s="666"/>
      <c r="I77" s="21">
        <f t="shared" si="15"/>
        <v>1</v>
      </c>
      <c r="J77" s="666"/>
      <c r="K77" s="21">
        <f t="shared" si="16"/>
        <v>1</v>
      </c>
      <c r="L77" s="666"/>
      <c r="M77" s="21">
        <f t="shared" si="17"/>
        <v>1</v>
      </c>
      <c r="N77" s="666"/>
      <c r="O77" s="21">
        <f t="shared" si="18"/>
        <v>1</v>
      </c>
      <c r="P77" s="666"/>
      <c r="Q77" s="21">
        <f t="shared" si="19"/>
        <v>0</v>
      </c>
      <c r="R77" s="662">
        <f t="shared" si="20"/>
        <v>0</v>
      </c>
      <c r="S77" s="316">
        <f t="shared" si="21"/>
        <v>0</v>
      </c>
    </row>
    <row r="78" spans="1:19">
      <c r="A78" s="150"/>
      <c r="B78" s="54"/>
      <c r="C78" s="21">
        <f t="shared" si="12"/>
        <v>1</v>
      </c>
      <c r="D78" s="666"/>
      <c r="E78" s="21">
        <f t="shared" si="13"/>
        <v>1</v>
      </c>
      <c r="F78" s="666"/>
      <c r="G78" s="21">
        <f t="shared" si="14"/>
        <v>1</v>
      </c>
      <c r="H78" s="666"/>
      <c r="I78" s="21">
        <f t="shared" si="15"/>
        <v>1</v>
      </c>
      <c r="J78" s="666"/>
      <c r="K78" s="21">
        <f t="shared" si="16"/>
        <v>1</v>
      </c>
      <c r="L78" s="666"/>
      <c r="M78" s="21">
        <f t="shared" si="17"/>
        <v>1</v>
      </c>
      <c r="N78" s="666"/>
      <c r="O78" s="21">
        <f t="shared" si="18"/>
        <v>1</v>
      </c>
      <c r="P78" s="666"/>
      <c r="Q78" s="21">
        <f t="shared" si="19"/>
        <v>0</v>
      </c>
      <c r="R78" s="662">
        <f t="shared" si="20"/>
        <v>0</v>
      </c>
      <c r="S78" s="316">
        <f t="shared" ref="S78:S122" si="22">ROUND(R78*B78/10000,0)</f>
        <v>0</v>
      </c>
    </row>
    <row r="79" spans="1:19">
      <c r="A79" s="150"/>
      <c r="B79" s="54"/>
      <c r="C79" s="21">
        <f t="shared" si="12"/>
        <v>1</v>
      </c>
      <c r="D79" s="666"/>
      <c r="E79" s="21">
        <f t="shared" si="13"/>
        <v>1</v>
      </c>
      <c r="F79" s="666"/>
      <c r="G79" s="21">
        <f t="shared" si="14"/>
        <v>1</v>
      </c>
      <c r="H79" s="666"/>
      <c r="I79" s="21">
        <f t="shared" si="15"/>
        <v>1</v>
      </c>
      <c r="J79" s="666"/>
      <c r="K79" s="21">
        <f t="shared" si="16"/>
        <v>1</v>
      </c>
      <c r="L79" s="666"/>
      <c r="M79" s="21">
        <f t="shared" si="17"/>
        <v>1</v>
      </c>
      <c r="N79" s="666"/>
      <c r="O79" s="21">
        <f t="shared" si="18"/>
        <v>1</v>
      </c>
      <c r="P79" s="666"/>
      <c r="Q79" s="21">
        <f t="shared" si="19"/>
        <v>0</v>
      </c>
      <c r="R79" s="662">
        <f t="shared" si="20"/>
        <v>0</v>
      </c>
      <c r="S79" s="316">
        <f t="shared" si="22"/>
        <v>0</v>
      </c>
    </row>
    <row r="80" spans="1:19">
      <c r="A80" s="150"/>
      <c r="B80" s="54"/>
      <c r="C80" s="21">
        <f t="shared" si="12"/>
        <v>1</v>
      </c>
      <c r="D80" s="666"/>
      <c r="E80" s="21">
        <f t="shared" si="13"/>
        <v>1</v>
      </c>
      <c r="F80" s="666"/>
      <c r="G80" s="21">
        <f t="shared" si="14"/>
        <v>1</v>
      </c>
      <c r="H80" s="666"/>
      <c r="I80" s="21">
        <f t="shared" si="15"/>
        <v>1</v>
      </c>
      <c r="J80" s="666"/>
      <c r="K80" s="21">
        <f t="shared" si="16"/>
        <v>1</v>
      </c>
      <c r="L80" s="666"/>
      <c r="M80" s="21">
        <f t="shared" si="17"/>
        <v>1</v>
      </c>
      <c r="N80" s="666"/>
      <c r="O80" s="21">
        <f t="shared" si="18"/>
        <v>1</v>
      </c>
      <c r="P80" s="666"/>
      <c r="Q80" s="21">
        <f t="shared" si="19"/>
        <v>0</v>
      </c>
      <c r="R80" s="662">
        <f t="shared" si="20"/>
        <v>0</v>
      </c>
      <c r="S80" s="316">
        <f t="shared" si="22"/>
        <v>0</v>
      </c>
    </row>
    <row r="81" spans="1:19">
      <c r="A81" s="150"/>
      <c r="B81" s="54"/>
      <c r="C81" s="21">
        <f t="shared" si="12"/>
        <v>1</v>
      </c>
      <c r="D81" s="666"/>
      <c r="E81" s="21">
        <f t="shared" si="13"/>
        <v>1</v>
      </c>
      <c r="F81" s="666"/>
      <c r="G81" s="21">
        <f t="shared" si="14"/>
        <v>1</v>
      </c>
      <c r="H81" s="666"/>
      <c r="I81" s="21">
        <f t="shared" si="15"/>
        <v>1</v>
      </c>
      <c r="J81" s="666"/>
      <c r="K81" s="21">
        <f t="shared" si="16"/>
        <v>1</v>
      </c>
      <c r="L81" s="666"/>
      <c r="M81" s="21">
        <f t="shared" si="17"/>
        <v>1</v>
      </c>
      <c r="N81" s="666"/>
      <c r="O81" s="21">
        <f t="shared" si="18"/>
        <v>1</v>
      </c>
      <c r="P81" s="666"/>
      <c r="Q81" s="21">
        <f t="shared" si="19"/>
        <v>0</v>
      </c>
      <c r="R81" s="662">
        <f t="shared" si="20"/>
        <v>0</v>
      </c>
      <c r="S81" s="316">
        <f t="shared" si="22"/>
        <v>0</v>
      </c>
    </row>
    <row r="82" spans="1:19">
      <c r="A82" s="150"/>
      <c r="B82" s="54"/>
      <c r="C82" s="21">
        <f t="shared" si="12"/>
        <v>1</v>
      </c>
      <c r="D82" s="666"/>
      <c r="E82" s="21">
        <f t="shared" si="13"/>
        <v>1</v>
      </c>
      <c r="F82" s="666"/>
      <c r="G82" s="21">
        <f t="shared" si="14"/>
        <v>1</v>
      </c>
      <c r="H82" s="666"/>
      <c r="I82" s="21">
        <f t="shared" si="15"/>
        <v>1</v>
      </c>
      <c r="J82" s="666"/>
      <c r="K82" s="21">
        <f t="shared" si="16"/>
        <v>1</v>
      </c>
      <c r="L82" s="666"/>
      <c r="M82" s="21">
        <f t="shared" si="17"/>
        <v>1</v>
      </c>
      <c r="N82" s="666"/>
      <c r="O82" s="21">
        <f t="shared" si="18"/>
        <v>1</v>
      </c>
      <c r="P82" s="666"/>
      <c r="Q82" s="21">
        <f t="shared" si="19"/>
        <v>0</v>
      </c>
      <c r="R82" s="662">
        <f t="shared" si="20"/>
        <v>0</v>
      </c>
      <c r="S82" s="316">
        <f t="shared" si="22"/>
        <v>0</v>
      </c>
    </row>
    <row r="83" spans="1:19">
      <c r="A83" s="150"/>
      <c r="B83" s="54"/>
      <c r="C83" s="21">
        <f t="shared" si="12"/>
        <v>1</v>
      </c>
      <c r="D83" s="666"/>
      <c r="E83" s="21">
        <f t="shared" si="13"/>
        <v>1</v>
      </c>
      <c r="F83" s="666"/>
      <c r="G83" s="21">
        <f t="shared" si="14"/>
        <v>1</v>
      </c>
      <c r="H83" s="666"/>
      <c r="I83" s="21">
        <f t="shared" si="15"/>
        <v>1</v>
      </c>
      <c r="J83" s="666"/>
      <c r="K83" s="21">
        <f t="shared" si="16"/>
        <v>1</v>
      </c>
      <c r="L83" s="666"/>
      <c r="M83" s="21">
        <f t="shared" si="17"/>
        <v>1</v>
      </c>
      <c r="N83" s="666"/>
      <c r="O83" s="21">
        <f t="shared" si="18"/>
        <v>1</v>
      </c>
      <c r="P83" s="666"/>
      <c r="Q83" s="21">
        <f t="shared" si="19"/>
        <v>0</v>
      </c>
      <c r="R83" s="662">
        <f t="shared" si="20"/>
        <v>0</v>
      </c>
      <c r="S83" s="316">
        <f t="shared" si="22"/>
        <v>0</v>
      </c>
    </row>
    <row r="84" spans="1:19">
      <c r="A84" s="150"/>
      <c r="B84" s="54"/>
      <c r="C84" s="21">
        <f t="shared" si="12"/>
        <v>1</v>
      </c>
      <c r="D84" s="666"/>
      <c r="E84" s="21">
        <f t="shared" si="13"/>
        <v>1</v>
      </c>
      <c r="F84" s="666"/>
      <c r="G84" s="21">
        <f t="shared" si="14"/>
        <v>1</v>
      </c>
      <c r="H84" s="666"/>
      <c r="I84" s="21">
        <f t="shared" si="15"/>
        <v>1</v>
      </c>
      <c r="J84" s="666"/>
      <c r="K84" s="21">
        <f t="shared" si="16"/>
        <v>1</v>
      </c>
      <c r="L84" s="666"/>
      <c r="M84" s="21">
        <f t="shared" si="17"/>
        <v>1</v>
      </c>
      <c r="N84" s="666"/>
      <c r="O84" s="21">
        <f t="shared" si="18"/>
        <v>1</v>
      </c>
      <c r="P84" s="666"/>
      <c r="Q84" s="21">
        <f t="shared" si="19"/>
        <v>0</v>
      </c>
      <c r="R84" s="662">
        <f t="shared" si="20"/>
        <v>0</v>
      </c>
      <c r="S84" s="316">
        <f t="shared" si="22"/>
        <v>0</v>
      </c>
    </row>
    <row r="85" spans="1:19">
      <c r="A85" s="150"/>
      <c r="B85" s="54"/>
      <c r="C85" s="21">
        <f t="shared" si="12"/>
        <v>1</v>
      </c>
      <c r="D85" s="666"/>
      <c r="E85" s="21">
        <f t="shared" si="13"/>
        <v>1</v>
      </c>
      <c r="F85" s="666"/>
      <c r="G85" s="21">
        <f t="shared" si="14"/>
        <v>1</v>
      </c>
      <c r="H85" s="666"/>
      <c r="I85" s="21">
        <f t="shared" si="15"/>
        <v>1</v>
      </c>
      <c r="J85" s="666"/>
      <c r="K85" s="21">
        <f t="shared" si="16"/>
        <v>1</v>
      </c>
      <c r="L85" s="666"/>
      <c r="M85" s="21">
        <f t="shared" si="17"/>
        <v>1</v>
      </c>
      <c r="N85" s="666"/>
      <c r="O85" s="21">
        <f t="shared" si="18"/>
        <v>1</v>
      </c>
      <c r="P85" s="666"/>
      <c r="Q85" s="21">
        <f t="shared" si="19"/>
        <v>0</v>
      </c>
      <c r="R85" s="662">
        <f t="shared" si="20"/>
        <v>0</v>
      </c>
      <c r="S85" s="316">
        <f t="shared" si="22"/>
        <v>0</v>
      </c>
    </row>
    <row r="86" spans="1:19">
      <c r="A86" s="150"/>
      <c r="B86" s="54"/>
      <c r="C86" s="21">
        <f t="shared" si="12"/>
        <v>1</v>
      </c>
      <c r="D86" s="666"/>
      <c r="E86" s="21">
        <f t="shared" si="13"/>
        <v>1</v>
      </c>
      <c r="F86" s="666"/>
      <c r="G86" s="21">
        <f t="shared" si="14"/>
        <v>1</v>
      </c>
      <c r="H86" s="666"/>
      <c r="I86" s="21">
        <f t="shared" si="15"/>
        <v>1</v>
      </c>
      <c r="J86" s="666"/>
      <c r="K86" s="21">
        <f t="shared" si="16"/>
        <v>1</v>
      </c>
      <c r="L86" s="666"/>
      <c r="M86" s="21">
        <f t="shared" si="17"/>
        <v>1</v>
      </c>
      <c r="N86" s="666"/>
      <c r="O86" s="21">
        <f t="shared" si="18"/>
        <v>1</v>
      </c>
      <c r="P86" s="666"/>
      <c r="Q86" s="21">
        <f t="shared" si="19"/>
        <v>0</v>
      </c>
      <c r="R86" s="662">
        <f t="shared" si="20"/>
        <v>0</v>
      </c>
      <c r="S86" s="316">
        <f t="shared" si="22"/>
        <v>0</v>
      </c>
    </row>
    <row r="87" spans="1:19">
      <c r="A87" s="150"/>
      <c r="B87" s="54"/>
      <c r="C87" s="21">
        <f t="shared" si="12"/>
        <v>1</v>
      </c>
      <c r="D87" s="666"/>
      <c r="E87" s="21">
        <f t="shared" si="13"/>
        <v>1</v>
      </c>
      <c r="F87" s="666"/>
      <c r="G87" s="21">
        <f t="shared" si="14"/>
        <v>1</v>
      </c>
      <c r="H87" s="666"/>
      <c r="I87" s="21">
        <f t="shared" si="15"/>
        <v>1</v>
      </c>
      <c r="J87" s="666"/>
      <c r="K87" s="21">
        <f t="shared" si="16"/>
        <v>1</v>
      </c>
      <c r="L87" s="666"/>
      <c r="M87" s="21">
        <f t="shared" si="17"/>
        <v>1</v>
      </c>
      <c r="N87" s="666"/>
      <c r="O87" s="21">
        <f t="shared" si="18"/>
        <v>1</v>
      </c>
      <c r="P87" s="666"/>
      <c r="Q87" s="21">
        <f t="shared" si="19"/>
        <v>0</v>
      </c>
      <c r="R87" s="662">
        <f t="shared" si="20"/>
        <v>0</v>
      </c>
      <c r="S87" s="316">
        <f t="shared" si="22"/>
        <v>0</v>
      </c>
    </row>
    <row r="88" spans="1:19">
      <c r="A88" s="150"/>
      <c r="B88" s="54"/>
      <c r="C88" s="21">
        <f t="shared" si="12"/>
        <v>1</v>
      </c>
      <c r="D88" s="666"/>
      <c r="E88" s="21">
        <f t="shared" si="13"/>
        <v>1</v>
      </c>
      <c r="F88" s="666"/>
      <c r="G88" s="21">
        <f t="shared" si="14"/>
        <v>1</v>
      </c>
      <c r="H88" s="666"/>
      <c r="I88" s="21">
        <f t="shared" si="15"/>
        <v>1</v>
      </c>
      <c r="J88" s="666"/>
      <c r="K88" s="21">
        <f t="shared" si="16"/>
        <v>1</v>
      </c>
      <c r="L88" s="666"/>
      <c r="M88" s="21">
        <f t="shared" si="17"/>
        <v>1</v>
      </c>
      <c r="N88" s="666"/>
      <c r="O88" s="21">
        <f t="shared" si="18"/>
        <v>1</v>
      </c>
      <c r="P88" s="666"/>
      <c r="Q88" s="21">
        <f t="shared" si="19"/>
        <v>0</v>
      </c>
      <c r="R88" s="662">
        <f t="shared" si="20"/>
        <v>0</v>
      </c>
      <c r="S88" s="316">
        <f t="shared" si="22"/>
        <v>0</v>
      </c>
    </row>
    <row r="89" spans="1:19">
      <c r="A89" s="150"/>
      <c r="B89" s="54"/>
      <c r="C89" s="21">
        <f t="shared" si="12"/>
        <v>1</v>
      </c>
      <c r="D89" s="666"/>
      <c r="E89" s="21">
        <f t="shared" si="13"/>
        <v>1</v>
      </c>
      <c r="F89" s="666"/>
      <c r="G89" s="21">
        <f t="shared" si="14"/>
        <v>1</v>
      </c>
      <c r="H89" s="666"/>
      <c r="I89" s="21">
        <f t="shared" si="15"/>
        <v>1</v>
      </c>
      <c r="J89" s="666"/>
      <c r="K89" s="21">
        <f t="shared" si="16"/>
        <v>1</v>
      </c>
      <c r="L89" s="666"/>
      <c r="M89" s="21">
        <f t="shared" si="17"/>
        <v>1</v>
      </c>
      <c r="N89" s="666"/>
      <c r="O89" s="21">
        <f t="shared" si="18"/>
        <v>1</v>
      </c>
      <c r="P89" s="666"/>
      <c r="Q89" s="21">
        <f t="shared" si="19"/>
        <v>0</v>
      </c>
      <c r="R89" s="662">
        <f t="shared" si="20"/>
        <v>0</v>
      </c>
      <c r="S89" s="316">
        <f t="shared" si="22"/>
        <v>0</v>
      </c>
    </row>
    <row r="90" spans="1:19">
      <c r="A90" s="150"/>
      <c r="B90" s="54"/>
      <c r="C90" s="21">
        <f t="shared" ref="C90:C153" si="23">IF(B90="",1,(LOOKUP(B90,$3:$3,$4:$4)-LOOKUP($B$24,$3:$3,$4:$4)+100)/100)</f>
        <v>1</v>
      </c>
      <c r="D90" s="666"/>
      <c r="E90" s="21">
        <f t="shared" ref="E90:E153" si="24">(SUMIF($5:$5,D90,$6:$6)-SUMIF($5:$5,$D$24,$6:$6)+100)/100</f>
        <v>1</v>
      </c>
      <c r="F90" s="666"/>
      <c r="G90" s="21">
        <f t="shared" ref="G90:G153" si="25">(SUMIF($7:$7,F90,$8:$8)-SUMIF($7:$7,$F$24,$8:$8)+100)/100</f>
        <v>1</v>
      </c>
      <c r="H90" s="666"/>
      <c r="I90" s="21">
        <f t="shared" ref="I90:I153" si="26">(SUMIF($9:$9,H90,$10:$10)-SUMIF($9:$9,$H$24,$10:$10)+100)/100</f>
        <v>1</v>
      </c>
      <c r="J90" s="666"/>
      <c r="K90" s="21">
        <f t="shared" ref="K90:K153" si="27">(SUMIF($11:$11,J90,$12:$12)-SUMIF($11:$11,$J$24,$12:$12)+100)/100</f>
        <v>1</v>
      </c>
      <c r="L90" s="666"/>
      <c r="M90" s="21">
        <f t="shared" ref="M90:M153" si="28">(SUMIF($13:$13,L90,$14:$14)-SUMIF($13:$13,$L$24,$14:$14)+100)/100</f>
        <v>1</v>
      </c>
      <c r="N90" s="666"/>
      <c r="O90" s="21">
        <f t="shared" ref="O90:O153" si="29">(SUMIF($15:$15,N90,$16:$16)-SUMIF($15:$15,$N$24,$16:$16)+100)/100</f>
        <v>1</v>
      </c>
      <c r="P90" s="666"/>
      <c r="Q90" s="21">
        <f t="shared" ref="Q90:Q153" si="30">(SUMIF($17:$17,P90,$18:$18)-SUMIF($17:$17,$P$24,$18:$18)+100)/100</f>
        <v>0</v>
      </c>
      <c r="R90" s="662">
        <f t="shared" ref="R90:R153" si="31">IF(B90="",0,ROUND($R$24*C90*E90*G90*I90*K90*M90*O90*Q90,0))</f>
        <v>0</v>
      </c>
      <c r="S90" s="316">
        <f t="shared" si="22"/>
        <v>0</v>
      </c>
    </row>
    <row r="91" spans="1:19">
      <c r="A91" s="150"/>
      <c r="B91" s="54"/>
      <c r="C91" s="21">
        <f t="shared" si="23"/>
        <v>1</v>
      </c>
      <c r="D91" s="666"/>
      <c r="E91" s="21">
        <f t="shared" si="24"/>
        <v>1</v>
      </c>
      <c r="F91" s="666"/>
      <c r="G91" s="21">
        <f t="shared" si="25"/>
        <v>1</v>
      </c>
      <c r="H91" s="666"/>
      <c r="I91" s="21">
        <f t="shared" si="26"/>
        <v>1</v>
      </c>
      <c r="J91" s="666"/>
      <c r="K91" s="21">
        <f t="shared" si="27"/>
        <v>1</v>
      </c>
      <c r="L91" s="666"/>
      <c r="M91" s="21">
        <f t="shared" si="28"/>
        <v>1</v>
      </c>
      <c r="N91" s="666"/>
      <c r="O91" s="21">
        <f t="shared" si="29"/>
        <v>1</v>
      </c>
      <c r="P91" s="666"/>
      <c r="Q91" s="21">
        <f t="shared" si="30"/>
        <v>0</v>
      </c>
      <c r="R91" s="662">
        <f t="shared" si="31"/>
        <v>0</v>
      </c>
      <c r="S91" s="316">
        <f t="shared" si="22"/>
        <v>0</v>
      </c>
    </row>
    <row r="92" spans="1:19">
      <c r="A92" s="150"/>
      <c r="B92" s="54"/>
      <c r="C92" s="21">
        <f t="shared" si="23"/>
        <v>1</v>
      </c>
      <c r="D92" s="666"/>
      <c r="E92" s="21">
        <f t="shared" si="24"/>
        <v>1</v>
      </c>
      <c r="F92" s="666"/>
      <c r="G92" s="21">
        <f t="shared" si="25"/>
        <v>1</v>
      </c>
      <c r="H92" s="666"/>
      <c r="I92" s="21">
        <f t="shared" si="26"/>
        <v>1</v>
      </c>
      <c r="J92" s="666"/>
      <c r="K92" s="21">
        <f t="shared" si="27"/>
        <v>1</v>
      </c>
      <c r="L92" s="666"/>
      <c r="M92" s="21">
        <f t="shared" si="28"/>
        <v>1</v>
      </c>
      <c r="N92" s="666"/>
      <c r="O92" s="21">
        <f t="shared" si="29"/>
        <v>1</v>
      </c>
      <c r="P92" s="666"/>
      <c r="Q92" s="21">
        <f t="shared" si="30"/>
        <v>0</v>
      </c>
      <c r="R92" s="662">
        <f t="shared" si="31"/>
        <v>0</v>
      </c>
      <c r="S92" s="316">
        <f t="shared" si="22"/>
        <v>0</v>
      </c>
    </row>
    <row r="93" spans="1:19">
      <c r="A93" s="150"/>
      <c r="B93" s="54"/>
      <c r="C93" s="21">
        <f t="shared" si="23"/>
        <v>1</v>
      </c>
      <c r="D93" s="666"/>
      <c r="E93" s="21">
        <f t="shared" si="24"/>
        <v>1</v>
      </c>
      <c r="F93" s="666"/>
      <c r="G93" s="21">
        <f t="shared" si="25"/>
        <v>1</v>
      </c>
      <c r="H93" s="666"/>
      <c r="I93" s="21">
        <f t="shared" si="26"/>
        <v>1</v>
      </c>
      <c r="J93" s="666"/>
      <c r="K93" s="21">
        <f t="shared" si="27"/>
        <v>1</v>
      </c>
      <c r="L93" s="666"/>
      <c r="M93" s="21">
        <f t="shared" si="28"/>
        <v>1</v>
      </c>
      <c r="N93" s="666"/>
      <c r="O93" s="21">
        <f t="shared" si="29"/>
        <v>1</v>
      </c>
      <c r="P93" s="666"/>
      <c r="Q93" s="21">
        <f t="shared" si="30"/>
        <v>0</v>
      </c>
      <c r="R93" s="662">
        <f t="shared" si="31"/>
        <v>0</v>
      </c>
      <c r="S93" s="316">
        <f t="shared" si="22"/>
        <v>0</v>
      </c>
    </row>
    <row r="94" spans="1:19">
      <c r="A94" s="150"/>
      <c r="B94" s="54"/>
      <c r="C94" s="21">
        <f t="shared" si="23"/>
        <v>1</v>
      </c>
      <c r="D94" s="666"/>
      <c r="E94" s="21">
        <f t="shared" si="24"/>
        <v>1</v>
      </c>
      <c r="F94" s="666"/>
      <c r="G94" s="21">
        <f t="shared" si="25"/>
        <v>1</v>
      </c>
      <c r="H94" s="666"/>
      <c r="I94" s="21">
        <f t="shared" si="26"/>
        <v>1</v>
      </c>
      <c r="J94" s="666"/>
      <c r="K94" s="21">
        <f t="shared" si="27"/>
        <v>1</v>
      </c>
      <c r="L94" s="666"/>
      <c r="M94" s="21">
        <f t="shared" si="28"/>
        <v>1</v>
      </c>
      <c r="N94" s="666"/>
      <c r="O94" s="21">
        <f t="shared" si="29"/>
        <v>1</v>
      </c>
      <c r="P94" s="666"/>
      <c r="Q94" s="21">
        <f t="shared" si="30"/>
        <v>0</v>
      </c>
      <c r="R94" s="662">
        <f t="shared" si="31"/>
        <v>0</v>
      </c>
      <c r="S94" s="316">
        <f t="shared" si="22"/>
        <v>0</v>
      </c>
    </row>
    <row r="95" spans="1:19">
      <c r="A95" s="150"/>
      <c r="B95" s="54"/>
      <c r="C95" s="21">
        <f t="shared" si="23"/>
        <v>1</v>
      </c>
      <c r="D95" s="666"/>
      <c r="E95" s="21">
        <f t="shared" si="24"/>
        <v>1</v>
      </c>
      <c r="F95" s="666"/>
      <c r="G95" s="21">
        <f t="shared" si="25"/>
        <v>1</v>
      </c>
      <c r="H95" s="666"/>
      <c r="I95" s="21">
        <f t="shared" si="26"/>
        <v>1</v>
      </c>
      <c r="J95" s="666"/>
      <c r="K95" s="21">
        <f t="shared" si="27"/>
        <v>1</v>
      </c>
      <c r="L95" s="666"/>
      <c r="M95" s="21">
        <f t="shared" si="28"/>
        <v>1</v>
      </c>
      <c r="N95" s="666"/>
      <c r="O95" s="21">
        <f t="shared" si="29"/>
        <v>1</v>
      </c>
      <c r="P95" s="666"/>
      <c r="Q95" s="21">
        <f t="shared" si="30"/>
        <v>0</v>
      </c>
      <c r="R95" s="662">
        <f t="shared" si="31"/>
        <v>0</v>
      </c>
      <c r="S95" s="316">
        <f t="shared" si="22"/>
        <v>0</v>
      </c>
    </row>
    <row r="96" spans="1:19">
      <c r="A96" s="150"/>
      <c r="B96" s="54"/>
      <c r="C96" s="21">
        <f t="shared" si="23"/>
        <v>1</v>
      </c>
      <c r="D96" s="666"/>
      <c r="E96" s="21">
        <f t="shared" si="24"/>
        <v>1</v>
      </c>
      <c r="F96" s="666"/>
      <c r="G96" s="21">
        <f t="shared" si="25"/>
        <v>1</v>
      </c>
      <c r="H96" s="666"/>
      <c r="I96" s="21">
        <f t="shared" si="26"/>
        <v>1</v>
      </c>
      <c r="J96" s="666"/>
      <c r="K96" s="21">
        <f t="shared" si="27"/>
        <v>1</v>
      </c>
      <c r="L96" s="666"/>
      <c r="M96" s="21">
        <f t="shared" si="28"/>
        <v>1</v>
      </c>
      <c r="N96" s="666"/>
      <c r="O96" s="21">
        <f t="shared" si="29"/>
        <v>1</v>
      </c>
      <c r="P96" s="666"/>
      <c r="Q96" s="21">
        <f t="shared" si="30"/>
        <v>0</v>
      </c>
      <c r="R96" s="662">
        <f t="shared" si="31"/>
        <v>0</v>
      </c>
      <c r="S96" s="316">
        <f t="shared" si="22"/>
        <v>0</v>
      </c>
    </row>
    <row r="97" spans="1:19">
      <c r="A97" s="150"/>
      <c r="B97" s="54"/>
      <c r="C97" s="21">
        <f t="shared" si="23"/>
        <v>1</v>
      </c>
      <c r="D97" s="666"/>
      <c r="E97" s="21">
        <f t="shared" si="24"/>
        <v>1</v>
      </c>
      <c r="F97" s="666"/>
      <c r="G97" s="21">
        <f t="shared" si="25"/>
        <v>1</v>
      </c>
      <c r="H97" s="666"/>
      <c r="I97" s="21">
        <f t="shared" si="26"/>
        <v>1</v>
      </c>
      <c r="J97" s="666"/>
      <c r="K97" s="21">
        <f t="shared" si="27"/>
        <v>1</v>
      </c>
      <c r="L97" s="666"/>
      <c r="M97" s="21">
        <f t="shared" si="28"/>
        <v>1</v>
      </c>
      <c r="N97" s="666"/>
      <c r="O97" s="21">
        <f t="shared" si="29"/>
        <v>1</v>
      </c>
      <c r="P97" s="666"/>
      <c r="Q97" s="21">
        <f t="shared" si="30"/>
        <v>0</v>
      </c>
      <c r="R97" s="662">
        <f t="shared" si="31"/>
        <v>0</v>
      </c>
      <c r="S97" s="316">
        <f t="shared" si="22"/>
        <v>0</v>
      </c>
    </row>
    <row r="98" spans="1:19">
      <c r="A98" s="150"/>
      <c r="B98" s="54"/>
      <c r="C98" s="21">
        <f t="shared" si="23"/>
        <v>1</v>
      </c>
      <c r="D98" s="666"/>
      <c r="E98" s="21">
        <f t="shared" si="24"/>
        <v>1</v>
      </c>
      <c r="F98" s="666"/>
      <c r="G98" s="21">
        <f t="shared" si="25"/>
        <v>1</v>
      </c>
      <c r="H98" s="666"/>
      <c r="I98" s="21">
        <f t="shared" si="26"/>
        <v>1</v>
      </c>
      <c r="J98" s="666"/>
      <c r="K98" s="21">
        <f t="shared" si="27"/>
        <v>1</v>
      </c>
      <c r="L98" s="666"/>
      <c r="M98" s="21">
        <f t="shared" si="28"/>
        <v>1</v>
      </c>
      <c r="N98" s="666"/>
      <c r="O98" s="21">
        <f t="shared" si="29"/>
        <v>1</v>
      </c>
      <c r="P98" s="666"/>
      <c r="Q98" s="21">
        <f t="shared" si="30"/>
        <v>0</v>
      </c>
      <c r="R98" s="662">
        <f t="shared" si="31"/>
        <v>0</v>
      </c>
      <c r="S98" s="316">
        <f t="shared" si="22"/>
        <v>0</v>
      </c>
    </row>
    <row r="99" spans="1:19">
      <c r="A99" s="150"/>
      <c r="B99" s="54"/>
      <c r="C99" s="21">
        <f t="shared" si="23"/>
        <v>1</v>
      </c>
      <c r="D99" s="666"/>
      <c r="E99" s="21">
        <f t="shared" si="24"/>
        <v>1</v>
      </c>
      <c r="F99" s="666"/>
      <c r="G99" s="21">
        <f t="shared" si="25"/>
        <v>1</v>
      </c>
      <c r="H99" s="666"/>
      <c r="I99" s="21">
        <f t="shared" si="26"/>
        <v>1</v>
      </c>
      <c r="J99" s="666"/>
      <c r="K99" s="21">
        <f t="shared" si="27"/>
        <v>1</v>
      </c>
      <c r="L99" s="666"/>
      <c r="M99" s="21">
        <f t="shared" si="28"/>
        <v>1</v>
      </c>
      <c r="N99" s="666"/>
      <c r="O99" s="21">
        <f t="shared" si="29"/>
        <v>1</v>
      </c>
      <c r="P99" s="666"/>
      <c r="Q99" s="21">
        <f t="shared" si="30"/>
        <v>0</v>
      </c>
      <c r="R99" s="662">
        <f t="shared" si="31"/>
        <v>0</v>
      </c>
      <c r="S99" s="316">
        <f t="shared" si="22"/>
        <v>0</v>
      </c>
    </row>
    <row r="100" spans="1:19">
      <c r="A100" s="150"/>
      <c r="B100" s="54"/>
      <c r="C100" s="21">
        <f t="shared" si="23"/>
        <v>1</v>
      </c>
      <c r="D100" s="666"/>
      <c r="E100" s="21">
        <f t="shared" si="24"/>
        <v>1</v>
      </c>
      <c r="F100" s="666"/>
      <c r="G100" s="21">
        <f t="shared" si="25"/>
        <v>1</v>
      </c>
      <c r="H100" s="666"/>
      <c r="I100" s="21">
        <f t="shared" si="26"/>
        <v>1</v>
      </c>
      <c r="J100" s="666"/>
      <c r="K100" s="21">
        <f t="shared" si="27"/>
        <v>1</v>
      </c>
      <c r="L100" s="666"/>
      <c r="M100" s="21">
        <f t="shared" si="28"/>
        <v>1</v>
      </c>
      <c r="N100" s="666"/>
      <c r="O100" s="21">
        <f t="shared" si="29"/>
        <v>1</v>
      </c>
      <c r="P100" s="666"/>
      <c r="Q100" s="21">
        <f t="shared" si="30"/>
        <v>0</v>
      </c>
      <c r="R100" s="662">
        <f t="shared" si="31"/>
        <v>0</v>
      </c>
      <c r="S100" s="316">
        <f t="shared" si="22"/>
        <v>0</v>
      </c>
    </row>
    <row r="101" spans="1:19">
      <c r="A101" s="150"/>
      <c r="B101" s="54"/>
      <c r="C101" s="21">
        <f t="shared" si="23"/>
        <v>1</v>
      </c>
      <c r="D101" s="666"/>
      <c r="E101" s="21">
        <f t="shared" si="24"/>
        <v>1</v>
      </c>
      <c r="F101" s="666"/>
      <c r="G101" s="21">
        <f t="shared" si="25"/>
        <v>1</v>
      </c>
      <c r="H101" s="666"/>
      <c r="I101" s="21">
        <f t="shared" si="26"/>
        <v>1</v>
      </c>
      <c r="J101" s="666"/>
      <c r="K101" s="21">
        <f t="shared" si="27"/>
        <v>1</v>
      </c>
      <c r="L101" s="666"/>
      <c r="M101" s="21">
        <f t="shared" si="28"/>
        <v>1</v>
      </c>
      <c r="N101" s="666"/>
      <c r="O101" s="21">
        <f t="shared" si="29"/>
        <v>1</v>
      </c>
      <c r="P101" s="666"/>
      <c r="Q101" s="21">
        <f t="shared" si="30"/>
        <v>0</v>
      </c>
      <c r="R101" s="662">
        <f t="shared" si="31"/>
        <v>0</v>
      </c>
      <c r="S101" s="316">
        <f t="shared" si="22"/>
        <v>0</v>
      </c>
    </row>
    <row r="102" spans="1:19">
      <c r="A102" s="150"/>
      <c r="B102" s="54"/>
      <c r="C102" s="21">
        <f t="shared" si="23"/>
        <v>1</v>
      </c>
      <c r="D102" s="666"/>
      <c r="E102" s="21">
        <f t="shared" si="24"/>
        <v>1</v>
      </c>
      <c r="F102" s="666"/>
      <c r="G102" s="21">
        <f t="shared" si="25"/>
        <v>1</v>
      </c>
      <c r="H102" s="666"/>
      <c r="I102" s="21">
        <f t="shared" si="26"/>
        <v>1</v>
      </c>
      <c r="J102" s="666"/>
      <c r="K102" s="21">
        <f t="shared" si="27"/>
        <v>1</v>
      </c>
      <c r="L102" s="666"/>
      <c r="M102" s="21">
        <f t="shared" si="28"/>
        <v>1</v>
      </c>
      <c r="N102" s="666"/>
      <c r="O102" s="21">
        <f t="shared" si="29"/>
        <v>1</v>
      </c>
      <c r="P102" s="666"/>
      <c r="Q102" s="21">
        <f t="shared" si="30"/>
        <v>0</v>
      </c>
      <c r="R102" s="662">
        <f t="shared" si="31"/>
        <v>0</v>
      </c>
      <c r="S102" s="316">
        <f t="shared" si="22"/>
        <v>0</v>
      </c>
    </row>
    <row r="103" spans="1:19">
      <c r="A103" s="150"/>
      <c r="B103" s="54"/>
      <c r="C103" s="21">
        <f t="shared" si="23"/>
        <v>1</v>
      </c>
      <c r="D103" s="666"/>
      <c r="E103" s="21">
        <f t="shared" si="24"/>
        <v>1</v>
      </c>
      <c r="F103" s="666"/>
      <c r="G103" s="21">
        <f t="shared" si="25"/>
        <v>1</v>
      </c>
      <c r="H103" s="666"/>
      <c r="I103" s="21">
        <f t="shared" si="26"/>
        <v>1</v>
      </c>
      <c r="J103" s="666"/>
      <c r="K103" s="21">
        <f t="shared" si="27"/>
        <v>1</v>
      </c>
      <c r="L103" s="666"/>
      <c r="M103" s="21">
        <f t="shared" si="28"/>
        <v>1</v>
      </c>
      <c r="N103" s="666"/>
      <c r="O103" s="21">
        <f t="shared" si="29"/>
        <v>1</v>
      </c>
      <c r="P103" s="666"/>
      <c r="Q103" s="21">
        <f t="shared" si="30"/>
        <v>0</v>
      </c>
      <c r="R103" s="662">
        <f t="shared" si="31"/>
        <v>0</v>
      </c>
      <c r="S103" s="316">
        <f t="shared" si="22"/>
        <v>0</v>
      </c>
    </row>
    <row r="104" spans="1:19">
      <c r="A104" s="150"/>
      <c r="B104" s="54"/>
      <c r="C104" s="21">
        <f t="shared" si="23"/>
        <v>1</v>
      </c>
      <c r="D104" s="666"/>
      <c r="E104" s="21">
        <f t="shared" si="24"/>
        <v>1</v>
      </c>
      <c r="F104" s="666"/>
      <c r="G104" s="21">
        <f t="shared" si="25"/>
        <v>1</v>
      </c>
      <c r="H104" s="666"/>
      <c r="I104" s="21">
        <f t="shared" si="26"/>
        <v>1</v>
      </c>
      <c r="J104" s="666"/>
      <c r="K104" s="21">
        <f t="shared" si="27"/>
        <v>1</v>
      </c>
      <c r="L104" s="666"/>
      <c r="M104" s="21">
        <f t="shared" si="28"/>
        <v>1</v>
      </c>
      <c r="N104" s="666"/>
      <c r="O104" s="21">
        <f t="shared" si="29"/>
        <v>1</v>
      </c>
      <c r="P104" s="666"/>
      <c r="Q104" s="21">
        <f t="shared" si="30"/>
        <v>0</v>
      </c>
      <c r="R104" s="662">
        <f t="shared" si="31"/>
        <v>0</v>
      </c>
      <c r="S104" s="316">
        <f t="shared" si="22"/>
        <v>0</v>
      </c>
    </row>
    <row r="105" spans="1:19">
      <c r="A105" s="150"/>
      <c r="B105" s="54"/>
      <c r="C105" s="21">
        <f t="shared" si="23"/>
        <v>1</v>
      </c>
      <c r="D105" s="666"/>
      <c r="E105" s="21">
        <f t="shared" si="24"/>
        <v>1</v>
      </c>
      <c r="F105" s="666"/>
      <c r="G105" s="21">
        <f t="shared" si="25"/>
        <v>1</v>
      </c>
      <c r="H105" s="666"/>
      <c r="I105" s="21">
        <f t="shared" si="26"/>
        <v>1</v>
      </c>
      <c r="J105" s="666"/>
      <c r="K105" s="21">
        <f t="shared" si="27"/>
        <v>1</v>
      </c>
      <c r="L105" s="666"/>
      <c r="M105" s="21">
        <f t="shared" si="28"/>
        <v>1</v>
      </c>
      <c r="N105" s="666"/>
      <c r="O105" s="21">
        <f t="shared" si="29"/>
        <v>1</v>
      </c>
      <c r="P105" s="666"/>
      <c r="Q105" s="21">
        <f t="shared" si="30"/>
        <v>0</v>
      </c>
      <c r="R105" s="662">
        <f t="shared" si="31"/>
        <v>0</v>
      </c>
      <c r="S105" s="316">
        <f t="shared" si="22"/>
        <v>0</v>
      </c>
    </row>
    <row r="106" spans="1:19">
      <c r="A106" s="150"/>
      <c r="B106" s="54"/>
      <c r="C106" s="21">
        <f t="shared" si="23"/>
        <v>1</v>
      </c>
      <c r="D106" s="666"/>
      <c r="E106" s="21">
        <f t="shared" si="24"/>
        <v>1</v>
      </c>
      <c r="F106" s="666"/>
      <c r="G106" s="21">
        <f t="shared" si="25"/>
        <v>1</v>
      </c>
      <c r="H106" s="666"/>
      <c r="I106" s="21">
        <f t="shared" si="26"/>
        <v>1</v>
      </c>
      <c r="J106" s="666"/>
      <c r="K106" s="21">
        <f t="shared" si="27"/>
        <v>1</v>
      </c>
      <c r="L106" s="666"/>
      <c r="M106" s="21">
        <f t="shared" si="28"/>
        <v>1</v>
      </c>
      <c r="N106" s="666"/>
      <c r="O106" s="21">
        <f t="shared" si="29"/>
        <v>1</v>
      </c>
      <c r="P106" s="666"/>
      <c r="Q106" s="21">
        <f t="shared" si="30"/>
        <v>0</v>
      </c>
      <c r="R106" s="662">
        <f t="shared" si="31"/>
        <v>0</v>
      </c>
      <c r="S106" s="316">
        <f t="shared" si="22"/>
        <v>0</v>
      </c>
    </row>
    <row r="107" spans="1:19">
      <c r="A107" s="150"/>
      <c r="B107" s="54"/>
      <c r="C107" s="21">
        <f t="shared" si="23"/>
        <v>1</v>
      </c>
      <c r="D107" s="666"/>
      <c r="E107" s="21">
        <f t="shared" si="24"/>
        <v>1</v>
      </c>
      <c r="F107" s="666"/>
      <c r="G107" s="21">
        <f t="shared" si="25"/>
        <v>1</v>
      </c>
      <c r="H107" s="666"/>
      <c r="I107" s="21">
        <f t="shared" si="26"/>
        <v>1</v>
      </c>
      <c r="J107" s="666"/>
      <c r="K107" s="21">
        <f t="shared" si="27"/>
        <v>1</v>
      </c>
      <c r="L107" s="666"/>
      <c r="M107" s="21">
        <f t="shared" si="28"/>
        <v>1</v>
      </c>
      <c r="N107" s="666"/>
      <c r="O107" s="21">
        <f t="shared" si="29"/>
        <v>1</v>
      </c>
      <c r="P107" s="666"/>
      <c r="Q107" s="21">
        <f t="shared" si="30"/>
        <v>0</v>
      </c>
      <c r="R107" s="662">
        <f t="shared" si="31"/>
        <v>0</v>
      </c>
      <c r="S107" s="316">
        <f t="shared" si="22"/>
        <v>0</v>
      </c>
    </row>
    <row r="108" spans="1:19">
      <c r="A108" s="150"/>
      <c r="B108" s="54"/>
      <c r="C108" s="21">
        <f t="shared" si="23"/>
        <v>1</v>
      </c>
      <c r="D108" s="666"/>
      <c r="E108" s="21">
        <f t="shared" si="24"/>
        <v>1</v>
      </c>
      <c r="F108" s="666"/>
      <c r="G108" s="21">
        <f t="shared" si="25"/>
        <v>1</v>
      </c>
      <c r="H108" s="666"/>
      <c r="I108" s="21">
        <f t="shared" si="26"/>
        <v>1</v>
      </c>
      <c r="J108" s="666"/>
      <c r="K108" s="21">
        <f t="shared" si="27"/>
        <v>1</v>
      </c>
      <c r="L108" s="666"/>
      <c r="M108" s="21">
        <f t="shared" si="28"/>
        <v>1</v>
      </c>
      <c r="N108" s="666"/>
      <c r="O108" s="21">
        <f t="shared" si="29"/>
        <v>1</v>
      </c>
      <c r="P108" s="666"/>
      <c r="Q108" s="21">
        <f t="shared" si="30"/>
        <v>0</v>
      </c>
      <c r="R108" s="662">
        <f t="shared" si="31"/>
        <v>0</v>
      </c>
      <c r="S108" s="316">
        <f t="shared" si="22"/>
        <v>0</v>
      </c>
    </row>
    <row r="109" spans="1:19">
      <c r="A109" s="150"/>
      <c r="B109" s="54"/>
      <c r="C109" s="21">
        <f t="shared" si="23"/>
        <v>1</v>
      </c>
      <c r="D109" s="666"/>
      <c r="E109" s="21">
        <f t="shared" si="24"/>
        <v>1</v>
      </c>
      <c r="F109" s="666"/>
      <c r="G109" s="21">
        <f t="shared" si="25"/>
        <v>1</v>
      </c>
      <c r="H109" s="666"/>
      <c r="I109" s="21">
        <f t="shared" si="26"/>
        <v>1</v>
      </c>
      <c r="J109" s="666"/>
      <c r="K109" s="21">
        <f t="shared" si="27"/>
        <v>1</v>
      </c>
      <c r="L109" s="666"/>
      <c r="M109" s="21">
        <f t="shared" si="28"/>
        <v>1</v>
      </c>
      <c r="N109" s="666"/>
      <c r="O109" s="21">
        <f t="shared" si="29"/>
        <v>1</v>
      </c>
      <c r="P109" s="666"/>
      <c r="Q109" s="21">
        <f t="shared" si="30"/>
        <v>0</v>
      </c>
      <c r="R109" s="662">
        <f t="shared" si="31"/>
        <v>0</v>
      </c>
      <c r="S109" s="316">
        <f t="shared" si="22"/>
        <v>0</v>
      </c>
    </row>
    <row r="110" spans="1:19">
      <c r="A110" s="150"/>
      <c r="B110" s="54"/>
      <c r="C110" s="21">
        <f t="shared" si="23"/>
        <v>1</v>
      </c>
      <c r="D110" s="666"/>
      <c r="E110" s="21">
        <f t="shared" si="24"/>
        <v>1</v>
      </c>
      <c r="F110" s="666"/>
      <c r="G110" s="21">
        <f t="shared" si="25"/>
        <v>1</v>
      </c>
      <c r="H110" s="666"/>
      <c r="I110" s="21">
        <f t="shared" si="26"/>
        <v>1</v>
      </c>
      <c r="J110" s="666"/>
      <c r="K110" s="21">
        <f t="shared" si="27"/>
        <v>1</v>
      </c>
      <c r="L110" s="666"/>
      <c r="M110" s="21">
        <f t="shared" si="28"/>
        <v>1</v>
      </c>
      <c r="N110" s="666"/>
      <c r="O110" s="21">
        <f t="shared" si="29"/>
        <v>1</v>
      </c>
      <c r="P110" s="666"/>
      <c r="Q110" s="21">
        <f t="shared" si="30"/>
        <v>0</v>
      </c>
      <c r="R110" s="662">
        <f t="shared" si="31"/>
        <v>0</v>
      </c>
      <c r="S110" s="316">
        <f t="shared" si="22"/>
        <v>0</v>
      </c>
    </row>
    <row r="111" spans="1:19">
      <c r="A111" s="150"/>
      <c r="B111" s="54"/>
      <c r="C111" s="21">
        <f t="shared" si="23"/>
        <v>1</v>
      </c>
      <c r="D111" s="666"/>
      <c r="E111" s="21">
        <f t="shared" si="24"/>
        <v>1</v>
      </c>
      <c r="F111" s="666"/>
      <c r="G111" s="21">
        <f t="shared" si="25"/>
        <v>1</v>
      </c>
      <c r="H111" s="666"/>
      <c r="I111" s="21">
        <f t="shared" si="26"/>
        <v>1</v>
      </c>
      <c r="J111" s="666"/>
      <c r="K111" s="21">
        <f t="shared" si="27"/>
        <v>1</v>
      </c>
      <c r="L111" s="666"/>
      <c r="M111" s="21">
        <f t="shared" si="28"/>
        <v>1</v>
      </c>
      <c r="N111" s="666"/>
      <c r="O111" s="21">
        <f t="shared" si="29"/>
        <v>1</v>
      </c>
      <c r="P111" s="666"/>
      <c r="Q111" s="21">
        <f t="shared" si="30"/>
        <v>0</v>
      </c>
      <c r="R111" s="662">
        <f t="shared" si="31"/>
        <v>0</v>
      </c>
      <c r="S111" s="316">
        <f t="shared" si="22"/>
        <v>0</v>
      </c>
    </row>
    <row r="112" spans="1:19">
      <c r="A112" s="150"/>
      <c r="B112" s="54"/>
      <c r="C112" s="21">
        <f t="shared" si="23"/>
        <v>1</v>
      </c>
      <c r="D112" s="666"/>
      <c r="E112" s="21">
        <f t="shared" si="24"/>
        <v>1</v>
      </c>
      <c r="F112" s="666"/>
      <c r="G112" s="21">
        <f t="shared" si="25"/>
        <v>1</v>
      </c>
      <c r="H112" s="666"/>
      <c r="I112" s="21">
        <f t="shared" si="26"/>
        <v>1</v>
      </c>
      <c r="J112" s="666"/>
      <c r="K112" s="21">
        <f t="shared" si="27"/>
        <v>1</v>
      </c>
      <c r="L112" s="666"/>
      <c r="M112" s="21">
        <f t="shared" si="28"/>
        <v>1</v>
      </c>
      <c r="N112" s="666"/>
      <c r="O112" s="21">
        <f t="shared" si="29"/>
        <v>1</v>
      </c>
      <c r="P112" s="666"/>
      <c r="Q112" s="21">
        <f t="shared" si="30"/>
        <v>0</v>
      </c>
      <c r="R112" s="662">
        <f t="shared" si="31"/>
        <v>0</v>
      </c>
      <c r="S112" s="316">
        <f t="shared" si="22"/>
        <v>0</v>
      </c>
    </row>
    <row r="113" spans="1:19">
      <c r="A113" s="150"/>
      <c r="B113" s="54"/>
      <c r="C113" s="21">
        <f t="shared" si="23"/>
        <v>1</v>
      </c>
      <c r="D113" s="666"/>
      <c r="E113" s="21">
        <f t="shared" si="24"/>
        <v>1</v>
      </c>
      <c r="F113" s="666"/>
      <c r="G113" s="21">
        <f t="shared" si="25"/>
        <v>1</v>
      </c>
      <c r="H113" s="666"/>
      <c r="I113" s="21">
        <f t="shared" si="26"/>
        <v>1</v>
      </c>
      <c r="J113" s="666"/>
      <c r="K113" s="21">
        <f t="shared" si="27"/>
        <v>1</v>
      </c>
      <c r="L113" s="666"/>
      <c r="M113" s="21">
        <f t="shared" si="28"/>
        <v>1</v>
      </c>
      <c r="N113" s="666"/>
      <c r="O113" s="21">
        <f t="shared" si="29"/>
        <v>1</v>
      </c>
      <c r="P113" s="666"/>
      <c r="Q113" s="21">
        <f t="shared" si="30"/>
        <v>0</v>
      </c>
      <c r="R113" s="662">
        <f t="shared" si="31"/>
        <v>0</v>
      </c>
      <c r="S113" s="316">
        <f t="shared" si="22"/>
        <v>0</v>
      </c>
    </row>
    <row r="114" spans="1:19">
      <c r="A114" s="150"/>
      <c r="B114" s="54"/>
      <c r="C114" s="21">
        <f t="shared" si="23"/>
        <v>1</v>
      </c>
      <c r="D114" s="666"/>
      <c r="E114" s="21">
        <f t="shared" si="24"/>
        <v>1</v>
      </c>
      <c r="F114" s="666"/>
      <c r="G114" s="21">
        <f t="shared" si="25"/>
        <v>1</v>
      </c>
      <c r="H114" s="666"/>
      <c r="I114" s="21">
        <f t="shared" si="26"/>
        <v>1</v>
      </c>
      <c r="J114" s="666"/>
      <c r="K114" s="21">
        <f t="shared" si="27"/>
        <v>1</v>
      </c>
      <c r="L114" s="666"/>
      <c r="M114" s="21">
        <f t="shared" si="28"/>
        <v>1</v>
      </c>
      <c r="N114" s="666"/>
      <c r="O114" s="21">
        <f t="shared" si="29"/>
        <v>1</v>
      </c>
      <c r="P114" s="666"/>
      <c r="Q114" s="21">
        <f t="shared" si="30"/>
        <v>0</v>
      </c>
      <c r="R114" s="662">
        <f t="shared" si="31"/>
        <v>0</v>
      </c>
      <c r="S114" s="316">
        <f t="shared" si="22"/>
        <v>0</v>
      </c>
    </row>
    <row r="115" spans="1:19">
      <c r="A115" s="150"/>
      <c r="B115" s="54"/>
      <c r="C115" s="21">
        <f t="shared" si="23"/>
        <v>1</v>
      </c>
      <c r="D115" s="666"/>
      <c r="E115" s="21">
        <f t="shared" si="24"/>
        <v>1</v>
      </c>
      <c r="F115" s="666"/>
      <c r="G115" s="21">
        <f t="shared" si="25"/>
        <v>1</v>
      </c>
      <c r="H115" s="666"/>
      <c r="I115" s="21">
        <f t="shared" si="26"/>
        <v>1</v>
      </c>
      <c r="J115" s="666"/>
      <c r="K115" s="21">
        <f t="shared" si="27"/>
        <v>1</v>
      </c>
      <c r="L115" s="666"/>
      <c r="M115" s="21">
        <f t="shared" si="28"/>
        <v>1</v>
      </c>
      <c r="N115" s="666"/>
      <c r="O115" s="21">
        <f t="shared" si="29"/>
        <v>1</v>
      </c>
      <c r="P115" s="666"/>
      <c r="Q115" s="21">
        <f t="shared" si="30"/>
        <v>0</v>
      </c>
      <c r="R115" s="662">
        <f t="shared" si="31"/>
        <v>0</v>
      </c>
      <c r="S115" s="316">
        <f t="shared" si="22"/>
        <v>0</v>
      </c>
    </row>
    <row r="116" spans="1:19">
      <c r="A116" s="150"/>
      <c r="B116" s="54"/>
      <c r="C116" s="21">
        <f t="shared" si="23"/>
        <v>1</v>
      </c>
      <c r="D116" s="666"/>
      <c r="E116" s="21">
        <f t="shared" si="24"/>
        <v>1</v>
      </c>
      <c r="F116" s="666"/>
      <c r="G116" s="21">
        <f t="shared" si="25"/>
        <v>1</v>
      </c>
      <c r="H116" s="666"/>
      <c r="I116" s="21">
        <f t="shared" si="26"/>
        <v>1</v>
      </c>
      <c r="J116" s="666"/>
      <c r="K116" s="21">
        <f t="shared" si="27"/>
        <v>1</v>
      </c>
      <c r="L116" s="666"/>
      <c r="M116" s="21">
        <f t="shared" si="28"/>
        <v>1</v>
      </c>
      <c r="N116" s="666"/>
      <c r="O116" s="21">
        <f t="shared" si="29"/>
        <v>1</v>
      </c>
      <c r="P116" s="666"/>
      <c r="Q116" s="21">
        <f t="shared" si="30"/>
        <v>0</v>
      </c>
      <c r="R116" s="662">
        <f t="shared" si="31"/>
        <v>0</v>
      </c>
      <c r="S116" s="316">
        <f t="shared" si="22"/>
        <v>0</v>
      </c>
    </row>
    <row r="117" spans="1:19">
      <c r="A117" s="150"/>
      <c r="B117" s="54"/>
      <c r="C117" s="21">
        <f t="shared" si="23"/>
        <v>1</v>
      </c>
      <c r="D117" s="666"/>
      <c r="E117" s="21">
        <f t="shared" si="24"/>
        <v>1</v>
      </c>
      <c r="F117" s="666"/>
      <c r="G117" s="21">
        <f t="shared" si="25"/>
        <v>1</v>
      </c>
      <c r="H117" s="666"/>
      <c r="I117" s="21">
        <f t="shared" si="26"/>
        <v>1</v>
      </c>
      <c r="J117" s="666"/>
      <c r="K117" s="21">
        <f t="shared" si="27"/>
        <v>1</v>
      </c>
      <c r="L117" s="666"/>
      <c r="M117" s="21">
        <f t="shared" si="28"/>
        <v>1</v>
      </c>
      <c r="N117" s="666"/>
      <c r="O117" s="21">
        <f t="shared" si="29"/>
        <v>1</v>
      </c>
      <c r="P117" s="666"/>
      <c r="Q117" s="21">
        <f t="shared" si="30"/>
        <v>0</v>
      </c>
      <c r="R117" s="662">
        <f t="shared" si="31"/>
        <v>0</v>
      </c>
      <c r="S117" s="316">
        <f t="shared" si="22"/>
        <v>0</v>
      </c>
    </row>
    <row r="118" spans="1:19">
      <c r="A118" s="150"/>
      <c r="B118" s="54"/>
      <c r="C118" s="21">
        <f t="shared" si="23"/>
        <v>1</v>
      </c>
      <c r="D118" s="666"/>
      <c r="E118" s="21">
        <f t="shared" si="24"/>
        <v>1</v>
      </c>
      <c r="F118" s="666"/>
      <c r="G118" s="21">
        <f t="shared" si="25"/>
        <v>1</v>
      </c>
      <c r="H118" s="666"/>
      <c r="I118" s="21">
        <f t="shared" si="26"/>
        <v>1</v>
      </c>
      <c r="J118" s="666"/>
      <c r="K118" s="21">
        <f t="shared" si="27"/>
        <v>1</v>
      </c>
      <c r="L118" s="666"/>
      <c r="M118" s="21">
        <f t="shared" si="28"/>
        <v>1</v>
      </c>
      <c r="N118" s="666"/>
      <c r="O118" s="21">
        <f t="shared" si="29"/>
        <v>1</v>
      </c>
      <c r="P118" s="666"/>
      <c r="Q118" s="21">
        <f t="shared" si="30"/>
        <v>0</v>
      </c>
      <c r="R118" s="662">
        <f t="shared" si="31"/>
        <v>0</v>
      </c>
      <c r="S118" s="316">
        <f t="shared" si="22"/>
        <v>0</v>
      </c>
    </row>
    <row r="119" spans="1:19">
      <c r="A119" s="150"/>
      <c r="B119" s="54"/>
      <c r="C119" s="21">
        <f t="shared" si="23"/>
        <v>1</v>
      </c>
      <c r="D119" s="666"/>
      <c r="E119" s="21">
        <f t="shared" si="24"/>
        <v>1</v>
      </c>
      <c r="F119" s="666"/>
      <c r="G119" s="21">
        <f t="shared" si="25"/>
        <v>1</v>
      </c>
      <c r="H119" s="666"/>
      <c r="I119" s="21">
        <f t="shared" si="26"/>
        <v>1</v>
      </c>
      <c r="J119" s="666"/>
      <c r="K119" s="21">
        <f t="shared" si="27"/>
        <v>1</v>
      </c>
      <c r="L119" s="666"/>
      <c r="M119" s="21">
        <f t="shared" si="28"/>
        <v>1</v>
      </c>
      <c r="N119" s="666"/>
      <c r="O119" s="21">
        <f t="shared" si="29"/>
        <v>1</v>
      </c>
      <c r="P119" s="666"/>
      <c r="Q119" s="21">
        <f t="shared" si="30"/>
        <v>0</v>
      </c>
      <c r="R119" s="662">
        <f t="shared" si="31"/>
        <v>0</v>
      </c>
      <c r="S119" s="316">
        <f t="shared" si="22"/>
        <v>0</v>
      </c>
    </row>
    <row r="120" spans="1:19">
      <c r="A120" s="150"/>
      <c r="B120" s="54"/>
      <c r="C120" s="21">
        <f t="shared" si="23"/>
        <v>1</v>
      </c>
      <c r="D120" s="666"/>
      <c r="E120" s="21">
        <f t="shared" si="24"/>
        <v>1</v>
      </c>
      <c r="F120" s="666"/>
      <c r="G120" s="21">
        <f t="shared" si="25"/>
        <v>1</v>
      </c>
      <c r="H120" s="666"/>
      <c r="I120" s="21">
        <f t="shared" si="26"/>
        <v>1</v>
      </c>
      <c r="J120" s="666"/>
      <c r="K120" s="21">
        <f t="shared" si="27"/>
        <v>1</v>
      </c>
      <c r="L120" s="666"/>
      <c r="M120" s="21">
        <f t="shared" si="28"/>
        <v>1</v>
      </c>
      <c r="N120" s="666"/>
      <c r="O120" s="21">
        <f t="shared" si="29"/>
        <v>1</v>
      </c>
      <c r="P120" s="666"/>
      <c r="Q120" s="21">
        <f t="shared" si="30"/>
        <v>0</v>
      </c>
      <c r="R120" s="662">
        <f t="shared" si="31"/>
        <v>0</v>
      </c>
      <c r="S120" s="316">
        <f t="shared" si="22"/>
        <v>0</v>
      </c>
    </row>
    <row r="121" spans="1:19">
      <c r="A121" s="150"/>
      <c r="B121" s="54"/>
      <c r="C121" s="21">
        <f t="shared" si="23"/>
        <v>1</v>
      </c>
      <c r="D121" s="666"/>
      <c r="E121" s="21">
        <f t="shared" si="24"/>
        <v>1</v>
      </c>
      <c r="F121" s="666"/>
      <c r="G121" s="21">
        <f t="shared" si="25"/>
        <v>1</v>
      </c>
      <c r="H121" s="666"/>
      <c r="I121" s="21">
        <f t="shared" si="26"/>
        <v>1</v>
      </c>
      <c r="J121" s="666"/>
      <c r="K121" s="21">
        <f t="shared" si="27"/>
        <v>1</v>
      </c>
      <c r="L121" s="666"/>
      <c r="M121" s="21">
        <f t="shared" si="28"/>
        <v>1</v>
      </c>
      <c r="N121" s="666"/>
      <c r="O121" s="21">
        <f t="shared" si="29"/>
        <v>1</v>
      </c>
      <c r="P121" s="666"/>
      <c r="Q121" s="21">
        <f t="shared" si="30"/>
        <v>0</v>
      </c>
      <c r="R121" s="662">
        <f t="shared" si="31"/>
        <v>0</v>
      </c>
      <c r="S121" s="316">
        <f t="shared" si="22"/>
        <v>0</v>
      </c>
    </row>
    <row r="122" spans="1:19">
      <c r="A122" s="150"/>
      <c r="B122" s="54"/>
      <c r="C122" s="21">
        <f t="shared" si="23"/>
        <v>1</v>
      </c>
      <c r="D122" s="666"/>
      <c r="E122" s="21">
        <f t="shared" si="24"/>
        <v>1</v>
      </c>
      <c r="F122" s="666"/>
      <c r="G122" s="21">
        <f t="shared" si="25"/>
        <v>1</v>
      </c>
      <c r="H122" s="666"/>
      <c r="I122" s="21">
        <f t="shared" si="26"/>
        <v>1</v>
      </c>
      <c r="J122" s="666"/>
      <c r="K122" s="21">
        <f t="shared" si="27"/>
        <v>1</v>
      </c>
      <c r="L122" s="666"/>
      <c r="M122" s="21">
        <f t="shared" si="28"/>
        <v>1</v>
      </c>
      <c r="N122" s="666"/>
      <c r="O122" s="21">
        <f t="shared" si="29"/>
        <v>1</v>
      </c>
      <c r="P122" s="666"/>
      <c r="Q122" s="21">
        <f t="shared" si="30"/>
        <v>0</v>
      </c>
      <c r="R122" s="662">
        <f t="shared" si="31"/>
        <v>0</v>
      </c>
      <c r="S122" s="316">
        <f t="shared" si="22"/>
        <v>0</v>
      </c>
    </row>
    <row r="123" spans="1:19">
      <c r="A123" s="150"/>
      <c r="B123" s="54"/>
      <c r="C123" s="21">
        <f t="shared" si="23"/>
        <v>1</v>
      </c>
      <c r="D123" s="666"/>
      <c r="E123" s="21">
        <f t="shared" si="24"/>
        <v>1</v>
      </c>
      <c r="F123" s="666"/>
      <c r="G123" s="21">
        <f t="shared" si="25"/>
        <v>1</v>
      </c>
      <c r="H123" s="666"/>
      <c r="I123" s="21">
        <f t="shared" si="26"/>
        <v>1</v>
      </c>
      <c r="J123" s="666"/>
      <c r="K123" s="21">
        <f t="shared" si="27"/>
        <v>1</v>
      </c>
      <c r="L123" s="666"/>
      <c r="M123" s="21">
        <f t="shared" si="28"/>
        <v>1</v>
      </c>
      <c r="N123" s="666"/>
      <c r="O123" s="21">
        <f t="shared" si="29"/>
        <v>1</v>
      </c>
      <c r="P123" s="666"/>
      <c r="Q123" s="21">
        <f t="shared" si="30"/>
        <v>0</v>
      </c>
      <c r="R123" s="662">
        <f t="shared" si="31"/>
        <v>0</v>
      </c>
      <c r="S123" s="316">
        <f t="shared" ref="S123:S186" si="32">ROUND(R123*B123/10000,0)</f>
        <v>0</v>
      </c>
    </row>
    <row r="124" spans="1:19">
      <c r="A124" s="150"/>
      <c r="B124" s="54"/>
      <c r="C124" s="21">
        <f t="shared" si="23"/>
        <v>1</v>
      </c>
      <c r="D124" s="666"/>
      <c r="E124" s="21">
        <f t="shared" si="24"/>
        <v>1</v>
      </c>
      <c r="F124" s="666"/>
      <c r="G124" s="21">
        <f t="shared" si="25"/>
        <v>1</v>
      </c>
      <c r="H124" s="666"/>
      <c r="I124" s="21">
        <f t="shared" si="26"/>
        <v>1</v>
      </c>
      <c r="J124" s="666"/>
      <c r="K124" s="21">
        <f t="shared" si="27"/>
        <v>1</v>
      </c>
      <c r="L124" s="666"/>
      <c r="M124" s="21">
        <f t="shared" si="28"/>
        <v>1</v>
      </c>
      <c r="N124" s="666"/>
      <c r="O124" s="21">
        <f t="shared" si="29"/>
        <v>1</v>
      </c>
      <c r="P124" s="666"/>
      <c r="Q124" s="21">
        <f t="shared" si="30"/>
        <v>0</v>
      </c>
      <c r="R124" s="662">
        <f t="shared" si="31"/>
        <v>0</v>
      </c>
      <c r="S124" s="316">
        <f t="shared" si="32"/>
        <v>0</v>
      </c>
    </row>
    <row r="125" spans="1:19">
      <c r="A125" s="150"/>
      <c r="B125" s="54"/>
      <c r="C125" s="21">
        <f t="shared" si="23"/>
        <v>1</v>
      </c>
      <c r="D125" s="666"/>
      <c r="E125" s="21">
        <f t="shared" si="24"/>
        <v>1</v>
      </c>
      <c r="F125" s="666"/>
      <c r="G125" s="21">
        <f t="shared" si="25"/>
        <v>1</v>
      </c>
      <c r="H125" s="666"/>
      <c r="I125" s="21">
        <f t="shared" si="26"/>
        <v>1</v>
      </c>
      <c r="J125" s="666"/>
      <c r="K125" s="21">
        <f t="shared" si="27"/>
        <v>1</v>
      </c>
      <c r="L125" s="666"/>
      <c r="M125" s="21">
        <f t="shared" si="28"/>
        <v>1</v>
      </c>
      <c r="N125" s="666"/>
      <c r="O125" s="21">
        <f t="shared" si="29"/>
        <v>1</v>
      </c>
      <c r="P125" s="666"/>
      <c r="Q125" s="21">
        <f t="shared" si="30"/>
        <v>0</v>
      </c>
      <c r="R125" s="662">
        <f t="shared" si="31"/>
        <v>0</v>
      </c>
      <c r="S125" s="316">
        <f t="shared" si="32"/>
        <v>0</v>
      </c>
    </row>
    <row r="126" spans="1:19">
      <c r="A126" s="150"/>
      <c r="B126" s="54"/>
      <c r="C126" s="21">
        <f t="shared" si="23"/>
        <v>1</v>
      </c>
      <c r="D126" s="666"/>
      <c r="E126" s="21">
        <f t="shared" si="24"/>
        <v>1</v>
      </c>
      <c r="F126" s="666"/>
      <c r="G126" s="21">
        <f t="shared" si="25"/>
        <v>1</v>
      </c>
      <c r="H126" s="666"/>
      <c r="I126" s="21">
        <f t="shared" si="26"/>
        <v>1</v>
      </c>
      <c r="J126" s="666"/>
      <c r="K126" s="21">
        <f t="shared" si="27"/>
        <v>1</v>
      </c>
      <c r="L126" s="666"/>
      <c r="M126" s="21">
        <f t="shared" si="28"/>
        <v>1</v>
      </c>
      <c r="N126" s="666"/>
      <c r="O126" s="21">
        <f t="shared" si="29"/>
        <v>1</v>
      </c>
      <c r="P126" s="666"/>
      <c r="Q126" s="21">
        <f t="shared" si="30"/>
        <v>0</v>
      </c>
      <c r="R126" s="662">
        <f t="shared" si="31"/>
        <v>0</v>
      </c>
      <c r="S126" s="316">
        <f t="shared" si="32"/>
        <v>0</v>
      </c>
    </row>
    <row r="127" spans="1:19">
      <c r="A127" s="150"/>
      <c r="B127" s="54"/>
      <c r="C127" s="21">
        <f t="shared" si="23"/>
        <v>1</v>
      </c>
      <c r="D127" s="666"/>
      <c r="E127" s="21">
        <f t="shared" si="24"/>
        <v>1</v>
      </c>
      <c r="F127" s="666"/>
      <c r="G127" s="21">
        <f t="shared" si="25"/>
        <v>1</v>
      </c>
      <c r="H127" s="666"/>
      <c r="I127" s="21">
        <f t="shared" si="26"/>
        <v>1</v>
      </c>
      <c r="J127" s="666"/>
      <c r="K127" s="21">
        <f t="shared" si="27"/>
        <v>1</v>
      </c>
      <c r="L127" s="666"/>
      <c r="M127" s="21">
        <f t="shared" si="28"/>
        <v>1</v>
      </c>
      <c r="N127" s="666"/>
      <c r="O127" s="21">
        <f t="shared" si="29"/>
        <v>1</v>
      </c>
      <c r="P127" s="666"/>
      <c r="Q127" s="21">
        <f t="shared" si="30"/>
        <v>0</v>
      </c>
      <c r="R127" s="662">
        <f t="shared" si="31"/>
        <v>0</v>
      </c>
      <c r="S127" s="316">
        <f t="shared" si="32"/>
        <v>0</v>
      </c>
    </row>
    <row r="128" spans="1:19">
      <c r="A128" s="150"/>
      <c r="B128" s="54"/>
      <c r="C128" s="21">
        <f t="shared" si="23"/>
        <v>1</v>
      </c>
      <c r="D128" s="666"/>
      <c r="E128" s="21">
        <f t="shared" si="24"/>
        <v>1</v>
      </c>
      <c r="F128" s="666"/>
      <c r="G128" s="21">
        <f t="shared" si="25"/>
        <v>1</v>
      </c>
      <c r="H128" s="666"/>
      <c r="I128" s="21">
        <f t="shared" si="26"/>
        <v>1</v>
      </c>
      <c r="J128" s="666"/>
      <c r="K128" s="21">
        <f t="shared" si="27"/>
        <v>1</v>
      </c>
      <c r="L128" s="666"/>
      <c r="M128" s="21">
        <f t="shared" si="28"/>
        <v>1</v>
      </c>
      <c r="N128" s="666"/>
      <c r="O128" s="21">
        <f t="shared" si="29"/>
        <v>1</v>
      </c>
      <c r="P128" s="666"/>
      <c r="Q128" s="21">
        <f t="shared" si="30"/>
        <v>0</v>
      </c>
      <c r="R128" s="662">
        <f t="shared" si="31"/>
        <v>0</v>
      </c>
      <c r="S128" s="316">
        <f t="shared" si="32"/>
        <v>0</v>
      </c>
    </row>
    <row r="129" spans="1:19">
      <c r="A129" s="150"/>
      <c r="B129" s="54"/>
      <c r="C129" s="21">
        <f t="shared" si="23"/>
        <v>1</v>
      </c>
      <c r="D129" s="666"/>
      <c r="E129" s="21">
        <f t="shared" si="24"/>
        <v>1</v>
      </c>
      <c r="F129" s="666"/>
      <c r="G129" s="21">
        <f t="shared" si="25"/>
        <v>1</v>
      </c>
      <c r="H129" s="666"/>
      <c r="I129" s="21">
        <f t="shared" si="26"/>
        <v>1</v>
      </c>
      <c r="J129" s="666"/>
      <c r="K129" s="21">
        <f t="shared" si="27"/>
        <v>1</v>
      </c>
      <c r="L129" s="666"/>
      <c r="M129" s="21">
        <f t="shared" si="28"/>
        <v>1</v>
      </c>
      <c r="N129" s="666"/>
      <c r="O129" s="21">
        <f t="shared" si="29"/>
        <v>1</v>
      </c>
      <c r="P129" s="666"/>
      <c r="Q129" s="21">
        <f t="shared" si="30"/>
        <v>0</v>
      </c>
      <c r="R129" s="662">
        <f t="shared" si="31"/>
        <v>0</v>
      </c>
      <c r="S129" s="316">
        <f t="shared" si="32"/>
        <v>0</v>
      </c>
    </row>
    <row r="130" spans="1:19">
      <c r="A130" s="150"/>
      <c r="B130" s="54"/>
      <c r="C130" s="21">
        <f t="shared" si="23"/>
        <v>1</v>
      </c>
      <c r="D130" s="666"/>
      <c r="E130" s="21">
        <f t="shared" si="24"/>
        <v>1</v>
      </c>
      <c r="F130" s="666"/>
      <c r="G130" s="21">
        <f t="shared" si="25"/>
        <v>1</v>
      </c>
      <c r="H130" s="666"/>
      <c r="I130" s="21">
        <f t="shared" si="26"/>
        <v>1</v>
      </c>
      <c r="J130" s="666"/>
      <c r="K130" s="21">
        <f t="shared" si="27"/>
        <v>1</v>
      </c>
      <c r="L130" s="666"/>
      <c r="M130" s="21">
        <f t="shared" si="28"/>
        <v>1</v>
      </c>
      <c r="N130" s="666"/>
      <c r="O130" s="21">
        <f t="shared" si="29"/>
        <v>1</v>
      </c>
      <c r="P130" s="666"/>
      <c r="Q130" s="21">
        <f t="shared" si="30"/>
        <v>0</v>
      </c>
      <c r="R130" s="662">
        <f t="shared" si="31"/>
        <v>0</v>
      </c>
      <c r="S130" s="316">
        <f t="shared" si="32"/>
        <v>0</v>
      </c>
    </row>
    <row r="131" spans="1:19">
      <c r="A131" s="150"/>
      <c r="B131" s="54"/>
      <c r="C131" s="21">
        <f t="shared" si="23"/>
        <v>1</v>
      </c>
      <c r="D131" s="666"/>
      <c r="E131" s="21">
        <f t="shared" si="24"/>
        <v>1</v>
      </c>
      <c r="F131" s="666"/>
      <c r="G131" s="21">
        <f t="shared" si="25"/>
        <v>1</v>
      </c>
      <c r="H131" s="666"/>
      <c r="I131" s="21">
        <f t="shared" si="26"/>
        <v>1</v>
      </c>
      <c r="J131" s="666"/>
      <c r="K131" s="21">
        <f t="shared" si="27"/>
        <v>1</v>
      </c>
      <c r="L131" s="666"/>
      <c r="M131" s="21">
        <f t="shared" si="28"/>
        <v>1</v>
      </c>
      <c r="N131" s="666"/>
      <c r="O131" s="21">
        <f t="shared" si="29"/>
        <v>1</v>
      </c>
      <c r="P131" s="666"/>
      <c r="Q131" s="21">
        <f t="shared" si="30"/>
        <v>0</v>
      </c>
      <c r="R131" s="662">
        <f t="shared" si="31"/>
        <v>0</v>
      </c>
      <c r="S131" s="316">
        <f t="shared" si="32"/>
        <v>0</v>
      </c>
    </row>
    <row r="132" spans="1:19">
      <c r="A132" s="150"/>
      <c r="B132" s="54"/>
      <c r="C132" s="21">
        <f t="shared" si="23"/>
        <v>1</v>
      </c>
      <c r="D132" s="666"/>
      <c r="E132" s="21">
        <f t="shared" si="24"/>
        <v>1</v>
      </c>
      <c r="F132" s="666"/>
      <c r="G132" s="21">
        <f t="shared" si="25"/>
        <v>1</v>
      </c>
      <c r="H132" s="666"/>
      <c r="I132" s="21">
        <f t="shared" si="26"/>
        <v>1</v>
      </c>
      <c r="J132" s="666"/>
      <c r="K132" s="21">
        <f t="shared" si="27"/>
        <v>1</v>
      </c>
      <c r="L132" s="666"/>
      <c r="M132" s="21">
        <f t="shared" si="28"/>
        <v>1</v>
      </c>
      <c r="N132" s="666"/>
      <c r="O132" s="21">
        <f t="shared" si="29"/>
        <v>1</v>
      </c>
      <c r="P132" s="666"/>
      <c r="Q132" s="21">
        <f t="shared" si="30"/>
        <v>0</v>
      </c>
      <c r="R132" s="662">
        <f t="shared" si="31"/>
        <v>0</v>
      </c>
      <c r="S132" s="316">
        <f t="shared" si="32"/>
        <v>0</v>
      </c>
    </row>
    <row r="133" spans="1:19">
      <c r="A133" s="150"/>
      <c r="B133" s="54"/>
      <c r="C133" s="21">
        <f t="shared" si="23"/>
        <v>1</v>
      </c>
      <c r="D133" s="666"/>
      <c r="E133" s="21">
        <f t="shared" si="24"/>
        <v>1</v>
      </c>
      <c r="F133" s="666"/>
      <c r="G133" s="21">
        <f t="shared" si="25"/>
        <v>1</v>
      </c>
      <c r="H133" s="666"/>
      <c r="I133" s="21">
        <f t="shared" si="26"/>
        <v>1</v>
      </c>
      <c r="J133" s="666"/>
      <c r="K133" s="21">
        <f t="shared" si="27"/>
        <v>1</v>
      </c>
      <c r="L133" s="666"/>
      <c r="M133" s="21">
        <f t="shared" si="28"/>
        <v>1</v>
      </c>
      <c r="N133" s="666"/>
      <c r="O133" s="21">
        <f t="shared" si="29"/>
        <v>1</v>
      </c>
      <c r="P133" s="666"/>
      <c r="Q133" s="21">
        <f t="shared" si="30"/>
        <v>0</v>
      </c>
      <c r="R133" s="662">
        <f t="shared" si="31"/>
        <v>0</v>
      </c>
      <c r="S133" s="316">
        <f t="shared" si="32"/>
        <v>0</v>
      </c>
    </row>
    <row r="134" spans="1:19">
      <c r="A134" s="150"/>
      <c r="B134" s="54"/>
      <c r="C134" s="21">
        <f t="shared" si="23"/>
        <v>1</v>
      </c>
      <c r="D134" s="666"/>
      <c r="E134" s="21">
        <f t="shared" si="24"/>
        <v>1</v>
      </c>
      <c r="F134" s="666"/>
      <c r="G134" s="21">
        <f t="shared" si="25"/>
        <v>1</v>
      </c>
      <c r="H134" s="666"/>
      <c r="I134" s="21">
        <f t="shared" si="26"/>
        <v>1</v>
      </c>
      <c r="J134" s="666"/>
      <c r="K134" s="21">
        <f t="shared" si="27"/>
        <v>1</v>
      </c>
      <c r="L134" s="666"/>
      <c r="M134" s="21">
        <f t="shared" si="28"/>
        <v>1</v>
      </c>
      <c r="N134" s="666"/>
      <c r="O134" s="21">
        <f t="shared" si="29"/>
        <v>1</v>
      </c>
      <c r="P134" s="666"/>
      <c r="Q134" s="21">
        <f t="shared" si="30"/>
        <v>0</v>
      </c>
      <c r="R134" s="662">
        <f t="shared" si="31"/>
        <v>0</v>
      </c>
      <c r="S134" s="316">
        <f t="shared" si="32"/>
        <v>0</v>
      </c>
    </row>
    <row r="135" spans="1:19">
      <c r="A135" s="150"/>
      <c r="B135" s="54"/>
      <c r="C135" s="21">
        <f t="shared" si="23"/>
        <v>1</v>
      </c>
      <c r="D135" s="666"/>
      <c r="E135" s="21">
        <f t="shared" si="24"/>
        <v>1</v>
      </c>
      <c r="F135" s="666"/>
      <c r="G135" s="21">
        <f t="shared" si="25"/>
        <v>1</v>
      </c>
      <c r="H135" s="666"/>
      <c r="I135" s="21">
        <f t="shared" si="26"/>
        <v>1</v>
      </c>
      <c r="J135" s="666"/>
      <c r="K135" s="21">
        <f t="shared" si="27"/>
        <v>1</v>
      </c>
      <c r="L135" s="666"/>
      <c r="M135" s="21">
        <f t="shared" si="28"/>
        <v>1</v>
      </c>
      <c r="N135" s="666"/>
      <c r="O135" s="21">
        <f t="shared" si="29"/>
        <v>1</v>
      </c>
      <c r="P135" s="666"/>
      <c r="Q135" s="21">
        <f t="shared" si="30"/>
        <v>0</v>
      </c>
      <c r="R135" s="662">
        <f t="shared" si="31"/>
        <v>0</v>
      </c>
      <c r="S135" s="316">
        <f t="shared" si="32"/>
        <v>0</v>
      </c>
    </row>
    <row r="136" spans="1:19">
      <c r="A136" s="150"/>
      <c r="B136" s="54"/>
      <c r="C136" s="21">
        <f t="shared" si="23"/>
        <v>1</v>
      </c>
      <c r="D136" s="666"/>
      <c r="E136" s="21">
        <f t="shared" si="24"/>
        <v>1</v>
      </c>
      <c r="F136" s="666"/>
      <c r="G136" s="21">
        <f t="shared" si="25"/>
        <v>1</v>
      </c>
      <c r="H136" s="666"/>
      <c r="I136" s="21">
        <f t="shared" si="26"/>
        <v>1</v>
      </c>
      <c r="J136" s="666"/>
      <c r="K136" s="21">
        <f t="shared" si="27"/>
        <v>1</v>
      </c>
      <c r="L136" s="666"/>
      <c r="M136" s="21">
        <f t="shared" si="28"/>
        <v>1</v>
      </c>
      <c r="N136" s="666"/>
      <c r="O136" s="21">
        <f t="shared" si="29"/>
        <v>1</v>
      </c>
      <c r="P136" s="666"/>
      <c r="Q136" s="21">
        <f t="shared" si="30"/>
        <v>0</v>
      </c>
      <c r="R136" s="662">
        <f t="shared" si="31"/>
        <v>0</v>
      </c>
      <c r="S136" s="316">
        <f t="shared" si="32"/>
        <v>0</v>
      </c>
    </row>
    <row r="137" spans="1:19">
      <c r="A137" s="150"/>
      <c r="B137" s="54"/>
      <c r="C137" s="21">
        <f t="shared" si="23"/>
        <v>1</v>
      </c>
      <c r="D137" s="666"/>
      <c r="E137" s="21">
        <f t="shared" si="24"/>
        <v>1</v>
      </c>
      <c r="F137" s="666"/>
      <c r="G137" s="21">
        <f t="shared" si="25"/>
        <v>1</v>
      </c>
      <c r="H137" s="666"/>
      <c r="I137" s="21">
        <f t="shared" si="26"/>
        <v>1</v>
      </c>
      <c r="J137" s="666"/>
      <c r="K137" s="21">
        <f t="shared" si="27"/>
        <v>1</v>
      </c>
      <c r="L137" s="666"/>
      <c r="M137" s="21">
        <f t="shared" si="28"/>
        <v>1</v>
      </c>
      <c r="N137" s="666"/>
      <c r="O137" s="21">
        <f t="shared" si="29"/>
        <v>1</v>
      </c>
      <c r="P137" s="666"/>
      <c r="Q137" s="21">
        <f t="shared" si="30"/>
        <v>0</v>
      </c>
      <c r="R137" s="662">
        <f t="shared" si="31"/>
        <v>0</v>
      </c>
      <c r="S137" s="316">
        <f t="shared" si="32"/>
        <v>0</v>
      </c>
    </row>
    <row r="138" spans="1:19">
      <c r="A138" s="150"/>
      <c r="B138" s="54"/>
      <c r="C138" s="21">
        <f t="shared" si="23"/>
        <v>1</v>
      </c>
      <c r="D138" s="666"/>
      <c r="E138" s="21">
        <f t="shared" si="24"/>
        <v>1</v>
      </c>
      <c r="F138" s="666"/>
      <c r="G138" s="21">
        <f t="shared" si="25"/>
        <v>1</v>
      </c>
      <c r="H138" s="666"/>
      <c r="I138" s="21">
        <f t="shared" si="26"/>
        <v>1</v>
      </c>
      <c r="J138" s="666"/>
      <c r="K138" s="21">
        <f t="shared" si="27"/>
        <v>1</v>
      </c>
      <c r="L138" s="666"/>
      <c r="M138" s="21">
        <f t="shared" si="28"/>
        <v>1</v>
      </c>
      <c r="N138" s="666"/>
      <c r="O138" s="21">
        <f t="shared" si="29"/>
        <v>1</v>
      </c>
      <c r="P138" s="666"/>
      <c r="Q138" s="21">
        <f t="shared" si="30"/>
        <v>0</v>
      </c>
      <c r="R138" s="662">
        <f t="shared" si="31"/>
        <v>0</v>
      </c>
      <c r="S138" s="316">
        <f t="shared" si="32"/>
        <v>0</v>
      </c>
    </row>
    <row r="139" spans="1:19">
      <c r="A139" s="150"/>
      <c r="B139" s="54"/>
      <c r="C139" s="21">
        <f t="shared" si="23"/>
        <v>1</v>
      </c>
      <c r="D139" s="666"/>
      <c r="E139" s="21">
        <f t="shared" si="24"/>
        <v>1</v>
      </c>
      <c r="F139" s="666"/>
      <c r="G139" s="21">
        <f t="shared" si="25"/>
        <v>1</v>
      </c>
      <c r="H139" s="666"/>
      <c r="I139" s="21">
        <f t="shared" si="26"/>
        <v>1</v>
      </c>
      <c r="J139" s="666"/>
      <c r="K139" s="21">
        <f t="shared" si="27"/>
        <v>1</v>
      </c>
      <c r="L139" s="666"/>
      <c r="M139" s="21">
        <f t="shared" si="28"/>
        <v>1</v>
      </c>
      <c r="N139" s="666"/>
      <c r="O139" s="21">
        <f t="shared" si="29"/>
        <v>1</v>
      </c>
      <c r="P139" s="666"/>
      <c r="Q139" s="21">
        <f t="shared" si="30"/>
        <v>0</v>
      </c>
      <c r="R139" s="662">
        <f t="shared" si="31"/>
        <v>0</v>
      </c>
      <c r="S139" s="316">
        <f t="shared" si="32"/>
        <v>0</v>
      </c>
    </row>
    <row r="140" spans="1:19">
      <c r="A140" s="150"/>
      <c r="B140" s="54"/>
      <c r="C140" s="21">
        <f t="shared" si="23"/>
        <v>1</v>
      </c>
      <c r="D140" s="666"/>
      <c r="E140" s="21">
        <f t="shared" si="24"/>
        <v>1</v>
      </c>
      <c r="F140" s="666"/>
      <c r="G140" s="21">
        <f t="shared" si="25"/>
        <v>1</v>
      </c>
      <c r="H140" s="666"/>
      <c r="I140" s="21">
        <f t="shared" si="26"/>
        <v>1</v>
      </c>
      <c r="J140" s="666"/>
      <c r="K140" s="21">
        <f t="shared" si="27"/>
        <v>1</v>
      </c>
      <c r="L140" s="666"/>
      <c r="M140" s="21">
        <f t="shared" si="28"/>
        <v>1</v>
      </c>
      <c r="N140" s="666"/>
      <c r="O140" s="21">
        <f t="shared" si="29"/>
        <v>1</v>
      </c>
      <c r="P140" s="666"/>
      <c r="Q140" s="21">
        <f t="shared" si="30"/>
        <v>0</v>
      </c>
      <c r="R140" s="662">
        <f t="shared" si="31"/>
        <v>0</v>
      </c>
      <c r="S140" s="316">
        <f t="shared" si="32"/>
        <v>0</v>
      </c>
    </row>
    <row r="141" spans="1:19">
      <c r="A141" s="150"/>
      <c r="B141" s="54"/>
      <c r="C141" s="21">
        <f t="shared" si="23"/>
        <v>1</v>
      </c>
      <c r="D141" s="666"/>
      <c r="E141" s="21">
        <f t="shared" si="24"/>
        <v>1</v>
      </c>
      <c r="F141" s="666"/>
      <c r="G141" s="21">
        <f t="shared" si="25"/>
        <v>1</v>
      </c>
      <c r="H141" s="666"/>
      <c r="I141" s="21">
        <f t="shared" si="26"/>
        <v>1</v>
      </c>
      <c r="J141" s="666"/>
      <c r="K141" s="21">
        <f t="shared" si="27"/>
        <v>1</v>
      </c>
      <c r="L141" s="666"/>
      <c r="M141" s="21">
        <f t="shared" si="28"/>
        <v>1</v>
      </c>
      <c r="N141" s="666"/>
      <c r="O141" s="21">
        <f t="shared" si="29"/>
        <v>1</v>
      </c>
      <c r="P141" s="666"/>
      <c r="Q141" s="21">
        <f t="shared" si="30"/>
        <v>0</v>
      </c>
      <c r="R141" s="662">
        <f t="shared" si="31"/>
        <v>0</v>
      </c>
      <c r="S141" s="316">
        <f t="shared" si="32"/>
        <v>0</v>
      </c>
    </row>
    <row r="142" spans="1:19">
      <c r="A142" s="150"/>
      <c r="B142" s="54"/>
      <c r="C142" s="21">
        <f t="shared" si="23"/>
        <v>1</v>
      </c>
      <c r="D142" s="666"/>
      <c r="E142" s="21">
        <f t="shared" si="24"/>
        <v>1</v>
      </c>
      <c r="F142" s="666"/>
      <c r="G142" s="21">
        <f t="shared" si="25"/>
        <v>1</v>
      </c>
      <c r="H142" s="666"/>
      <c r="I142" s="21">
        <f t="shared" si="26"/>
        <v>1</v>
      </c>
      <c r="J142" s="666"/>
      <c r="K142" s="21">
        <f t="shared" si="27"/>
        <v>1</v>
      </c>
      <c r="L142" s="666"/>
      <c r="M142" s="21">
        <f t="shared" si="28"/>
        <v>1</v>
      </c>
      <c r="N142" s="666"/>
      <c r="O142" s="21">
        <f t="shared" si="29"/>
        <v>1</v>
      </c>
      <c r="P142" s="666"/>
      <c r="Q142" s="21">
        <f t="shared" si="30"/>
        <v>0</v>
      </c>
      <c r="R142" s="662">
        <f t="shared" si="31"/>
        <v>0</v>
      </c>
      <c r="S142" s="316">
        <f t="shared" si="32"/>
        <v>0</v>
      </c>
    </row>
    <row r="143" spans="1:19">
      <c r="A143" s="150"/>
      <c r="B143" s="54"/>
      <c r="C143" s="21">
        <f t="shared" si="23"/>
        <v>1</v>
      </c>
      <c r="D143" s="666"/>
      <c r="E143" s="21">
        <f t="shared" si="24"/>
        <v>1</v>
      </c>
      <c r="F143" s="666"/>
      <c r="G143" s="21">
        <f t="shared" si="25"/>
        <v>1</v>
      </c>
      <c r="H143" s="666"/>
      <c r="I143" s="21">
        <f t="shared" si="26"/>
        <v>1</v>
      </c>
      <c r="J143" s="666"/>
      <c r="K143" s="21">
        <f t="shared" si="27"/>
        <v>1</v>
      </c>
      <c r="L143" s="666"/>
      <c r="M143" s="21">
        <f t="shared" si="28"/>
        <v>1</v>
      </c>
      <c r="N143" s="666"/>
      <c r="O143" s="21">
        <f t="shared" si="29"/>
        <v>1</v>
      </c>
      <c r="P143" s="666"/>
      <c r="Q143" s="21">
        <f t="shared" si="30"/>
        <v>0</v>
      </c>
      <c r="R143" s="662">
        <f t="shared" si="31"/>
        <v>0</v>
      </c>
      <c r="S143" s="316">
        <f t="shared" si="32"/>
        <v>0</v>
      </c>
    </row>
    <row r="144" spans="1:19">
      <c r="A144" s="150"/>
      <c r="B144" s="54"/>
      <c r="C144" s="21">
        <f t="shared" si="23"/>
        <v>1</v>
      </c>
      <c r="D144" s="666"/>
      <c r="E144" s="21">
        <f t="shared" si="24"/>
        <v>1</v>
      </c>
      <c r="F144" s="666"/>
      <c r="G144" s="21">
        <f t="shared" si="25"/>
        <v>1</v>
      </c>
      <c r="H144" s="666"/>
      <c r="I144" s="21">
        <f t="shared" si="26"/>
        <v>1</v>
      </c>
      <c r="J144" s="666"/>
      <c r="K144" s="21">
        <f t="shared" si="27"/>
        <v>1</v>
      </c>
      <c r="L144" s="666"/>
      <c r="M144" s="21">
        <f t="shared" si="28"/>
        <v>1</v>
      </c>
      <c r="N144" s="666"/>
      <c r="O144" s="21">
        <f t="shared" si="29"/>
        <v>1</v>
      </c>
      <c r="P144" s="666"/>
      <c r="Q144" s="21">
        <f t="shared" si="30"/>
        <v>0</v>
      </c>
      <c r="R144" s="662">
        <f t="shared" si="31"/>
        <v>0</v>
      </c>
      <c r="S144" s="316">
        <f t="shared" si="32"/>
        <v>0</v>
      </c>
    </row>
    <row r="145" spans="1:19">
      <c r="A145" s="150"/>
      <c r="B145" s="54"/>
      <c r="C145" s="21">
        <f t="shared" si="23"/>
        <v>1</v>
      </c>
      <c r="D145" s="666"/>
      <c r="E145" s="21">
        <f t="shared" si="24"/>
        <v>1</v>
      </c>
      <c r="F145" s="666"/>
      <c r="G145" s="21">
        <f t="shared" si="25"/>
        <v>1</v>
      </c>
      <c r="H145" s="666"/>
      <c r="I145" s="21">
        <f t="shared" si="26"/>
        <v>1</v>
      </c>
      <c r="J145" s="666"/>
      <c r="K145" s="21">
        <f t="shared" si="27"/>
        <v>1</v>
      </c>
      <c r="L145" s="666"/>
      <c r="M145" s="21">
        <f t="shared" si="28"/>
        <v>1</v>
      </c>
      <c r="N145" s="666"/>
      <c r="O145" s="21">
        <f t="shared" si="29"/>
        <v>1</v>
      </c>
      <c r="P145" s="666"/>
      <c r="Q145" s="21">
        <f t="shared" si="30"/>
        <v>0</v>
      </c>
      <c r="R145" s="662">
        <f t="shared" si="31"/>
        <v>0</v>
      </c>
      <c r="S145" s="316">
        <f t="shared" si="32"/>
        <v>0</v>
      </c>
    </row>
    <row r="146" spans="1:19">
      <c r="A146" s="150"/>
      <c r="B146" s="54"/>
      <c r="C146" s="21">
        <f t="shared" si="23"/>
        <v>1</v>
      </c>
      <c r="D146" s="666"/>
      <c r="E146" s="21">
        <f t="shared" si="24"/>
        <v>1</v>
      </c>
      <c r="F146" s="666"/>
      <c r="G146" s="21">
        <f t="shared" si="25"/>
        <v>1</v>
      </c>
      <c r="H146" s="666"/>
      <c r="I146" s="21">
        <f t="shared" si="26"/>
        <v>1</v>
      </c>
      <c r="J146" s="666"/>
      <c r="K146" s="21">
        <f t="shared" si="27"/>
        <v>1</v>
      </c>
      <c r="L146" s="666"/>
      <c r="M146" s="21">
        <f t="shared" si="28"/>
        <v>1</v>
      </c>
      <c r="N146" s="666"/>
      <c r="O146" s="21">
        <f t="shared" si="29"/>
        <v>1</v>
      </c>
      <c r="P146" s="666"/>
      <c r="Q146" s="21">
        <f t="shared" si="30"/>
        <v>0</v>
      </c>
      <c r="R146" s="662">
        <f t="shared" si="31"/>
        <v>0</v>
      </c>
      <c r="S146" s="316">
        <f t="shared" si="32"/>
        <v>0</v>
      </c>
    </row>
    <row r="147" spans="1:19">
      <c r="A147" s="150"/>
      <c r="B147" s="54"/>
      <c r="C147" s="21">
        <f t="shared" si="23"/>
        <v>1</v>
      </c>
      <c r="D147" s="666"/>
      <c r="E147" s="21">
        <f t="shared" si="24"/>
        <v>1</v>
      </c>
      <c r="F147" s="666"/>
      <c r="G147" s="21">
        <f t="shared" si="25"/>
        <v>1</v>
      </c>
      <c r="H147" s="666"/>
      <c r="I147" s="21">
        <f t="shared" si="26"/>
        <v>1</v>
      </c>
      <c r="J147" s="666"/>
      <c r="K147" s="21">
        <f t="shared" si="27"/>
        <v>1</v>
      </c>
      <c r="L147" s="666"/>
      <c r="M147" s="21">
        <f t="shared" si="28"/>
        <v>1</v>
      </c>
      <c r="N147" s="666"/>
      <c r="O147" s="21">
        <f t="shared" si="29"/>
        <v>1</v>
      </c>
      <c r="P147" s="666"/>
      <c r="Q147" s="21">
        <f t="shared" si="30"/>
        <v>0</v>
      </c>
      <c r="R147" s="662">
        <f t="shared" si="31"/>
        <v>0</v>
      </c>
      <c r="S147" s="316">
        <f t="shared" si="32"/>
        <v>0</v>
      </c>
    </row>
    <row r="148" spans="1:19">
      <c r="A148" s="150"/>
      <c r="B148" s="54"/>
      <c r="C148" s="21">
        <f t="shared" si="23"/>
        <v>1</v>
      </c>
      <c r="D148" s="666"/>
      <c r="E148" s="21">
        <f t="shared" si="24"/>
        <v>1</v>
      </c>
      <c r="F148" s="666"/>
      <c r="G148" s="21">
        <f t="shared" si="25"/>
        <v>1</v>
      </c>
      <c r="H148" s="666"/>
      <c r="I148" s="21">
        <f t="shared" si="26"/>
        <v>1</v>
      </c>
      <c r="J148" s="666"/>
      <c r="K148" s="21">
        <f t="shared" si="27"/>
        <v>1</v>
      </c>
      <c r="L148" s="666"/>
      <c r="M148" s="21">
        <f t="shared" si="28"/>
        <v>1</v>
      </c>
      <c r="N148" s="666"/>
      <c r="O148" s="21">
        <f t="shared" si="29"/>
        <v>1</v>
      </c>
      <c r="P148" s="666"/>
      <c r="Q148" s="21">
        <f t="shared" si="30"/>
        <v>0</v>
      </c>
      <c r="R148" s="662">
        <f t="shared" si="31"/>
        <v>0</v>
      </c>
      <c r="S148" s="316">
        <f t="shared" si="32"/>
        <v>0</v>
      </c>
    </row>
    <row r="149" spans="1:19">
      <c r="A149" s="150"/>
      <c r="B149" s="54"/>
      <c r="C149" s="21">
        <f t="shared" si="23"/>
        <v>1</v>
      </c>
      <c r="D149" s="666"/>
      <c r="E149" s="21">
        <f t="shared" si="24"/>
        <v>1</v>
      </c>
      <c r="F149" s="666"/>
      <c r="G149" s="21">
        <f t="shared" si="25"/>
        <v>1</v>
      </c>
      <c r="H149" s="666"/>
      <c r="I149" s="21">
        <f t="shared" si="26"/>
        <v>1</v>
      </c>
      <c r="J149" s="666"/>
      <c r="K149" s="21">
        <f t="shared" si="27"/>
        <v>1</v>
      </c>
      <c r="L149" s="666"/>
      <c r="M149" s="21">
        <f t="shared" si="28"/>
        <v>1</v>
      </c>
      <c r="N149" s="666"/>
      <c r="O149" s="21">
        <f t="shared" si="29"/>
        <v>1</v>
      </c>
      <c r="P149" s="666"/>
      <c r="Q149" s="21">
        <f t="shared" si="30"/>
        <v>0</v>
      </c>
      <c r="R149" s="662">
        <f t="shared" si="31"/>
        <v>0</v>
      </c>
      <c r="S149" s="316">
        <f t="shared" si="32"/>
        <v>0</v>
      </c>
    </row>
    <row r="150" spans="1:19">
      <c r="A150" s="150"/>
      <c r="B150" s="54"/>
      <c r="C150" s="21">
        <f t="shared" si="23"/>
        <v>1</v>
      </c>
      <c r="D150" s="666"/>
      <c r="E150" s="21">
        <f t="shared" si="24"/>
        <v>1</v>
      </c>
      <c r="F150" s="666"/>
      <c r="G150" s="21">
        <f t="shared" si="25"/>
        <v>1</v>
      </c>
      <c r="H150" s="666"/>
      <c r="I150" s="21">
        <f t="shared" si="26"/>
        <v>1</v>
      </c>
      <c r="J150" s="666"/>
      <c r="K150" s="21">
        <f t="shared" si="27"/>
        <v>1</v>
      </c>
      <c r="L150" s="666"/>
      <c r="M150" s="21">
        <f t="shared" si="28"/>
        <v>1</v>
      </c>
      <c r="N150" s="666"/>
      <c r="O150" s="21">
        <f t="shared" si="29"/>
        <v>1</v>
      </c>
      <c r="P150" s="666"/>
      <c r="Q150" s="21">
        <f t="shared" si="30"/>
        <v>0</v>
      </c>
      <c r="R150" s="662">
        <f t="shared" si="31"/>
        <v>0</v>
      </c>
      <c r="S150" s="316">
        <f t="shared" si="32"/>
        <v>0</v>
      </c>
    </row>
    <row r="151" spans="1:19">
      <c r="A151" s="150"/>
      <c r="B151" s="54"/>
      <c r="C151" s="21">
        <f t="shared" si="23"/>
        <v>1</v>
      </c>
      <c r="D151" s="666"/>
      <c r="E151" s="21">
        <f t="shared" si="24"/>
        <v>1</v>
      </c>
      <c r="F151" s="666"/>
      <c r="G151" s="21">
        <f t="shared" si="25"/>
        <v>1</v>
      </c>
      <c r="H151" s="666"/>
      <c r="I151" s="21">
        <f t="shared" si="26"/>
        <v>1</v>
      </c>
      <c r="J151" s="666"/>
      <c r="K151" s="21">
        <f t="shared" si="27"/>
        <v>1</v>
      </c>
      <c r="L151" s="666"/>
      <c r="M151" s="21">
        <f t="shared" si="28"/>
        <v>1</v>
      </c>
      <c r="N151" s="666"/>
      <c r="O151" s="21">
        <f t="shared" si="29"/>
        <v>1</v>
      </c>
      <c r="P151" s="666"/>
      <c r="Q151" s="21">
        <f t="shared" si="30"/>
        <v>0</v>
      </c>
      <c r="R151" s="662">
        <f t="shared" si="31"/>
        <v>0</v>
      </c>
      <c r="S151" s="316">
        <f t="shared" si="32"/>
        <v>0</v>
      </c>
    </row>
    <row r="152" spans="1:19">
      <c r="A152" s="150"/>
      <c r="B152" s="54"/>
      <c r="C152" s="21">
        <f t="shared" si="23"/>
        <v>1</v>
      </c>
      <c r="D152" s="666"/>
      <c r="E152" s="21">
        <f t="shared" si="24"/>
        <v>1</v>
      </c>
      <c r="F152" s="666"/>
      <c r="G152" s="21">
        <f t="shared" si="25"/>
        <v>1</v>
      </c>
      <c r="H152" s="666"/>
      <c r="I152" s="21">
        <f t="shared" si="26"/>
        <v>1</v>
      </c>
      <c r="J152" s="666"/>
      <c r="K152" s="21">
        <f t="shared" si="27"/>
        <v>1</v>
      </c>
      <c r="L152" s="666"/>
      <c r="M152" s="21">
        <f t="shared" si="28"/>
        <v>1</v>
      </c>
      <c r="N152" s="666"/>
      <c r="O152" s="21">
        <f t="shared" si="29"/>
        <v>1</v>
      </c>
      <c r="P152" s="666"/>
      <c r="Q152" s="21">
        <f t="shared" si="30"/>
        <v>0</v>
      </c>
      <c r="R152" s="662">
        <f t="shared" si="31"/>
        <v>0</v>
      </c>
      <c r="S152" s="316">
        <f t="shared" si="32"/>
        <v>0</v>
      </c>
    </row>
    <row r="153" spans="1:19">
      <c r="A153" s="150"/>
      <c r="B153" s="54"/>
      <c r="C153" s="21">
        <f t="shared" si="23"/>
        <v>1</v>
      </c>
      <c r="D153" s="666"/>
      <c r="E153" s="21">
        <f t="shared" si="24"/>
        <v>1</v>
      </c>
      <c r="F153" s="666"/>
      <c r="G153" s="21">
        <f t="shared" si="25"/>
        <v>1</v>
      </c>
      <c r="H153" s="666"/>
      <c r="I153" s="21">
        <f t="shared" si="26"/>
        <v>1</v>
      </c>
      <c r="J153" s="666"/>
      <c r="K153" s="21">
        <f t="shared" si="27"/>
        <v>1</v>
      </c>
      <c r="L153" s="666"/>
      <c r="M153" s="21">
        <f t="shared" si="28"/>
        <v>1</v>
      </c>
      <c r="N153" s="666"/>
      <c r="O153" s="21">
        <f t="shared" si="29"/>
        <v>1</v>
      </c>
      <c r="P153" s="666"/>
      <c r="Q153" s="21">
        <f t="shared" si="30"/>
        <v>0</v>
      </c>
      <c r="R153" s="662">
        <f t="shared" si="31"/>
        <v>0</v>
      </c>
      <c r="S153" s="316">
        <f t="shared" si="32"/>
        <v>0</v>
      </c>
    </row>
    <row r="154" spans="1:19">
      <c r="A154" s="150"/>
      <c r="B154" s="54"/>
      <c r="C154" s="21">
        <f t="shared" ref="C154:C217" si="33">IF(B154="",1,(LOOKUP(B154,$3:$3,$4:$4)-LOOKUP($B$24,$3:$3,$4:$4)+100)/100)</f>
        <v>1</v>
      </c>
      <c r="D154" s="666"/>
      <c r="E154" s="21">
        <f t="shared" ref="E154:E217" si="34">(SUMIF($5:$5,D154,$6:$6)-SUMIF($5:$5,$D$24,$6:$6)+100)/100</f>
        <v>1</v>
      </c>
      <c r="F154" s="666"/>
      <c r="G154" s="21">
        <f t="shared" ref="G154:G217" si="35">(SUMIF($7:$7,F154,$8:$8)-SUMIF($7:$7,$F$24,$8:$8)+100)/100</f>
        <v>1</v>
      </c>
      <c r="H154" s="666"/>
      <c r="I154" s="21">
        <f t="shared" ref="I154:I217" si="36">(SUMIF($9:$9,H154,$10:$10)-SUMIF($9:$9,$H$24,$10:$10)+100)/100</f>
        <v>1</v>
      </c>
      <c r="J154" s="666"/>
      <c r="K154" s="21">
        <f t="shared" ref="K154:K217" si="37">(SUMIF($11:$11,J154,$12:$12)-SUMIF($11:$11,$J$24,$12:$12)+100)/100</f>
        <v>1</v>
      </c>
      <c r="L154" s="666"/>
      <c r="M154" s="21">
        <f t="shared" ref="M154:M217" si="38">(SUMIF($13:$13,L154,$14:$14)-SUMIF($13:$13,$L$24,$14:$14)+100)/100</f>
        <v>1</v>
      </c>
      <c r="N154" s="666"/>
      <c r="O154" s="21">
        <f t="shared" ref="O154:O217" si="39">(SUMIF($15:$15,N154,$16:$16)-SUMIF($15:$15,$N$24,$16:$16)+100)/100</f>
        <v>1</v>
      </c>
      <c r="P154" s="666"/>
      <c r="Q154" s="21">
        <f t="shared" ref="Q154:Q217" si="40">(SUMIF($17:$17,P154,$18:$18)-SUMIF($17:$17,$P$24,$18:$18)+100)/100</f>
        <v>0</v>
      </c>
      <c r="R154" s="662">
        <f t="shared" ref="R154:R217" si="41">IF(B154="",0,ROUND($R$24*C154*E154*G154*I154*K154*M154*O154*Q154,0))</f>
        <v>0</v>
      </c>
      <c r="S154" s="316">
        <f t="shared" si="32"/>
        <v>0</v>
      </c>
    </row>
    <row r="155" spans="1:19">
      <c r="A155" s="150"/>
      <c r="B155" s="54"/>
      <c r="C155" s="21">
        <f t="shared" si="33"/>
        <v>1</v>
      </c>
      <c r="D155" s="666"/>
      <c r="E155" s="21">
        <f t="shared" si="34"/>
        <v>1</v>
      </c>
      <c r="F155" s="666"/>
      <c r="G155" s="21">
        <f t="shared" si="35"/>
        <v>1</v>
      </c>
      <c r="H155" s="666"/>
      <c r="I155" s="21">
        <f t="shared" si="36"/>
        <v>1</v>
      </c>
      <c r="J155" s="666"/>
      <c r="K155" s="21">
        <f t="shared" si="37"/>
        <v>1</v>
      </c>
      <c r="L155" s="666"/>
      <c r="M155" s="21">
        <f t="shared" si="38"/>
        <v>1</v>
      </c>
      <c r="N155" s="666"/>
      <c r="O155" s="21">
        <f t="shared" si="39"/>
        <v>1</v>
      </c>
      <c r="P155" s="666"/>
      <c r="Q155" s="21">
        <f t="shared" si="40"/>
        <v>0</v>
      </c>
      <c r="R155" s="662">
        <f t="shared" si="41"/>
        <v>0</v>
      </c>
      <c r="S155" s="316">
        <f t="shared" si="32"/>
        <v>0</v>
      </c>
    </row>
    <row r="156" spans="1:19">
      <c r="A156" s="150"/>
      <c r="B156" s="54"/>
      <c r="C156" s="21">
        <f t="shared" si="33"/>
        <v>1</v>
      </c>
      <c r="D156" s="666"/>
      <c r="E156" s="21">
        <f t="shared" si="34"/>
        <v>1</v>
      </c>
      <c r="F156" s="666"/>
      <c r="G156" s="21">
        <f t="shared" si="35"/>
        <v>1</v>
      </c>
      <c r="H156" s="666"/>
      <c r="I156" s="21">
        <f t="shared" si="36"/>
        <v>1</v>
      </c>
      <c r="J156" s="666"/>
      <c r="K156" s="21">
        <f t="shared" si="37"/>
        <v>1</v>
      </c>
      <c r="L156" s="666"/>
      <c r="M156" s="21">
        <f t="shared" si="38"/>
        <v>1</v>
      </c>
      <c r="N156" s="666"/>
      <c r="O156" s="21">
        <f t="shared" si="39"/>
        <v>1</v>
      </c>
      <c r="P156" s="666"/>
      <c r="Q156" s="21">
        <f t="shared" si="40"/>
        <v>0</v>
      </c>
      <c r="R156" s="662">
        <f t="shared" si="41"/>
        <v>0</v>
      </c>
      <c r="S156" s="316">
        <f t="shared" si="32"/>
        <v>0</v>
      </c>
    </row>
    <row r="157" spans="1:19">
      <c r="A157" s="150"/>
      <c r="B157" s="54"/>
      <c r="C157" s="21">
        <f t="shared" si="33"/>
        <v>1</v>
      </c>
      <c r="D157" s="666"/>
      <c r="E157" s="21">
        <f t="shared" si="34"/>
        <v>1</v>
      </c>
      <c r="F157" s="666"/>
      <c r="G157" s="21">
        <f t="shared" si="35"/>
        <v>1</v>
      </c>
      <c r="H157" s="666"/>
      <c r="I157" s="21">
        <f t="shared" si="36"/>
        <v>1</v>
      </c>
      <c r="J157" s="666"/>
      <c r="K157" s="21">
        <f t="shared" si="37"/>
        <v>1</v>
      </c>
      <c r="L157" s="666"/>
      <c r="M157" s="21">
        <f t="shared" si="38"/>
        <v>1</v>
      </c>
      <c r="N157" s="666"/>
      <c r="O157" s="21">
        <f t="shared" si="39"/>
        <v>1</v>
      </c>
      <c r="P157" s="666"/>
      <c r="Q157" s="21">
        <f t="shared" si="40"/>
        <v>0</v>
      </c>
      <c r="R157" s="662">
        <f t="shared" si="41"/>
        <v>0</v>
      </c>
      <c r="S157" s="316">
        <f t="shared" si="32"/>
        <v>0</v>
      </c>
    </row>
    <row r="158" spans="1:19">
      <c r="A158" s="150"/>
      <c r="B158" s="54"/>
      <c r="C158" s="21">
        <f t="shared" si="33"/>
        <v>1</v>
      </c>
      <c r="D158" s="666"/>
      <c r="E158" s="21">
        <f t="shared" si="34"/>
        <v>1</v>
      </c>
      <c r="F158" s="666"/>
      <c r="G158" s="21">
        <f t="shared" si="35"/>
        <v>1</v>
      </c>
      <c r="H158" s="666"/>
      <c r="I158" s="21">
        <f t="shared" si="36"/>
        <v>1</v>
      </c>
      <c r="J158" s="666"/>
      <c r="K158" s="21">
        <f t="shared" si="37"/>
        <v>1</v>
      </c>
      <c r="L158" s="666"/>
      <c r="M158" s="21">
        <f t="shared" si="38"/>
        <v>1</v>
      </c>
      <c r="N158" s="666"/>
      <c r="O158" s="21">
        <f t="shared" si="39"/>
        <v>1</v>
      </c>
      <c r="P158" s="666"/>
      <c r="Q158" s="21">
        <f t="shared" si="40"/>
        <v>0</v>
      </c>
      <c r="R158" s="662">
        <f t="shared" si="41"/>
        <v>0</v>
      </c>
      <c r="S158" s="316">
        <f t="shared" si="32"/>
        <v>0</v>
      </c>
    </row>
    <row r="159" spans="1:19">
      <c r="A159" s="150"/>
      <c r="B159" s="54"/>
      <c r="C159" s="21">
        <f t="shared" si="33"/>
        <v>1</v>
      </c>
      <c r="D159" s="666"/>
      <c r="E159" s="21">
        <f t="shared" si="34"/>
        <v>1</v>
      </c>
      <c r="F159" s="666"/>
      <c r="G159" s="21">
        <f t="shared" si="35"/>
        <v>1</v>
      </c>
      <c r="H159" s="666"/>
      <c r="I159" s="21">
        <f t="shared" si="36"/>
        <v>1</v>
      </c>
      <c r="J159" s="666"/>
      <c r="K159" s="21">
        <f t="shared" si="37"/>
        <v>1</v>
      </c>
      <c r="L159" s="666"/>
      <c r="M159" s="21">
        <f t="shared" si="38"/>
        <v>1</v>
      </c>
      <c r="N159" s="666"/>
      <c r="O159" s="21">
        <f t="shared" si="39"/>
        <v>1</v>
      </c>
      <c r="P159" s="666"/>
      <c r="Q159" s="21">
        <f t="shared" si="40"/>
        <v>0</v>
      </c>
      <c r="R159" s="662">
        <f t="shared" si="41"/>
        <v>0</v>
      </c>
      <c r="S159" s="316">
        <f t="shared" si="32"/>
        <v>0</v>
      </c>
    </row>
    <row r="160" spans="1:19">
      <c r="A160" s="150"/>
      <c r="B160" s="54"/>
      <c r="C160" s="21">
        <f t="shared" si="33"/>
        <v>1</v>
      </c>
      <c r="D160" s="666"/>
      <c r="E160" s="21">
        <f t="shared" si="34"/>
        <v>1</v>
      </c>
      <c r="F160" s="666"/>
      <c r="G160" s="21">
        <f t="shared" si="35"/>
        <v>1</v>
      </c>
      <c r="H160" s="666"/>
      <c r="I160" s="21">
        <f t="shared" si="36"/>
        <v>1</v>
      </c>
      <c r="J160" s="666"/>
      <c r="K160" s="21">
        <f t="shared" si="37"/>
        <v>1</v>
      </c>
      <c r="L160" s="666"/>
      <c r="M160" s="21">
        <f t="shared" si="38"/>
        <v>1</v>
      </c>
      <c r="N160" s="666"/>
      <c r="O160" s="21">
        <f t="shared" si="39"/>
        <v>1</v>
      </c>
      <c r="P160" s="666"/>
      <c r="Q160" s="21">
        <f t="shared" si="40"/>
        <v>0</v>
      </c>
      <c r="R160" s="662">
        <f t="shared" si="41"/>
        <v>0</v>
      </c>
      <c r="S160" s="316">
        <f t="shared" si="32"/>
        <v>0</v>
      </c>
    </row>
    <row r="161" spans="1:19">
      <c r="A161" s="150"/>
      <c r="B161" s="54"/>
      <c r="C161" s="21">
        <f t="shared" si="33"/>
        <v>1</v>
      </c>
      <c r="D161" s="666"/>
      <c r="E161" s="21">
        <f t="shared" si="34"/>
        <v>1</v>
      </c>
      <c r="F161" s="666"/>
      <c r="G161" s="21">
        <f t="shared" si="35"/>
        <v>1</v>
      </c>
      <c r="H161" s="666"/>
      <c r="I161" s="21">
        <f t="shared" si="36"/>
        <v>1</v>
      </c>
      <c r="J161" s="666"/>
      <c r="K161" s="21">
        <f t="shared" si="37"/>
        <v>1</v>
      </c>
      <c r="L161" s="666"/>
      <c r="M161" s="21">
        <f t="shared" si="38"/>
        <v>1</v>
      </c>
      <c r="N161" s="666"/>
      <c r="O161" s="21">
        <f t="shared" si="39"/>
        <v>1</v>
      </c>
      <c r="P161" s="666"/>
      <c r="Q161" s="21">
        <f t="shared" si="40"/>
        <v>0</v>
      </c>
      <c r="R161" s="662">
        <f t="shared" si="41"/>
        <v>0</v>
      </c>
      <c r="S161" s="316">
        <f t="shared" si="32"/>
        <v>0</v>
      </c>
    </row>
    <row r="162" spans="1:19">
      <c r="A162" s="150"/>
      <c r="B162" s="54"/>
      <c r="C162" s="21">
        <f t="shared" si="33"/>
        <v>1</v>
      </c>
      <c r="D162" s="666"/>
      <c r="E162" s="21">
        <f t="shared" si="34"/>
        <v>1</v>
      </c>
      <c r="F162" s="666"/>
      <c r="G162" s="21">
        <f t="shared" si="35"/>
        <v>1</v>
      </c>
      <c r="H162" s="666"/>
      <c r="I162" s="21">
        <f t="shared" si="36"/>
        <v>1</v>
      </c>
      <c r="J162" s="666"/>
      <c r="K162" s="21">
        <f t="shared" si="37"/>
        <v>1</v>
      </c>
      <c r="L162" s="666"/>
      <c r="M162" s="21">
        <f t="shared" si="38"/>
        <v>1</v>
      </c>
      <c r="N162" s="666"/>
      <c r="O162" s="21">
        <f t="shared" si="39"/>
        <v>1</v>
      </c>
      <c r="P162" s="666"/>
      <c r="Q162" s="21">
        <f t="shared" si="40"/>
        <v>0</v>
      </c>
      <c r="R162" s="662">
        <f t="shared" si="41"/>
        <v>0</v>
      </c>
      <c r="S162" s="316">
        <f t="shared" si="32"/>
        <v>0</v>
      </c>
    </row>
    <row r="163" spans="1:19">
      <c r="A163" s="150"/>
      <c r="B163" s="54"/>
      <c r="C163" s="21">
        <f t="shared" si="33"/>
        <v>1</v>
      </c>
      <c r="D163" s="666"/>
      <c r="E163" s="21">
        <f t="shared" si="34"/>
        <v>1</v>
      </c>
      <c r="F163" s="666"/>
      <c r="G163" s="21">
        <f t="shared" si="35"/>
        <v>1</v>
      </c>
      <c r="H163" s="666"/>
      <c r="I163" s="21">
        <f t="shared" si="36"/>
        <v>1</v>
      </c>
      <c r="J163" s="666"/>
      <c r="K163" s="21">
        <f t="shared" si="37"/>
        <v>1</v>
      </c>
      <c r="L163" s="666"/>
      <c r="M163" s="21">
        <f t="shared" si="38"/>
        <v>1</v>
      </c>
      <c r="N163" s="666"/>
      <c r="O163" s="21">
        <f t="shared" si="39"/>
        <v>1</v>
      </c>
      <c r="P163" s="666"/>
      <c r="Q163" s="21">
        <f t="shared" si="40"/>
        <v>0</v>
      </c>
      <c r="R163" s="662">
        <f t="shared" si="41"/>
        <v>0</v>
      </c>
      <c r="S163" s="316">
        <f t="shared" si="32"/>
        <v>0</v>
      </c>
    </row>
    <row r="164" spans="1:19">
      <c r="A164" s="150"/>
      <c r="B164" s="54"/>
      <c r="C164" s="21">
        <f t="shared" si="33"/>
        <v>1</v>
      </c>
      <c r="D164" s="666"/>
      <c r="E164" s="21">
        <f t="shared" si="34"/>
        <v>1</v>
      </c>
      <c r="F164" s="666"/>
      <c r="G164" s="21">
        <f t="shared" si="35"/>
        <v>1</v>
      </c>
      <c r="H164" s="666"/>
      <c r="I164" s="21">
        <f t="shared" si="36"/>
        <v>1</v>
      </c>
      <c r="J164" s="666"/>
      <c r="K164" s="21">
        <f t="shared" si="37"/>
        <v>1</v>
      </c>
      <c r="L164" s="666"/>
      <c r="M164" s="21">
        <f t="shared" si="38"/>
        <v>1</v>
      </c>
      <c r="N164" s="666"/>
      <c r="O164" s="21">
        <f t="shared" si="39"/>
        <v>1</v>
      </c>
      <c r="P164" s="666"/>
      <c r="Q164" s="21">
        <f t="shared" si="40"/>
        <v>0</v>
      </c>
      <c r="R164" s="662">
        <f t="shared" si="41"/>
        <v>0</v>
      </c>
      <c r="S164" s="316">
        <f t="shared" si="32"/>
        <v>0</v>
      </c>
    </row>
    <row r="165" spans="1:19">
      <c r="A165" s="150"/>
      <c r="B165" s="54"/>
      <c r="C165" s="21">
        <f t="shared" si="33"/>
        <v>1</v>
      </c>
      <c r="D165" s="666"/>
      <c r="E165" s="21">
        <f t="shared" si="34"/>
        <v>1</v>
      </c>
      <c r="F165" s="666"/>
      <c r="G165" s="21">
        <f t="shared" si="35"/>
        <v>1</v>
      </c>
      <c r="H165" s="666"/>
      <c r="I165" s="21">
        <f t="shared" si="36"/>
        <v>1</v>
      </c>
      <c r="J165" s="666"/>
      <c r="K165" s="21">
        <f t="shared" si="37"/>
        <v>1</v>
      </c>
      <c r="L165" s="666"/>
      <c r="M165" s="21">
        <f t="shared" si="38"/>
        <v>1</v>
      </c>
      <c r="N165" s="666"/>
      <c r="O165" s="21">
        <f t="shared" si="39"/>
        <v>1</v>
      </c>
      <c r="P165" s="666"/>
      <c r="Q165" s="21">
        <f t="shared" si="40"/>
        <v>0</v>
      </c>
      <c r="R165" s="662">
        <f t="shared" si="41"/>
        <v>0</v>
      </c>
      <c r="S165" s="316">
        <f t="shared" si="32"/>
        <v>0</v>
      </c>
    </row>
    <row r="166" spans="1:19">
      <c r="A166" s="150"/>
      <c r="B166" s="54"/>
      <c r="C166" s="21">
        <f t="shared" si="33"/>
        <v>1</v>
      </c>
      <c r="D166" s="666"/>
      <c r="E166" s="21">
        <f t="shared" si="34"/>
        <v>1</v>
      </c>
      <c r="F166" s="666"/>
      <c r="G166" s="21">
        <f t="shared" si="35"/>
        <v>1</v>
      </c>
      <c r="H166" s="666"/>
      <c r="I166" s="21">
        <f t="shared" si="36"/>
        <v>1</v>
      </c>
      <c r="J166" s="666"/>
      <c r="K166" s="21">
        <f t="shared" si="37"/>
        <v>1</v>
      </c>
      <c r="L166" s="666"/>
      <c r="M166" s="21">
        <f t="shared" si="38"/>
        <v>1</v>
      </c>
      <c r="N166" s="666"/>
      <c r="O166" s="21">
        <f t="shared" si="39"/>
        <v>1</v>
      </c>
      <c r="P166" s="666"/>
      <c r="Q166" s="21">
        <f t="shared" si="40"/>
        <v>0</v>
      </c>
      <c r="R166" s="662">
        <f t="shared" si="41"/>
        <v>0</v>
      </c>
      <c r="S166" s="316">
        <f t="shared" si="32"/>
        <v>0</v>
      </c>
    </row>
    <row r="167" spans="1:19">
      <c r="A167" s="150"/>
      <c r="B167" s="54"/>
      <c r="C167" s="21">
        <f t="shared" si="33"/>
        <v>1</v>
      </c>
      <c r="D167" s="666"/>
      <c r="E167" s="21">
        <f t="shared" si="34"/>
        <v>1</v>
      </c>
      <c r="F167" s="666"/>
      <c r="G167" s="21">
        <f t="shared" si="35"/>
        <v>1</v>
      </c>
      <c r="H167" s="666"/>
      <c r="I167" s="21">
        <f t="shared" si="36"/>
        <v>1</v>
      </c>
      <c r="J167" s="666"/>
      <c r="K167" s="21">
        <f t="shared" si="37"/>
        <v>1</v>
      </c>
      <c r="L167" s="666"/>
      <c r="M167" s="21">
        <f t="shared" si="38"/>
        <v>1</v>
      </c>
      <c r="N167" s="666"/>
      <c r="O167" s="21">
        <f t="shared" si="39"/>
        <v>1</v>
      </c>
      <c r="P167" s="666"/>
      <c r="Q167" s="21">
        <f t="shared" si="40"/>
        <v>0</v>
      </c>
      <c r="R167" s="662">
        <f t="shared" si="41"/>
        <v>0</v>
      </c>
      <c r="S167" s="316">
        <f t="shared" si="32"/>
        <v>0</v>
      </c>
    </row>
    <row r="168" spans="1:19">
      <c r="A168" s="150"/>
      <c r="B168" s="54"/>
      <c r="C168" s="21">
        <f t="shared" si="33"/>
        <v>1</v>
      </c>
      <c r="D168" s="666"/>
      <c r="E168" s="21">
        <f t="shared" si="34"/>
        <v>1</v>
      </c>
      <c r="F168" s="666"/>
      <c r="G168" s="21">
        <f t="shared" si="35"/>
        <v>1</v>
      </c>
      <c r="H168" s="666"/>
      <c r="I168" s="21">
        <f t="shared" si="36"/>
        <v>1</v>
      </c>
      <c r="J168" s="666"/>
      <c r="K168" s="21">
        <f t="shared" si="37"/>
        <v>1</v>
      </c>
      <c r="L168" s="666"/>
      <c r="M168" s="21">
        <f t="shared" si="38"/>
        <v>1</v>
      </c>
      <c r="N168" s="666"/>
      <c r="O168" s="21">
        <f t="shared" si="39"/>
        <v>1</v>
      </c>
      <c r="P168" s="666"/>
      <c r="Q168" s="21">
        <f t="shared" si="40"/>
        <v>0</v>
      </c>
      <c r="R168" s="662">
        <f t="shared" si="41"/>
        <v>0</v>
      </c>
      <c r="S168" s="316">
        <f t="shared" si="32"/>
        <v>0</v>
      </c>
    </row>
    <row r="169" spans="1:19">
      <c r="A169" s="150"/>
      <c r="B169" s="54"/>
      <c r="C169" s="21">
        <f t="shared" si="33"/>
        <v>1</v>
      </c>
      <c r="D169" s="666"/>
      <c r="E169" s="21">
        <f t="shared" si="34"/>
        <v>1</v>
      </c>
      <c r="F169" s="666"/>
      <c r="G169" s="21">
        <f t="shared" si="35"/>
        <v>1</v>
      </c>
      <c r="H169" s="666"/>
      <c r="I169" s="21">
        <f t="shared" si="36"/>
        <v>1</v>
      </c>
      <c r="J169" s="666"/>
      <c r="K169" s="21">
        <f t="shared" si="37"/>
        <v>1</v>
      </c>
      <c r="L169" s="666"/>
      <c r="M169" s="21">
        <f t="shared" si="38"/>
        <v>1</v>
      </c>
      <c r="N169" s="666"/>
      <c r="O169" s="21">
        <f t="shared" si="39"/>
        <v>1</v>
      </c>
      <c r="P169" s="666"/>
      <c r="Q169" s="21">
        <f t="shared" si="40"/>
        <v>0</v>
      </c>
      <c r="R169" s="662">
        <f t="shared" si="41"/>
        <v>0</v>
      </c>
      <c r="S169" s="316">
        <f t="shared" si="32"/>
        <v>0</v>
      </c>
    </row>
    <row r="170" spans="1:19">
      <c r="A170" s="150"/>
      <c r="B170" s="54"/>
      <c r="C170" s="21">
        <f t="shared" si="33"/>
        <v>1</v>
      </c>
      <c r="D170" s="666"/>
      <c r="E170" s="21">
        <f t="shared" si="34"/>
        <v>1</v>
      </c>
      <c r="F170" s="666"/>
      <c r="G170" s="21">
        <f t="shared" si="35"/>
        <v>1</v>
      </c>
      <c r="H170" s="666"/>
      <c r="I170" s="21">
        <f t="shared" si="36"/>
        <v>1</v>
      </c>
      <c r="J170" s="666"/>
      <c r="K170" s="21">
        <f t="shared" si="37"/>
        <v>1</v>
      </c>
      <c r="L170" s="666"/>
      <c r="M170" s="21">
        <f t="shared" si="38"/>
        <v>1</v>
      </c>
      <c r="N170" s="666"/>
      <c r="O170" s="21">
        <f t="shared" si="39"/>
        <v>1</v>
      </c>
      <c r="P170" s="666"/>
      <c r="Q170" s="21">
        <f t="shared" si="40"/>
        <v>0</v>
      </c>
      <c r="R170" s="662">
        <f t="shared" si="41"/>
        <v>0</v>
      </c>
      <c r="S170" s="316">
        <f t="shared" si="32"/>
        <v>0</v>
      </c>
    </row>
    <row r="171" spans="1:19">
      <c r="A171" s="150"/>
      <c r="B171" s="54"/>
      <c r="C171" s="21">
        <f t="shared" si="33"/>
        <v>1</v>
      </c>
      <c r="D171" s="666"/>
      <c r="E171" s="21">
        <f t="shared" si="34"/>
        <v>1</v>
      </c>
      <c r="F171" s="666"/>
      <c r="G171" s="21">
        <f t="shared" si="35"/>
        <v>1</v>
      </c>
      <c r="H171" s="666"/>
      <c r="I171" s="21">
        <f t="shared" si="36"/>
        <v>1</v>
      </c>
      <c r="J171" s="666"/>
      <c r="K171" s="21">
        <f t="shared" si="37"/>
        <v>1</v>
      </c>
      <c r="L171" s="666"/>
      <c r="M171" s="21">
        <f t="shared" si="38"/>
        <v>1</v>
      </c>
      <c r="N171" s="666"/>
      <c r="O171" s="21">
        <f t="shared" si="39"/>
        <v>1</v>
      </c>
      <c r="P171" s="666"/>
      <c r="Q171" s="21">
        <f t="shared" si="40"/>
        <v>0</v>
      </c>
      <c r="R171" s="662">
        <f t="shared" si="41"/>
        <v>0</v>
      </c>
      <c r="S171" s="316">
        <f t="shared" si="32"/>
        <v>0</v>
      </c>
    </row>
    <row r="172" spans="1:19">
      <c r="A172" s="150"/>
      <c r="B172" s="54"/>
      <c r="C172" s="21">
        <f t="shared" si="33"/>
        <v>1</v>
      </c>
      <c r="D172" s="666"/>
      <c r="E172" s="21">
        <f t="shared" si="34"/>
        <v>1</v>
      </c>
      <c r="F172" s="666"/>
      <c r="G172" s="21">
        <f t="shared" si="35"/>
        <v>1</v>
      </c>
      <c r="H172" s="666"/>
      <c r="I172" s="21">
        <f t="shared" si="36"/>
        <v>1</v>
      </c>
      <c r="J172" s="666"/>
      <c r="K172" s="21">
        <f t="shared" si="37"/>
        <v>1</v>
      </c>
      <c r="L172" s="666"/>
      <c r="M172" s="21">
        <f t="shared" si="38"/>
        <v>1</v>
      </c>
      <c r="N172" s="666"/>
      <c r="O172" s="21">
        <f t="shared" si="39"/>
        <v>1</v>
      </c>
      <c r="P172" s="666"/>
      <c r="Q172" s="21">
        <f t="shared" si="40"/>
        <v>0</v>
      </c>
      <c r="R172" s="662">
        <f t="shared" si="41"/>
        <v>0</v>
      </c>
      <c r="S172" s="316">
        <f t="shared" si="32"/>
        <v>0</v>
      </c>
    </row>
    <row r="173" spans="1:19">
      <c r="A173" s="150"/>
      <c r="B173" s="54"/>
      <c r="C173" s="21">
        <f t="shared" si="33"/>
        <v>1</v>
      </c>
      <c r="D173" s="666"/>
      <c r="E173" s="21">
        <f t="shared" si="34"/>
        <v>1</v>
      </c>
      <c r="F173" s="666"/>
      <c r="G173" s="21">
        <f t="shared" si="35"/>
        <v>1</v>
      </c>
      <c r="H173" s="666"/>
      <c r="I173" s="21">
        <f t="shared" si="36"/>
        <v>1</v>
      </c>
      <c r="J173" s="666"/>
      <c r="K173" s="21">
        <f t="shared" si="37"/>
        <v>1</v>
      </c>
      <c r="L173" s="666"/>
      <c r="M173" s="21">
        <f t="shared" si="38"/>
        <v>1</v>
      </c>
      <c r="N173" s="666"/>
      <c r="O173" s="21">
        <f t="shared" si="39"/>
        <v>1</v>
      </c>
      <c r="P173" s="666"/>
      <c r="Q173" s="21">
        <f t="shared" si="40"/>
        <v>0</v>
      </c>
      <c r="R173" s="662">
        <f t="shared" si="41"/>
        <v>0</v>
      </c>
      <c r="S173" s="316">
        <f t="shared" si="32"/>
        <v>0</v>
      </c>
    </row>
    <row r="174" spans="1:19">
      <c r="A174" s="150"/>
      <c r="B174" s="54"/>
      <c r="C174" s="21">
        <f t="shared" si="33"/>
        <v>1</v>
      </c>
      <c r="D174" s="666"/>
      <c r="E174" s="21">
        <f t="shared" si="34"/>
        <v>1</v>
      </c>
      <c r="F174" s="666"/>
      <c r="G174" s="21">
        <f t="shared" si="35"/>
        <v>1</v>
      </c>
      <c r="H174" s="666"/>
      <c r="I174" s="21">
        <f t="shared" si="36"/>
        <v>1</v>
      </c>
      <c r="J174" s="666"/>
      <c r="K174" s="21">
        <f t="shared" si="37"/>
        <v>1</v>
      </c>
      <c r="L174" s="666"/>
      <c r="M174" s="21">
        <f t="shared" si="38"/>
        <v>1</v>
      </c>
      <c r="N174" s="666"/>
      <c r="O174" s="21">
        <f t="shared" si="39"/>
        <v>1</v>
      </c>
      <c r="P174" s="666"/>
      <c r="Q174" s="21">
        <f t="shared" si="40"/>
        <v>0</v>
      </c>
      <c r="R174" s="662">
        <f t="shared" si="41"/>
        <v>0</v>
      </c>
      <c r="S174" s="316">
        <f t="shared" si="32"/>
        <v>0</v>
      </c>
    </row>
    <row r="175" spans="1:19">
      <c r="A175" s="150"/>
      <c r="B175" s="54"/>
      <c r="C175" s="21">
        <f t="shared" si="33"/>
        <v>1</v>
      </c>
      <c r="D175" s="666"/>
      <c r="E175" s="21">
        <f t="shared" si="34"/>
        <v>1</v>
      </c>
      <c r="F175" s="666"/>
      <c r="G175" s="21">
        <f t="shared" si="35"/>
        <v>1</v>
      </c>
      <c r="H175" s="666"/>
      <c r="I175" s="21">
        <f t="shared" si="36"/>
        <v>1</v>
      </c>
      <c r="J175" s="666"/>
      <c r="K175" s="21">
        <f t="shared" si="37"/>
        <v>1</v>
      </c>
      <c r="L175" s="666"/>
      <c r="M175" s="21">
        <f t="shared" si="38"/>
        <v>1</v>
      </c>
      <c r="N175" s="666"/>
      <c r="O175" s="21">
        <f t="shared" si="39"/>
        <v>1</v>
      </c>
      <c r="P175" s="666"/>
      <c r="Q175" s="21">
        <f t="shared" si="40"/>
        <v>0</v>
      </c>
      <c r="R175" s="662">
        <f t="shared" si="41"/>
        <v>0</v>
      </c>
      <c r="S175" s="316">
        <f t="shared" si="32"/>
        <v>0</v>
      </c>
    </row>
    <row r="176" spans="1:19">
      <c r="A176" s="150"/>
      <c r="B176" s="54"/>
      <c r="C176" s="21">
        <f t="shared" si="33"/>
        <v>1</v>
      </c>
      <c r="D176" s="666"/>
      <c r="E176" s="21">
        <f t="shared" si="34"/>
        <v>1</v>
      </c>
      <c r="F176" s="666"/>
      <c r="G176" s="21">
        <f t="shared" si="35"/>
        <v>1</v>
      </c>
      <c r="H176" s="666"/>
      <c r="I176" s="21">
        <f t="shared" si="36"/>
        <v>1</v>
      </c>
      <c r="J176" s="666"/>
      <c r="K176" s="21">
        <f t="shared" si="37"/>
        <v>1</v>
      </c>
      <c r="L176" s="666"/>
      <c r="M176" s="21">
        <f t="shared" si="38"/>
        <v>1</v>
      </c>
      <c r="N176" s="666"/>
      <c r="O176" s="21">
        <f t="shared" si="39"/>
        <v>1</v>
      </c>
      <c r="P176" s="666"/>
      <c r="Q176" s="21">
        <f t="shared" si="40"/>
        <v>0</v>
      </c>
      <c r="R176" s="662">
        <f t="shared" si="41"/>
        <v>0</v>
      </c>
      <c r="S176" s="316">
        <f t="shared" si="32"/>
        <v>0</v>
      </c>
    </row>
    <row r="177" spans="1:19">
      <c r="A177" s="150"/>
      <c r="B177" s="54"/>
      <c r="C177" s="21">
        <f t="shared" si="33"/>
        <v>1</v>
      </c>
      <c r="D177" s="666"/>
      <c r="E177" s="21">
        <f t="shared" si="34"/>
        <v>1</v>
      </c>
      <c r="F177" s="666"/>
      <c r="G177" s="21">
        <f t="shared" si="35"/>
        <v>1</v>
      </c>
      <c r="H177" s="666"/>
      <c r="I177" s="21">
        <f t="shared" si="36"/>
        <v>1</v>
      </c>
      <c r="J177" s="666"/>
      <c r="K177" s="21">
        <f t="shared" si="37"/>
        <v>1</v>
      </c>
      <c r="L177" s="666"/>
      <c r="M177" s="21">
        <f t="shared" si="38"/>
        <v>1</v>
      </c>
      <c r="N177" s="666"/>
      <c r="O177" s="21">
        <f t="shared" si="39"/>
        <v>1</v>
      </c>
      <c r="P177" s="666"/>
      <c r="Q177" s="21">
        <f t="shared" si="40"/>
        <v>0</v>
      </c>
      <c r="R177" s="662">
        <f t="shared" si="41"/>
        <v>0</v>
      </c>
      <c r="S177" s="316">
        <f t="shared" si="32"/>
        <v>0</v>
      </c>
    </row>
    <row r="178" spans="1:19">
      <c r="A178" s="150"/>
      <c r="B178" s="54"/>
      <c r="C178" s="21">
        <f t="shared" si="33"/>
        <v>1</v>
      </c>
      <c r="D178" s="666"/>
      <c r="E178" s="21">
        <f t="shared" si="34"/>
        <v>1</v>
      </c>
      <c r="F178" s="666"/>
      <c r="G178" s="21">
        <f t="shared" si="35"/>
        <v>1</v>
      </c>
      <c r="H178" s="666"/>
      <c r="I178" s="21">
        <f t="shared" si="36"/>
        <v>1</v>
      </c>
      <c r="J178" s="666"/>
      <c r="K178" s="21">
        <f t="shared" si="37"/>
        <v>1</v>
      </c>
      <c r="L178" s="666"/>
      <c r="M178" s="21">
        <f t="shared" si="38"/>
        <v>1</v>
      </c>
      <c r="N178" s="666"/>
      <c r="O178" s="21">
        <f t="shared" si="39"/>
        <v>1</v>
      </c>
      <c r="P178" s="666"/>
      <c r="Q178" s="21">
        <f t="shared" si="40"/>
        <v>0</v>
      </c>
      <c r="R178" s="662">
        <f t="shared" si="41"/>
        <v>0</v>
      </c>
      <c r="S178" s="316">
        <f t="shared" si="32"/>
        <v>0</v>
      </c>
    </row>
    <row r="179" spans="1:19">
      <c r="A179" s="150"/>
      <c r="B179" s="54"/>
      <c r="C179" s="21">
        <f t="shared" si="33"/>
        <v>1</v>
      </c>
      <c r="D179" s="666"/>
      <c r="E179" s="21">
        <f t="shared" si="34"/>
        <v>1</v>
      </c>
      <c r="F179" s="666"/>
      <c r="G179" s="21">
        <f t="shared" si="35"/>
        <v>1</v>
      </c>
      <c r="H179" s="666"/>
      <c r="I179" s="21">
        <f t="shared" si="36"/>
        <v>1</v>
      </c>
      <c r="J179" s="666"/>
      <c r="K179" s="21">
        <f t="shared" si="37"/>
        <v>1</v>
      </c>
      <c r="L179" s="666"/>
      <c r="M179" s="21">
        <f t="shared" si="38"/>
        <v>1</v>
      </c>
      <c r="N179" s="666"/>
      <c r="O179" s="21">
        <f t="shared" si="39"/>
        <v>1</v>
      </c>
      <c r="P179" s="666"/>
      <c r="Q179" s="21">
        <f t="shared" si="40"/>
        <v>0</v>
      </c>
      <c r="R179" s="662">
        <f t="shared" si="41"/>
        <v>0</v>
      </c>
      <c r="S179" s="316">
        <f t="shared" si="32"/>
        <v>0</v>
      </c>
    </row>
    <row r="180" spans="1:19">
      <c r="A180" s="150"/>
      <c r="B180" s="54"/>
      <c r="C180" s="21">
        <f t="shared" si="33"/>
        <v>1</v>
      </c>
      <c r="D180" s="666"/>
      <c r="E180" s="21">
        <f t="shared" si="34"/>
        <v>1</v>
      </c>
      <c r="F180" s="666"/>
      <c r="G180" s="21">
        <f t="shared" si="35"/>
        <v>1</v>
      </c>
      <c r="H180" s="666"/>
      <c r="I180" s="21">
        <f t="shared" si="36"/>
        <v>1</v>
      </c>
      <c r="J180" s="666"/>
      <c r="K180" s="21">
        <f t="shared" si="37"/>
        <v>1</v>
      </c>
      <c r="L180" s="666"/>
      <c r="M180" s="21">
        <f t="shared" si="38"/>
        <v>1</v>
      </c>
      <c r="N180" s="666"/>
      <c r="O180" s="21">
        <f t="shared" si="39"/>
        <v>1</v>
      </c>
      <c r="P180" s="666"/>
      <c r="Q180" s="21">
        <f t="shared" si="40"/>
        <v>0</v>
      </c>
      <c r="R180" s="662">
        <f t="shared" si="41"/>
        <v>0</v>
      </c>
      <c r="S180" s="316">
        <f t="shared" si="32"/>
        <v>0</v>
      </c>
    </row>
    <row r="181" spans="1:19">
      <c r="A181" s="150"/>
      <c r="B181" s="54"/>
      <c r="C181" s="21">
        <f t="shared" si="33"/>
        <v>1</v>
      </c>
      <c r="D181" s="666"/>
      <c r="E181" s="21">
        <f t="shared" si="34"/>
        <v>1</v>
      </c>
      <c r="F181" s="666"/>
      <c r="G181" s="21">
        <f t="shared" si="35"/>
        <v>1</v>
      </c>
      <c r="H181" s="666"/>
      <c r="I181" s="21">
        <f t="shared" si="36"/>
        <v>1</v>
      </c>
      <c r="J181" s="666"/>
      <c r="K181" s="21">
        <f t="shared" si="37"/>
        <v>1</v>
      </c>
      <c r="L181" s="666"/>
      <c r="M181" s="21">
        <f t="shared" si="38"/>
        <v>1</v>
      </c>
      <c r="N181" s="666"/>
      <c r="O181" s="21">
        <f t="shared" si="39"/>
        <v>1</v>
      </c>
      <c r="P181" s="666"/>
      <c r="Q181" s="21">
        <f t="shared" si="40"/>
        <v>0</v>
      </c>
      <c r="R181" s="662">
        <f t="shared" si="41"/>
        <v>0</v>
      </c>
      <c r="S181" s="316">
        <f t="shared" si="32"/>
        <v>0</v>
      </c>
    </row>
    <row r="182" spans="1:19">
      <c r="A182" s="150"/>
      <c r="B182" s="54"/>
      <c r="C182" s="21">
        <f t="shared" si="33"/>
        <v>1</v>
      </c>
      <c r="D182" s="666"/>
      <c r="E182" s="21">
        <f t="shared" si="34"/>
        <v>1</v>
      </c>
      <c r="F182" s="666"/>
      <c r="G182" s="21">
        <f t="shared" si="35"/>
        <v>1</v>
      </c>
      <c r="H182" s="666"/>
      <c r="I182" s="21">
        <f t="shared" si="36"/>
        <v>1</v>
      </c>
      <c r="J182" s="666"/>
      <c r="K182" s="21">
        <f t="shared" si="37"/>
        <v>1</v>
      </c>
      <c r="L182" s="666"/>
      <c r="M182" s="21">
        <f t="shared" si="38"/>
        <v>1</v>
      </c>
      <c r="N182" s="666"/>
      <c r="O182" s="21">
        <f t="shared" si="39"/>
        <v>1</v>
      </c>
      <c r="P182" s="666"/>
      <c r="Q182" s="21">
        <f t="shared" si="40"/>
        <v>0</v>
      </c>
      <c r="R182" s="662">
        <f t="shared" si="41"/>
        <v>0</v>
      </c>
      <c r="S182" s="316">
        <f t="shared" si="32"/>
        <v>0</v>
      </c>
    </row>
    <row r="183" spans="1:19">
      <c r="A183" s="150"/>
      <c r="B183" s="54"/>
      <c r="C183" s="21">
        <f t="shared" si="33"/>
        <v>1</v>
      </c>
      <c r="D183" s="666"/>
      <c r="E183" s="21">
        <f t="shared" si="34"/>
        <v>1</v>
      </c>
      <c r="F183" s="666"/>
      <c r="G183" s="21">
        <f t="shared" si="35"/>
        <v>1</v>
      </c>
      <c r="H183" s="666"/>
      <c r="I183" s="21">
        <f t="shared" si="36"/>
        <v>1</v>
      </c>
      <c r="J183" s="666"/>
      <c r="K183" s="21">
        <f t="shared" si="37"/>
        <v>1</v>
      </c>
      <c r="L183" s="666"/>
      <c r="M183" s="21">
        <f t="shared" si="38"/>
        <v>1</v>
      </c>
      <c r="N183" s="666"/>
      <c r="O183" s="21">
        <f t="shared" si="39"/>
        <v>1</v>
      </c>
      <c r="P183" s="666"/>
      <c r="Q183" s="21">
        <f t="shared" si="40"/>
        <v>0</v>
      </c>
      <c r="R183" s="662">
        <f t="shared" si="41"/>
        <v>0</v>
      </c>
      <c r="S183" s="316">
        <f t="shared" si="32"/>
        <v>0</v>
      </c>
    </row>
    <row r="184" spans="1:19">
      <c r="A184" s="150"/>
      <c r="B184" s="54"/>
      <c r="C184" s="21">
        <f t="shared" si="33"/>
        <v>1</v>
      </c>
      <c r="D184" s="666"/>
      <c r="E184" s="21">
        <f t="shared" si="34"/>
        <v>1</v>
      </c>
      <c r="F184" s="666"/>
      <c r="G184" s="21">
        <f t="shared" si="35"/>
        <v>1</v>
      </c>
      <c r="H184" s="666"/>
      <c r="I184" s="21">
        <f t="shared" si="36"/>
        <v>1</v>
      </c>
      <c r="J184" s="666"/>
      <c r="K184" s="21">
        <f t="shared" si="37"/>
        <v>1</v>
      </c>
      <c r="L184" s="666"/>
      <c r="M184" s="21">
        <f t="shared" si="38"/>
        <v>1</v>
      </c>
      <c r="N184" s="666"/>
      <c r="O184" s="21">
        <f t="shared" si="39"/>
        <v>1</v>
      </c>
      <c r="P184" s="666"/>
      <c r="Q184" s="21">
        <f t="shared" si="40"/>
        <v>0</v>
      </c>
      <c r="R184" s="662">
        <f t="shared" si="41"/>
        <v>0</v>
      </c>
      <c r="S184" s="316">
        <f t="shared" si="32"/>
        <v>0</v>
      </c>
    </row>
    <row r="185" spans="1:19">
      <c r="A185" s="150"/>
      <c r="B185" s="54"/>
      <c r="C185" s="21">
        <f t="shared" si="33"/>
        <v>1</v>
      </c>
      <c r="D185" s="666"/>
      <c r="E185" s="21">
        <f t="shared" si="34"/>
        <v>1</v>
      </c>
      <c r="F185" s="666"/>
      <c r="G185" s="21">
        <f t="shared" si="35"/>
        <v>1</v>
      </c>
      <c r="H185" s="666"/>
      <c r="I185" s="21">
        <f t="shared" si="36"/>
        <v>1</v>
      </c>
      <c r="J185" s="666"/>
      <c r="K185" s="21">
        <f t="shared" si="37"/>
        <v>1</v>
      </c>
      <c r="L185" s="666"/>
      <c r="M185" s="21">
        <f t="shared" si="38"/>
        <v>1</v>
      </c>
      <c r="N185" s="666"/>
      <c r="O185" s="21">
        <f t="shared" si="39"/>
        <v>1</v>
      </c>
      <c r="P185" s="666"/>
      <c r="Q185" s="21">
        <f t="shared" si="40"/>
        <v>0</v>
      </c>
      <c r="R185" s="662">
        <f t="shared" si="41"/>
        <v>0</v>
      </c>
      <c r="S185" s="316">
        <f t="shared" si="32"/>
        <v>0</v>
      </c>
    </row>
    <row r="186" spans="1:19">
      <c r="A186" s="150"/>
      <c r="B186" s="54"/>
      <c r="C186" s="21">
        <f t="shared" si="33"/>
        <v>1</v>
      </c>
      <c r="D186" s="666"/>
      <c r="E186" s="21">
        <f t="shared" si="34"/>
        <v>1</v>
      </c>
      <c r="F186" s="666"/>
      <c r="G186" s="21">
        <f t="shared" si="35"/>
        <v>1</v>
      </c>
      <c r="H186" s="666"/>
      <c r="I186" s="21">
        <f t="shared" si="36"/>
        <v>1</v>
      </c>
      <c r="J186" s="666"/>
      <c r="K186" s="21">
        <f t="shared" si="37"/>
        <v>1</v>
      </c>
      <c r="L186" s="666"/>
      <c r="M186" s="21">
        <f t="shared" si="38"/>
        <v>1</v>
      </c>
      <c r="N186" s="666"/>
      <c r="O186" s="21">
        <f t="shared" si="39"/>
        <v>1</v>
      </c>
      <c r="P186" s="666"/>
      <c r="Q186" s="21">
        <f t="shared" si="40"/>
        <v>0</v>
      </c>
      <c r="R186" s="662">
        <f t="shared" si="41"/>
        <v>0</v>
      </c>
      <c r="S186" s="316">
        <f t="shared" si="32"/>
        <v>0</v>
      </c>
    </row>
    <row r="187" spans="1:19">
      <c r="A187" s="150"/>
      <c r="B187" s="54"/>
      <c r="C187" s="21">
        <f t="shared" si="33"/>
        <v>1</v>
      </c>
      <c r="D187" s="666"/>
      <c r="E187" s="21">
        <f t="shared" si="34"/>
        <v>1</v>
      </c>
      <c r="F187" s="666"/>
      <c r="G187" s="21">
        <f t="shared" si="35"/>
        <v>1</v>
      </c>
      <c r="H187" s="666"/>
      <c r="I187" s="21">
        <f t="shared" si="36"/>
        <v>1</v>
      </c>
      <c r="J187" s="666"/>
      <c r="K187" s="21">
        <f t="shared" si="37"/>
        <v>1</v>
      </c>
      <c r="L187" s="666"/>
      <c r="M187" s="21">
        <f t="shared" si="38"/>
        <v>1</v>
      </c>
      <c r="N187" s="666"/>
      <c r="O187" s="21">
        <f t="shared" si="39"/>
        <v>1</v>
      </c>
      <c r="P187" s="666"/>
      <c r="Q187" s="21">
        <f t="shared" si="40"/>
        <v>0</v>
      </c>
      <c r="R187" s="662">
        <f t="shared" si="41"/>
        <v>0</v>
      </c>
      <c r="S187" s="316">
        <f t="shared" ref="S187:S222" si="42">ROUND(R187*B187/10000,0)</f>
        <v>0</v>
      </c>
    </row>
    <row r="188" spans="1:19">
      <c r="A188" s="150"/>
      <c r="B188" s="54"/>
      <c r="C188" s="21">
        <f t="shared" si="33"/>
        <v>1</v>
      </c>
      <c r="D188" s="666"/>
      <c r="E188" s="21">
        <f t="shared" si="34"/>
        <v>1</v>
      </c>
      <c r="F188" s="666"/>
      <c r="G188" s="21">
        <f t="shared" si="35"/>
        <v>1</v>
      </c>
      <c r="H188" s="666"/>
      <c r="I188" s="21">
        <f t="shared" si="36"/>
        <v>1</v>
      </c>
      <c r="J188" s="666"/>
      <c r="K188" s="21">
        <f t="shared" si="37"/>
        <v>1</v>
      </c>
      <c r="L188" s="666"/>
      <c r="M188" s="21">
        <f t="shared" si="38"/>
        <v>1</v>
      </c>
      <c r="N188" s="666"/>
      <c r="O188" s="21">
        <f t="shared" si="39"/>
        <v>1</v>
      </c>
      <c r="P188" s="666"/>
      <c r="Q188" s="21">
        <f t="shared" si="40"/>
        <v>0</v>
      </c>
      <c r="R188" s="662">
        <f t="shared" si="41"/>
        <v>0</v>
      </c>
      <c r="S188" s="316">
        <f t="shared" si="42"/>
        <v>0</v>
      </c>
    </row>
    <row r="189" spans="1:19">
      <c r="A189" s="150"/>
      <c r="B189" s="54"/>
      <c r="C189" s="21">
        <f t="shared" si="33"/>
        <v>1</v>
      </c>
      <c r="D189" s="666"/>
      <c r="E189" s="21">
        <f t="shared" si="34"/>
        <v>1</v>
      </c>
      <c r="F189" s="666"/>
      <c r="G189" s="21">
        <f t="shared" si="35"/>
        <v>1</v>
      </c>
      <c r="H189" s="666"/>
      <c r="I189" s="21">
        <f t="shared" si="36"/>
        <v>1</v>
      </c>
      <c r="J189" s="666"/>
      <c r="K189" s="21">
        <f t="shared" si="37"/>
        <v>1</v>
      </c>
      <c r="L189" s="666"/>
      <c r="M189" s="21">
        <f t="shared" si="38"/>
        <v>1</v>
      </c>
      <c r="N189" s="666"/>
      <c r="O189" s="21">
        <f t="shared" si="39"/>
        <v>1</v>
      </c>
      <c r="P189" s="666"/>
      <c r="Q189" s="21">
        <f t="shared" si="40"/>
        <v>0</v>
      </c>
      <c r="R189" s="662">
        <f t="shared" si="41"/>
        <v>0</v>
      </c>
      <c r="S189" s="316">
        <f t="shared" si="42"/>
        <v>0</v>
      </c>
    </row>
    <row r="190" spans="1:19">
      <c r="A190" s="150"/>
      <c r="B190" s="54"/>
      <c r="C190" s="21">
        <f t="shared" si="33"/>
        <v>1</v>
      </c>
      <c r="D190" s="666"/>
      <c r="E190" s="21">
        <f t="shared" si="34"/>
        <v>1</v>
      </c>
      <c r="F190" s="666"/>
      <c r="G190" s="21">
        <f t="shared" si="35"/>
        <v>1</v>
      </c>
      <c r="H190" s="666"/>
      <c r="I190" s="21">
        <f t="shared" si="36"/>
        <v>1</v>
      </c>
      <c r="J190" s="666"/>
      <c r="K190" s="21">
        <f t="shared" si="37"/>
        <v>1</v>
      </c>
      <c r="L190" s="666"/>
      <c r="M190" s="21">
        <f t="shared" si="38"/>
        <v>1</v>
      </c>
      <c r="N190" s="666"/>
      <c r="O190" s="21">
        <f t="shared" si="39"/>
        <v>1</v>
      </c>
      <c r="P190" s="666"/>
      <c r="Q190" s="21">
        <f t="shared" si="40"/>
        <v>0</v>
      </c>
      <c r="R190" s="662">
        <f t="shared" si="41"/>
        <v>0</v>
      </c>
      <c r="S190" s="316">
        <f t="shared" si="42"/>
        <v>0</v>
      </c>
    </row>
    <row r="191" spans="1:19">
      <c r="A191" s="150"/>
      <c r="B191" s="54"/>
      <c r="C191" s="21">
        <f t="shared" si="33"/>
        <v>1</v>
      </c>
      <c r="D191" s="666"/>
      <c r="E191" s="21">
        <f t="shared" si="34"/>
        <v>1</v>
      </c>
      <c r="F191" s="666"/>
      <c r="G191" s="21">
        <f t="shared" si="35"/>
        <v>1</v>
      </c>
      <c r="H191" s="666"/>
      <c r="I191" s="21">
        <f t="shared" si="36"/>
        <v>1</v>
      </c>
      <c r="J191" s="666"/>
      <c r="K191" s="21">
        <f t="shared" si="37"/>
        <v>1</v>
      </c>
      <c r="L191" s="666"/>
      <c r="M191" s="21">
        <f t="shared" si="38"/>
        <v>1</v>
      </c>
      <c r="N191" s="666"/>
      <c r="O191" s="21">
        <f t="shared" si="39"/>
        <v>1</v>
      </c>
      <c r="P191" s="666"/>
      <c r="Q191" s="21">
        <f t="shared" si="40"/>
        <v>0</v>
      </c>
      <c r="R191" s="662">
        <f t="shared" si="41"/>
        <v>0</v>
      </c>
      <c r="S191" s="316">
        <f t="shared" si="42"/>
        <v>0</v>
      </c>
    </row>
    <row r="192" spans="1:19">
      <c r="A192" s="150"/>
      <c r="B192" s="54"/>
      <c r="C192" s="21">
        <f t="shared" si="33"/>
        <v>1</v>
      </c>
      <c r="D192" s="666"/>
      <c r="E192" s="21">
        <f t="shared" si="34"/>
        <v>1</v>
      </c>
      <c r="F192" s="666"/>
      <c r="G192" s="21">
        <f t="shared" si="35"/>
        <v>1</v>
      </c>
      <c r="H192" s="666"/>
      <c r="I192" s="21">
        <f t="shared" si="36"/>
        <v>1</v>
      </c>
      <c r="J192" s="666"/>
      <c r="K192" s="21">
        <f t="shared" si="37"/>
        <v>1</v>
      </c>
      <c r="L192" s="666"/>
      <c r="M192" s="21">
        <f t="shared" si="38"/>
        <v>1</v>
      </c>
      <c r="N192" s="666"/>
      <c r="O192" s="21">
        <f t="shared" si="39"/>
        <v>1</v>
      </c>
      <c r="P192" s="666"/>
      <c r="Q192" s="21">
        <f t="shared" si="40"/>
        <v>0</v>
      </c>
      <c r="R192" s="662">
        <f t="shared" si="41"/>
        <v>0</v>
      </c>
      <c r="S192" s="316">
        <f t="shared" si="42"/>
        <v>0</v>
      </c>
    </row>
    <row r="193" spans="1:19">
      <c r="A193" s="150"/>
      <c r="B193" s="54"/>
      <c r="C193" s="21">
        <f t="shared" si="33"/>
        <v>1</v>
      </c>
      <c r="D193" s="666"/>
      <c r="E193" s="21">
        <f t="shared" si="34"/>
        <v>1</v>
      </c>
      <c r="F193" s="666"/>
      <c r="G193" s="21">
        <f t="shared" si="35"/>
        <v>1</v>
      </c>
      <c r="H193" s="666"/>
      <c r="I193" s="21">
        <f t="shared" si="36"/>
        <v>1</v>
      </c>
      <c r="J193" s="666"/>
      <c r="K193" s="21">
        <f t="shared" si="37"/>
        <v>1</v>
      </c>
      <c r="L193" s="666"/>
      <c r="M193" s="21">
        <f t="shared" si="38"/>
        <v>1</v>
      </c>
      <c r="N193" s="666"/>
      <c r="O193" s="21">
        <f t="shared" si="39"/>
        <v>1</v>
      </c>
      <c r="P193" s="666"/>
      <c r="Q193" s="21">
        <f t="shared" si="40"/>
        <v>0</v>
      </c>
      <c r="R193" s="662">
        <f t="shared" si="41"/>
        <v>0</v>
      </c>
      <c r="S193" s="316">
        <f t="shared" si="42"/>
        <v>0</v>
      </c>
    </row>
    <row r="194" spans="1:19">
      <c r="A194" s="150"/>
      <c r="B194" s="54"/>
      <c r="C194" s="21">
        <f t="shared" si="33"/>
        <v>1</v>
      </c>
      <c r="D194" s="666"/>
      <c r="E194" s="21">
        <f t="shared" si="34"/>
        <v>1</v>
      </c>
      <c r="F194" s="666"/>
      <c r="G194" s="21">
        <f t="shared" si="35"/>
        <v>1</v>
      </c>
      <c r="H194" s="666"/>
      <c r="I194" s="21">
        <f t="shared" si="36"/>
        <v>1</v>
      </c>
      <c r="J194" s="666"/>
      <c r="K194" s="21">
        <f t="shared" si="37"/>
        <v>1</v>
      </c>
      <c r="L194" s="666"/>
      <c r="M194" s="21">
        <f t="shared" si="38"/>
        <v>1</v>
      </c>
      <c r="N194" s="666"/>
      <c r="O194" s="21">
        <f t="shared" si="39"/>
        <v>1</v>
      </c>
      <c r="P194" s="666"/>
      <c r="Q194" s="21">
        <f t="shared" si="40"/>
        <v>0</v>
      </c>
      <c r="R194" s="662">
        <f t="shared" si="41"/>
        <v>0</v>
      </c>
      <c r="S194" s="316">
        <f t="shared" si="42"/>
        <v>0</v>
      </c>
    </row>
    <row r="195" spans="1:19">
      <c r="A195" s="150"/>
      <c r="B195" s="54"/>
      <c r="C195" s="21">
        <f t="shared" si="33"/>
        <v>1</v>
      </c>
      <c r="D195" s="666"/>
      <c r="E195" s="21">
        <f t="shared" si="34"/>
        <v>1</v>
      </c>
      <c r="F195" s="666"/>
      <c r="G195" s="21">
        <f t="shared" si="35"/>
        <v>1</v>
      </c>
      <c r="H195" s="666"/>
      <c r="I195" s="21">
        <f t="shared" si="36"/>
        <v>1</v>
      </c>
      <c r="J195" s="666"/>
      <c r="K195" s="21">
        <f t="shared" si="37"/>
        <v>1</v>
      </c>
      <c r="L195" s="666"/>
      <c r="M195" s="21">
        <f t="shared" si="38"/>
        <v>1</v>
      </c>
      <c r="N195" s="666"/>
      <c r="O195" s="21">
        <f t="shared" si="39"/>
        <v>1</v>
      </c>
      <c r="P195" s="666"/>
      <c r="Q195" s="21">
        <f t="shared" si="40"/>
        <v>0</v>
      </c>
      <c r="R195" s="662">
        <f t="shared" si="41"/>
        <v>0</v>
      </c>
      <c r="S195" s="316">
        <f t="shared" si="42"/>
        <v>0</v>
      </c>
    </row>
    <row r="196" spans="1:19">
      <c r="A196" s="150"/>
      <c r="B196" s="54"/>
      <c r="C196" s="21">
        <f t="shared" si="33"/>
        <v>1</v>
      </c>
      <c r="D196" s="666"/>
      <c r="E196" s="21">
        <f t="shared" si="34"/>
        <v>1</v>
      </c>
      <c r="F196" s="666"/>
      <c r="G196" s="21">
        <f t="shared" si="35"/>
        <v>1</v>
      </c>
      <c r="H196" s="666"/>
      <c r="I196" s="21">
        <f t="shared" si="36"/>
        <v>1</v>
      </c>
      <c r="J196" s="666"/>
      <c r="K196" s="21">
        <f t="shared" si="37"/>
        <v>1</v>
      </c>
      <c r="L196" s="666"/>
      <c r="M196" s="21">
        <f t="shared" si="38"/>
        <v>1</v>
      </c>
      <c r="N196" s="666"/>
      <c r="O196" s="21">
        <f t="shared" si="39"/>
        <v>1</v>
      </c>
      <c r="P196" s="666"/>
      <c r="Q196" s="21">
        <f t="shared" si="40"/>
        <v>0</v>
      </c>
      <c r="R196" s="662">
        <f t="shared" si="41"/>
        <v>0</v>
      </c>
      <c r="S196" s="316">
        <f t="shared" si="42"/>
        <v>0</v>
      </c>
    </row>
    <row r="197" spans="1:19">
      <c r="A197" s="150"/>
      <c r="B197" s="54"/>
      <c r="C197" s="21">
        <f t="shared" si="33"/>
        <v>1</v>
      </c>
      <c r="D197" s="666"/>
      <c r="E197" s="21">
        <f t="shared" si="34"/>
        <v>1</v>
      </c>
      <c r="F197" s="666"/>
      <c r="G197" s="21">
        <f t="shared" si="35"/>
        <v>1</v>
      </c>
      <c r="H197" s="666"/>
      <c r="I197" s="21">
        <f t="shared" si="36"/>
        <v>1</v>
      </c>
      <c r="J197" s="666"/>
      <c r="K197" s="21">
        <f t="shared" si="37"/>
        <v>1</v>
      </c>
      <c r="L197" s="666"/>
      <c r="M197" s="21">
        <f t="shared" si="38"/>
        <v>1</v>
      </c>
      <c r="N197" s="666"/>
      <c r="O197" s="21">
        <f t="shared" si="39"/>
        <v>1</v>
      </c>
      <c r="P197" s="666"/>
      <c r="Q197" s="21">
        <f t="shared" si="40"/>
        <v>0</v>
      </c>
      <c r="R197" s="662">
        <f t="shared" si="41"/>
        <v>0</v>
      </c>
      <c r="S197" s="316">
        <f t="shared" si="42"/>
        <v>0</v>
      </c>
    </row>
    <row r="198" spans="1:19">
      <c r="A198" s="150"/>
      <c r="B198" s="54"/>
      <c r="C198" s="21">
        <f t="shared" si="33"/>
        <v>1</v>
      </c>
      <c r="D198" s="666"/>
      <c r="E198" s="21">
        <f t="shared" si="34"/>
        <v>1</v>
      </c>
      <c r="F198" s="666"/>
      <c r="G198" s="21">
        <f t="shared" si="35"/>
        <v>1</v>
      </c>
      <c r="H198" s="666"/>
      <c r="I198" s="21">
        <f t="shared" si="36"/>
        <v>1</v>
      </c>
      <c r="J198" s="666"/>
      <c r="K198" s="21">
        <f t="shared" si="37"/>
        <v>1</v>
      </c>
      <c r="L198" s="666"/>
      <c r="M198" s="21">
        <f t="shared" si="38"/>
        <v>1</v>
      </c>
      <c r="N198" s="666"/>
      <c r="O198" s="21">
        <f t="shared" si="39"/>
        <v>1</v>
      </c>
      <c r="P198" s="666"/>
      <c r="Q198" s="21">
        <f t="shared" si="40"/>
        <v>0</v>
      </c>
      <c r="R198" s="662">
        <f t="shared" si="41"/>
        <v>0</v>
      </c>
      <c r="S198" s="316">
        <f t="shared" si="42"/>
        <v>0</v>
      </c>
    </row>
    <row r="199" spans="1:19">
      <c r="A199" s="150"/>
      <c r="B199" s="54"/>
      <c r="C199" s="21">
        <f t="shared" si="33"/>
        <v>1</v>
      </c>
      <c r="D199" s="666"/>
      <c r="E199" s="21">
        <f t="shared" si="34"/>
        <v>1</v>
      </c>
      <c r="F199" s="666"/>
      <c r="G199" s="21">
        <f t="shared" si="35"/>
        <v>1</v>
      </c>
      <c r="H199" s="666"/>
      <c r="I199" s="21">
        <f t="shared" si="36"/>
        <v>1</v>
      </c>
      <c r="J199" s="666"/>
      <c r="K199" s="21">
        <f t="shared" si="37"/>
        <v>1</v>
      </c>
      <c r="L199" s="666"/>
      <c r="M199" s="21">
        <f t="shared" si="38"/>
        <v>1</v>
      </c>
      <c r="N199" s="666"/>
      <c r="O199" s="21">
        <f t="shared" si="39"/>
        <v>1</v>
      </c>
      <c r="P199" s="666"/>
      <c r="Q199" s="21">
        <f t="shared" si="40"/>
        <v>0</v>
      </c>
      <c r="R199" s="662">
        <f t="shared" si="41"/>
        <v>0</v>
      </c>
      <c r="S199" s="316">
        <f t="shared" si="42"/>
        <v>0</v>
      </c>
    </row>
    <row r="200" spans="1:19">
      <c r="A200" s="150"/>
      <c r="B200" s="54"/>
      <c r="C200" s="21">
        <f t="shared" si="33"/>
        <v>1</v>
      </c>
      <c r="D200" s="666"/>
      <c r="E200" s="21">
        <f t="shared" si="34"/>
        <v>1</v>
      </c>
      <c r="F200" s="666"/>
      <c r="G200" s="21">
        <f t="shared" si="35"/>
        <v>1</v>
      </c>
      <c r="H200" s="666"/>
      <c r="I200" s="21">
        <f t="shared" si="36"/>
        <v>1</v>
      </c>
      <c r="J200" s="666"/>
      <c r="K200" s="21">
        <f t="shared" si="37"/>
        <v>1</v>
      </c>
      <c r="L200" s="666"/>
      <c r="M200" s="21">
        <f t="shared" si="38"/>
        <v>1</v>
      </c>
      <c r="N200" s="666"/>
      <c r="O200" s="21">
        <f t="shared" si="39"/>
        <v>1</v>
      </c>
      <c r="P200" s="666"/>
      <c r="Q200" s="21">
        <f t="shared" si="40"/>
        <v>0</v>
      </c>
      <c r="R200" s="662">
        <f t="shared" si="41"/>
        <v>0</v>
      </c>
      <c r="S200" s="316">
        <f t="shared" si="42"/>
        <v>0</v>
      </c>
    </row>
    <row r="201" spans="1:19">
      <c r="A201" s="150"/>
      <c r="B201" s="54"/>
      <c r="C201" s="21">
        <f t="shared" si="33"/>
        <v>1</v>
      </c>
      <c r="D201" s="666"/>
      <c r="E201" s="21">
        <f t="shared" si="34"/>
        <v>1</v>
      </c>
      <c r="F201" s="666"/>
      <c r="G201" s="21">
        <f t="shared" si="35"/>
        <v>1</v>
      </c>
      <c r="H201" s="666"/>
      <c r="I201" s="21">
        <f t="shared" si="36"/>
        <v>1</v>
      </c>
      <c r="J201" s="666"/>
      <c r="K201" s="21">
        <f t="shared" si="37"/>
        <v>1</v>
      </c>
      <c r="L201" s="666"/>
      <c r="M201" s="21">
        <f t="shared" si="38"/>
        <v>1</v>
      </c>
      <c r="N201" s="666"/>
      <c r="O201" s="21">
        <f t="shared" si="39"/>
        <v>1</v>
      </c>
      <c r="P201" s="666"/>
      <c r="Q201" s="21">
        <f t="shared" si="40"/>
        <v>0</v>
      </c>
      <c r="R201" s="662">
        <f t="shared" si="41"/>
        <v>0</v>
      </c>
      <c r="S201" s="316">
        <f t="shared" si="42"/>
        <v>0</v>
      </c>
    </row>
    <row r="202" spans="1:19">
      <c r="A202" s="150"/>
      <c r="B202" s="54"/>
      <c r="C202" s="21">
        <f t="shared" si="33"/>
        <v>1</v>
      </c>
      <c r="D202" s="666"/>
      <c r="E202" s="21">
        <f t="shared" si="34"/>
        <v>1</v>
      </c>
      <c r="F202" s="666"/>
      <c r="G202" s="21">
        <f t="shared" si="35"/>
        <v>1</v>
      </c>
      <c r="H202" s="666"/>
      <c r="I202" s="21">
        <f t="shared" si="36"/>
        <v>1</v>
      </c>
      <c r="J202" s="666"/>
      <c r="K202" s="21">
        <f t="shared" si="37"/>
        <v>1</v>
      </c>
      <c r="L202" s="666"/>
      <c r="M202" s="21">
        <f t="shared" si="38"/>
        <v>1</v>
      </c>
      <c r="N202" s="666"/>
      <c r="O202" s="21">
        <f t="shared" si="39"/>
        <v>1</v>
      </c>
      <c r="P202" s="666"/>
      <c r="Q202" s="21">
        <f t="shared" si="40"/>
        <v>0</v>
      </c>
      <c r="R202" s="662">
        <f t="shared" si="41"/>
        <v>0</v>
      </c>
      <c r="S202" s="316">
        <f t="shared" si="42"/>
        <v>0</v>
      </c>
    </row>
    <row r="203" spans="1:19">
      <c r="A203" s="150"/>
      <c r="B203" s="54"/>
      <c r="C203" s="21">
        <f t="shared" si="33"/>
        <v>1</v>
      </c>
      <c r="D203" s="666"/>
      <c r="E203" s="21">
        <f t="shared" si="34"/>
        <v>1</v>
      </c>
      <c r="F203" s="666"/>
      <c r="G203" s="21">
        <f t="shared" si="35"/>
        <v>1</v>
      </c>
      <c r="H203" s="666"/>
      <c r="I203" s="21">
        <f t="shared" si="36"/>
        <v>1</v>
      </c>
      <c r="J203" s="666"/>
      <c r="K203" s="21">
        <f t="shared" si="37"/>
        <v>1</v>
      </c>
      <c r="L203" s="666"/>
      <c r="M203" s="21">
        <f t="shared" si="38"/>
        <v>1</v>
      </c>
      <c r="N203" s="666"/>
      <c r="O203" s="21">
        <f t="shared" si="39"/>
        <v>1</v>
      </c>
      <c r="P203" s="666"/>
      <c r="Q203" s="21">
        <f t="shared" si="40"/>
        <v>0</v>
      </c>
      <c r="R203" s="662">
        <f t="shared" si="41"/>
        <v>0</v>
      </c>
      <c r="S203" s="316">
        <f t="shared" si="42"/>
        <v>0</v>
      </c>
    </row>
    <row r="204" spans="1:19">
      <c r="A204" s="150"/>
      <c r="B204" s="54"/>
      <c r="C204" s="21">
        <f t="shared" si="33"/>
        <v>1</v>
      </c>
      <c r="D204" s="666"/>
      <c r="E204" s="21">
        <f t="shared" si="34"/>
        <v>1</v>
      </c>
      <c r="F204" s="666"/>
      <c r="G204" s="21">
        <f t="shared" si="35"/>
        <v>1</v>
      </c>
      <c r="H204" s="666"/>
      <c r="I204" s="21">
        <f t="shared" si="36"/>
        <v>1</v>
      </c>
      <c r="J204" s="666"/>
      <c r="K204" s="21">
        <f t="shared" si="37"/>
        <v>1</v>
      </c>
      <c r="L204" s="666"/>
      <c r="M204" s="21">
        <f t="shared" si="38"/>
        <v>1</v>
      </c>
      <c r="N204" s="666"/>
      <c r="O204" s="21">
        <f t="shared" si="39"/>
        <v>1</v>
      </c>
      <c r="P204" s="666"/>
      <c r="Q204" s="21">
        <f t="shared" si="40"/>
        <v>0</v>
      </c>
      <c r="R204" s="662">
        <f t="shared" si="41"/>
        <v>0</v>
      </c>
      <c r="S204" s="316">
        <f t="shared" si="42"/>
        <v>0</v>
      </c>
    </row>
    <row r="205" spans="1:19">
      <c r="A205" s="150"/>
      <c r="B205" s="54"/>
      <c r="C205" s="21">
        <f t="shared" si="33"/>
        <v>1</v>
      </c>
      <c r="D205" s="666"/>
      <c r="E205" s="21">
        <f t="shared" si="34"/>
        <v>1</v>
      </c>
      <c r="F205" s="666"/>
      <c r="G205" s="21">
        <f t="shared" si="35"/>
        <v>1</v>
      </c>
      <c r="H205" s="666"/>
      <c r="I205" s="21">
        <f t="shared" si="36"/>
        <v>1</v>
      </c>
      <c r="J205" s="666"/>
      <c r="K205" s="21">
        <f t="shared" si="37"/>
        <v>1</v>
      </c>
      <c r="L205" s="666"/>
      <c r="M205" s="21">
        <f t="shared" si="38"/>
        <v>1</v>
      </c>
      <c r="N205" s="666"/>
      <c r="O205" s="21">
        <f t="shared" si="39"/>
        <v>1</v>
      </c>
      <c r="P205" s="666"/>
      <c r="Q205" s="21">
        <f t="shared" si="40"/>
        <v>0</v>
      </c>
      <c r="R205" s="662">
        <f t="shared" si="41"/>
        <v>0</v>
      </c>
      <c r="S205" s="316">
        <f t="shared" si="42"/>
        <v>0</v>
      </c>
    </row>
    <row r="206" spans="1:19">
      <c r="A206" s="150"/>
      <c r="B206" s="54"/>
      <c r="C206" s="21">
        <f t="shared" si="33"/>
        <v>1</v>
      </c>
      <c r="D206" s="666"/>
      <c r="E206" s="21">
        <f t="shared" si="34"/>
        <v>1</v>
      </c>
      <c r="F206" s="666"/>
      <c r="G206" s="21">
        <f t="shared" si="35"/>
        <v>1</v>
      </c>
      <c r="H206" s="666"/>
      <c r="I206" s="21">
        <f t="shared" si="36"/>
        <v>1</v>
      </c>
      <c r="J206" s="666"/>
      <c r="K206" s="21">
        <f t="shared" si="37"/>
        <v>1</v>
      </c>
      <c r="L206" s="666"/>
      <c r="M206" s="21">
        <f t="shared" si="38"/>
        <v>1</v>
      </c>
      <c r="N206" s="666"/>
      <c r="O206" s="21">
        <f t="shared" si="39"/>
        <v>1</v>
      </c>
      <c r="P206" s="666"/>
      <c r="Q206" s="21">
        <f t="shared" si="40"/>
        <v>0</v>
      </c>
      <c r="R206" s="662">
        <f t="shared" si="41"/>
        <v>0</v>
      </c>
      <c r="S206" s="316">
        <f t="shared" si="42"/>
        <v>0</v>
      </c>
    </row>
    <row r="207" spans="1:19">
      <c r="A207" s="150"/>
      <c r="B207" s="54"/>
      <c r="C207" s="21">
        <f t="shared" si="33"/>
        <v>1</v>
      </c>
      <c r="D207" s="666"/>
      <c r="E207" s="21">
        <f t="shared" si="34"/>
        <v>1</v>
      </c>
      <c r="F207" s="666"/>
      <c r="G207" s="21">
        <f t="shared" si="35"/>
        <v>1</v>
      </c>
      <c r="H207" s="666"/>
      <c r="I207" s="21">
        <f t="shared" si="36"/>
        <v>1</v>
      </c>
      <c r="J207" s="666"/>
      <c r="K207" s="21">
        <f t="shared" si="37"/>
        <v>1</v>
      </c>
      <c r="L207" s="666"/>
      <c r="M207" s="21">
        <f t="shared" si="38"/>
        <v>1</v>
      </c>
      <c r="N207" s="666"/>
      <c r="O207" s="21">
        <f t="shared" si="39"/>
        <v>1</v>
      </c>
      <c r="P207" s="666"/>
      <c r="Q207" s="21">
        <f t="shared" si="40"/>
        <v>0</v>
      </c>
      <c r="R207" s="662">
        <f t="shared" si="41"/>
        <v>0</v>
      </c>
      <c r="S207" s="316">
        <f t="shared" si="42"/>
        <v>0</v>
      </c>
    </row>
    <row r="208" spans="1:19">
      <c r="A208" s="150"/>
      <c r="B208" s="54"/>
      <c r="C208" s="21">
        <f t="shared" si="33"/>
        <v>1</v>
      </c>
      <c r="D208" s="666"/>
      <c r="E208" s="21">
        <f t="shared" si="34"/>
        <v>1</v>
      </c>
      <c r="F208" s="666"/>
      <c r="G208" s="21">
        <f t="shared" si="35"/>
        <v>1</v>
      </c>
      <c r="H208" s="666"/>
      <c r="I208" s="21">
        <f t="shared" si="36"/>
        <v>1</v>
      </c>
      <c r="J208" s="666"/>
      <c r="K208" s="21">
        <f t="shared" si="37"/>
        <v>1</v>
      </c>
      <c r="L208" s="666"/>
      <c r="M208" s="21">
        <f t="shared" si="38"/>
        <v>1</v>
      </c>
      <c r="N208" s="666"/>
      <c r="O208" s="21">
        <f t="shared" si="39"/>
        <v>1</v>
      </c>
      <c r="P208" s="666"/>
      <c r="Q208" s="21">
        <f t="shared" si="40"/>
        <v>0</v>
      </c>
      <c r="R208" s="662">
        <f t="shared" si="41"/>
        <v>0</v>
      </c>
      <c r="S208" s="316">
        <f t="shared" si="42"/>
        <v>0</v>
      </c>
    </row>
    <row r="209" spans="1:19">
      <c r="A209" s="150"/>
      <c r="B209" s="54"/>
      <c r="C209" s="21">
        <f t="shared" si="33"/>
        <v>1</v>
      </c>
      <c r="D209" s="666"/>
      <c r="E209" s="21">
        <f t="shared" si="34"/>
        <v>1</v>
      </c>
      <c r="F209" s="666"/>
      <c r="G209" s="21">
        <f t="shared" si="35"/>
        <v>1</v>
      </c>
      <c r="H209" s="666"/>
      <c r="I209" s="21">
        <f t="shared" si="36"/>
        <v>1</v>
      </c>
      <c r="J209" s="666"/>
      <c r="K209" s="21">
        <f t="shared" si="37"/>
        <v>1</v>
      </c>
      <c r="L209" s="666"/>
      <c r="M209" s="21">
        <f t="shared" si="38"/>
        <v>1</v>
      </c>
      <c r="N209" s="666"/>
      <c r="O209" s="21">
        <f t="shared" si="39"/>
        <v>1</v>
      </c>
      <c r="P209" s="666"/>
      <c r="Q209" s="21">
        <f t="shared" si="40"/>
        <v>0</v>
      </c>
      <c r="R209" s="662">
        <f t="shared" si="41"/>
        <v>0</v>
      </c>
      <c r="S209" s="316">
        <f t="shared" si="42"/>
        <v>0</v>
      </c>
    </row>
    <row r="210" spans="1:19">
      <c r="A210" s="150"/>
      <c r="B210" s="54"/>
      <c r="C210" s="21">
        <f t="shared" si="33"/>
        <v>1</v>
      </c>
      <c r="D210" s="666"/>
      <c r="E210" s="21">
        <f t="shared" si="34"/>
        <v>1</v>
      </c>
      <c r="F210" s="666"/>
      <c r="G210" s="21">
        <f t="shared" si="35"/>
        <v>1</v>
      </c>
      <c r="H210" s="666"/>
      <c r="I210" s="21">
        <f t="shared" si="36"/>
        <v>1</v>
      </c>
      <c r="J210" s="666"/>
      <c r="K210" s="21">
        <f t="shared" si="37"/>
        <v>1</v>
      </c>
      <c r="L210" s="666"/>
      <c r="M210" s="21">
        <f t="shared" si="38"/>
        <v>1</v>
      </c>
      <c r="N210" s="666"/>
      <c r="O210" s="21">
        <f t="shared" si="39"/>
        <v>1</v>
      </c>
      <c r="P210" s="666"/>
      <c r="Q210" s="21">
        <f t="shared" si="40"/>
        <v>0</v>
      </c>
      <c r="R210" s="662">
        <f t="shared" si="41"/>
        <v>0</v>
      </c>
      <c r="S210" s="316">
        <f t="shared" si="42"/>
        <v>0</v>
      </c>
    </row>
    <row r="211" spans="1:19">
      <c r="A211" s="150"/>
      <c r="B211" s="54"/>
      <c r="C211" s="21">
        <f t="shared" si="33"/>
        <v>1</v>
      </c>
      <c r="D211" s="666"/>
      <c r="E211" s="21">
        <f t="shared" si="34"/>
        <v>1</v>
      </c>
      <c r="F211" s="666"/>
      <c r="G211" s="21">
        <f t="shared" si="35"/>
        <v>1</v>
      </c>
      <c r="H211" s="666"/>
      <c r="I211" s="21">
        <f t="shared" si="36"/>
        <v>1</v>
      </c>
      <c r="J211" s="666"/>
      <c r="K211" s="21">
        <f t="shared" si="37"/>
        <v>1</v>
      </c>
      <c r="L211" s="666"/>
      <c r="M211" s="21">
        <f t="shared" si="38"/>
        <v>1</v>
      </c>
      <c r="N211" s="666"/>
      <c r="O211" s="21">
        <f t="shared" si="39"/>
        <v>1</v>
      </c>
      <c r="P211" s="666"/>
      <c r="Q211" s="21">
        <f t="shared" si="40"/>
        <v>0</v>
      </c>
      <c r="R211" s="662">
        <f t="shared" si="41"/>
        <v>0</v>
      </c>
      <c r="S211" s="316">
        <f t="shared" si="42"/>
        <v>0</v>
      </c>
    </row>
    <row r="212" spans="1:19">
      <c r="A212" s="150"/>
      <c r="B212" s="54"/>
      <c r="C212" s="21">
        <f t="shared" si="33"/>
        <v>1</v>
      </c>
      <c r="D212" s="666"/>
      <c r="E212" s="21">
        <f t="shared" si="34"/>
        <v>1</v>
      </c>
      <c r="F212" s="666"/>
      <c r="G212" s="21">
        <f t="shared" si="35"/>
        <v>1</v>
      </c>
      <c r="H212" s="666"/>
      <c r="I212" s="21">
        <f t="shared" si="36"/>
        <v>1</v>
      </c>
      <c r="J212" s="666"/>
      <c r="K212" s="21">
        <f t="shared" si="37"/>
        <v>1</v>
      </c>
      <c r="L212" s="666"/>
      <c r="M212" s="21">
        <f t="shared" si="38"/>
        <v>1</v>
      </c>
      <c r="N212" s="666"/>
      <c r="O212" s="21">
        <f t="shared" si="39"/>
        <v>1</v>
      </c>
      <c r="P212" s="666"/>
      <c r="Q212" s="21">
        <f t="shared" si="40"/>
        <v>0</v>
      </c>
      <c r="R212" s="662">
        <f t="shared" si="41"/>
        <v>0</v>
      </c>
      <c r="S212" s="316">
        <f t="shared" si="42"/>
        <v>0</v>
      </c>
    </row>
    <row r="213" spans="1:19">
      <c r="A213" s="150"/>
      <c r="B213" s="54"/>
      <c r="C213" s="21">
        <f t="shared" si="33"/>
        <v>1</v>
      </c>
      <c r="D213" s="666"/>
      <c r="E213" s="21">
        <f t="shared" si="34"/>
        <v>1</v>
      </c>
      <c r="F213" s="666"/>
      <c r="G213" s="21">
        <f t="shared" si="35"/>
        <v>1</v>
      </c>
      <c r="H213" s="666"/>
      <c r="I213" s="21">
        <f t="shared" si="36"/>
        <v>1</v>
      </c>
      <c r="J213" s="666"/>
      <c r="K213" s="21">
        <f t="shared" si="37"/>
        <v>1</v>
      </c>
      <c r="L213" s="666"/>
      <c r="M213" s="21">
        <f t="shared" si="38"/>
        <v>1</v>
      </c>
      <c r="N213" s="666"/>
      <c r="O213" s="21">
        <f t="shared" si="39"/>
        <v>1</v>
      </c>
      <c r="P213" s="666"/>
      <c r="Q213" s="21">
        <f t="shared" si="40"/>
        <v>0</v>
      </c>
      <c r="R213" s="662">
        <f t="shared" si="41"/>
        <v>0</v>
      </c>
      <c r="S213" s="316">
        <f t="shared" si="42"/>
        <v>0</v>
      </c>
    </row>
    <row r="214" spans="1:19">
      <c r="A214" s="150"/>
      <c r="B214" s="54"/>
      <c r="C214" s="21">
        <f t="shared" si="33"/>
        <v>1</v>
      </c>
      <c r="D214" s="666"/>
      <c r="E214" s="21">
        <f t="shared" si="34"/>
        <v>1</v>
      </c>
      <c r="F214" s="666"/>
      <c r="G214" s="21">
        <f t="shared" si="35"/>
        <v>1</v>
      </c>
      <c r="H214" s="666"/>
      <c r="I214" s="21">
        <f t="shared" si="36"/>
        <v>1</v>
      </c>
      <c r="J214" s="666"/>
      <c r="K214" s="21">
        <f t="shared" si="37"/>
        <v>1</v>
      </c>
      <c r="L214" s="666"/>
      <c r="M214" s="21">
        <f t="shared" si="38"/>
        <v>1</v>
      </c>
      <c r="N214" s="666"/>
      <c r="O214" s="21">
        <f t="shared" si="39"/>
        <v>1</v>
      </c>
      <c r="P214" s="666"/>
      <c r="Q214" s="21">
        <f t="shared" si="40"/>
        <v>0</v>
      </c>
      <c r="R214" s="662">
        <f t="shared" si="41"/>
        <v>0</v>
      </c>
      <c r="S214" s="316">
        <f t="shared" si="42"/>
        <v>0</v>
      </c>
    </row>
    <row r="215" spans="1:19">
      <c r="A215" s="150"/>
      <c r="B215" s="54"/>
      <c r="C215" s="21">
        <f t="shared" si="33"/>
        <v>1</v>
      </c>
      <c r="D215" s="666"/>
      <c r="E215" s="21">
        <f t="shared" si="34"/>
        <v>1</v>
      </c>
      <c r="F215" s="666"/>
      <c r="G215" s="21">
        <f t="shared" si="35"/>
        <v>1</v>
      </c>
      <c r="H215" s="666"/>
      <c r="I215" s="21">
        <f t="shared" si="36"/>
        <v>1</v>
      </c>
      <c r="J215" s="666"/>
      <c r="K215" s="21">
        <f t="shared" si="37"/>
        <v>1</v>
      </c>
      <c r="L215" s="666"/>
      <c r="M215" s="21">
        <f t="shared" si="38"/>
        <v>1</v>
      </c>
      <c r="N215" s="666"/>
      <c r="O215" s="21">
        <f t="shared" si="39"/>
        <v>1</v>
      </c>
      <c r="P215" s="666"/>
      <c r="Q215" s="21">
        <f t="shared" si="40"/>
        <v>0</v>
      </c>
      <c r="R215" s="662">
        <f t="shared" si="41"/>
        <v>0</v>
      </c>
      <c r="S215" s="316">
        <f t="shared" si="42"/>
        <v>0</v>
      </c>
    </row>
    <row r="216" spans="1:19">
      <c r="A216" s="150"/>
      <c r="B216" s="54"/>
      <c r="C216" s="21">
        <f t="shared" si="33"/>
        <v>1</v>
      </c>
      <c r="D216" s="666"/>
      <c r="E216" s="21">
        <f t="shared" si="34"/>
        <v>1</v>
      </c>
      <c r="F216" s="666"/>
      <c r="G216" s="21">
        <f t="shared" si="35"/>
        <v>1</v>
      </c>
      <c r="H216" s="666"/>
      <c r="I216" s="21">
        <f t="shared" si="36"/>
        <v>1</v>
      </c>
      <c r="J216" s="666"/>
      <c r="K216" s="21">
        <f t="shared" si="37"/>
        <v>1</v>
      </c>
      <c r="L216" s="666"/>
      <c r="M216" s="21">
        <f t="shared" si="38"/>
        <v>1</v>
      </c>
      <c r="N216" s="666"/>
      <c r="O216" s="21">
        <f t="shared" si="39"/>
        <v>1</v>
      </c>
      <c r="P216" s="666"/>
      <c r="Q216" s="21">
        <f t="shared" si="40"/>
        <v>0</v>
      </c>
      <c r="R216" s="662">
        <f t="shared" si="41"/>
        <v>0</v>
      </c>
      <c r="S216" s="316">
        <f t="shared" si="42"/>
        <v>0</v>
      </c>
    </row>
    <row r="217" spans="1:19">
      <c r="A217" s="150"/>
      <c r="B217" s="54"/>
      <c r="C217" s="21">
        <f t="shared" si="33"/>
        <v>1</v>
      </c>
      <c r="D217" s="666"/>
      <c r="E217" s="21">
        <f t="shared" si="34"/>
        <v>1</v>
      </c>
      <c r="F217" s="666"/>
      <c r="G217" s="21">
        <f t="shared" si="35"/>
        <v>1</v>
      </c>
      <c r="H217" s="666"/>
      <c r="I217" s="21">
        <f t="shared" si="36"/>
        <v>1</v>
      </c>
      <c r="J217" s="666"/>
      <c r="K217" s="21">
        <f t="shared" si="37"/>
        <v>1</v>
      </c>
      <c r="L217" s="666"/>
      <c r="M217" s="21">
        <f t="shared" si="38"/>
        <v>1</v>
      </c>
      <c r="N217" s="666"/>
      <c r="O217" s="21">
        <f t="shared" si="39"/>
        <v>1</v>
      </c>
      <c r="P217" s="666"/>
      <c r="Q217" s="21">
        <f t="shared" si="40"/>
        <v>0</v>
      </c>
      <c r="R217" s="662">
        <f t="shared" si="41"/>
        <v>0</v>
      </c>
      <c r="S217" s="316">
        <f t="shared" si="42"/>
        <v>0</v>
      </c>
    </row>
    <row r="218" spans="1:19">
      <c r="A218" s="150"/>
      <c r="B218" s="54"/>
      <c r="C218" s="21">
        <f t="shared" ref="C218:C281" si="43">IF(B218="",1,(LOOKUP(B218,$3:$3,$4:$4)-LOOKUP($B$24,$3:$3,$4:$4)+100)/100)</f>
        <v>1</v>
      </c>
      <c r="D218" s="666"/>
      <c r="E218" s="21">
        <f t="shared" ref="E218:E281" si="44">(SUMIF($5:$5,D218,$6:$6)-SUMIF($5:$5,$D$24,$6:$6)+100)/100</f>
        <v>1</v>
      </c>
      <c r="F218" s="666"/>
      <c r="G218" s="21">
        <f t="shared" ref="G218:G281" si="45">(SUMIF($7:$7,F218,$8:$8)-SUMIF($7:$7,$F$24,$8:$8)+100)/100</f>
        <v>1</v>
      </c>
      <c r="H218" s="666"/>
      <c r="I218" s="21">
        <f t="shared" ref="I218:I281" si="46">(SUMIF($9:$9,H218,$10:$10)-SUMIF($9:$9,$H$24,$10:$10)+100)/100</f>
        <v>1</v>
      </c>
      <c r="J218" s="666"/>
      <c r="K218" s="21">
        <f t="shared" ref="K218:K281" si="47">(SUMIF($11:$11,J218,$12:$12)-SUMIF($11:$11,$J$24,$12:$12)+100)/100</f>
        <v>1</v>
      </c>
      <c r="L218" s="666"/>
      <c r="M218" s="21">
        <f t="shared" ref="M218:M281" si="48">(SUMIF($13:$13,L218,$14:$14)-SUMIF($13:$13,$L$24,$14:$14)+100)/100</f>
        <v>1</v>
      </c>
      <c r="N218" s="666"/>
      <c r="O218" s="21">
        <f t="shared" ref="O218:O281" si="49">(SUMIF($15:$15,N218,$16:$16)-SUMIF($15:$15,$N$24,$16:$16)+100)/100</f>
        <v>1</v>
      </c>
      <c r="P218" s="666"/>
      <c r="Q218" s="21">
        <f t="shared" ref="Q218:Q281" si="50">(SUMIF($17:$17,P218,$18:$18)-SUMIF($17:$17,$P$24,$18:$18)+100)/100</f>
        <v>0</v>
      </c>
      <c r="R218" s="662">
        <f t="shared" ref="R218:R281" si="51">IF(B218="",0,ROUND($R$24*C218*E218*G218*I218*K218*M218*O218*Q218,0))</f>
        <v>0</v>
      </c>
      <c r="S218" s="316">
        <f t="shared" si="42"/>
        <v>0</v>
      </c>
    </row>
    <row r="219" spans="1:19">
      <c r="A219" s="150"/>
      <c r="B219" s="54"/>
      <c r="C219" s="21">
        <f t="shared" si="43"/>
        <v>1</v>
      </c>
      <c r="D219" s="666"/>
      <c r="E219" s="21">
        <f t="shared" si="44"/>
        <v>1</v>
      </c>
      <c r="F219" s="666"/>
      <c r="G219" s="21">
        <f t="shared" si="45"/>
        <v>1</v>
      </c>
      <c r="H219" s="666"/>
      <c r="I219" s="21">
        <f t="shared" si="46"/>
        <v>1</v>
      </c>
      <c r="J219" s="666"/>
      <c r="K219" s="21">
        <f t="shared" si="47"/>
        <v>1</v>
      </c>
      <c r="L219" s="666"/>
      <c r="M219" s="21">
        <f t="shared" si="48"/>
        <v>1</v>
      </c>
      <c r="N219" s="666"/>
      <c r="O219" s="21">
        <f t="shared" si="49"/>
        <v>1</v>
      </c>
      <c r="P219" s="666"/>
      <c r="Q219" s="21">
        <f t="shared" si="50"/>
        <v>0</v>
      </c>
      <c r="R219" s="662">
        <f t="shared" si="51"/>
        <v>0</v>
      </c>
      <c r="S219" s="316">
        <f t="shared" si="42"/>
        <v>0</v>
      </c>
    </row>
    <row r="220" spans="1:19">
      <c r="A220" s="150"/>
      <c r="B220" s="54"/>
      <c r="C220" s="21">
        <f t="shared" si="43"/>
        <v>1</v>
      </c>
      <c r="D220" s="666"/>
      <c r="E220" s="21">
        <f t="shared" si="44"/>
        <v>1</v>
      </c>
      <c r="F220" s="666"/>
      <c r="G220" s="21">
        <f t="shared" si="45"/>
        <v>1</v>
      </c>
      <c r="H220" s="666"/>
      <c r="I220" s="21">
        <f t="shared" si="46"/>
        <v>1</v>
      </c>
      <c r="J220" s="666"/>
      <c r="K220" s="21">
        <f t="shared" si="47"/>
        <v>1</v>
      </c>
      <c r="L220" s="666"/>
      <c r="M220" s="21">
        <f t="shared" si="48"/>
        <v>1</v>
      </c>
      <c r="N220" s="666"/>
      <c r="O220" s="21">
        <f t="shared" si="49"/>
        <v>1</v>
      </c>
      <c r="P220" s="666"/>
      <c r="Q220" s="21">
        <f t="shared" si="50"/>
        <v>0</v>
      </c>
      <c r="R220" s="662">
        <f t="shared" si="51"/>
        <v>0</v>
      </c>
      <c r="S220" s="316">
        <f t="shared" si="42"/>
        <v>0</v>
      </c>
    </row>
    <row r="221" spans="1:19">
      <c r="A221" s="150"/>
      <c r="B221" s="54"/>
      <c r="C221" s="21">
        <f t="shared" si="43"/>
        <v>1</v>
      </c>
      <c r="D221" s="666"/>
      <c r="E221" s="21">
        <f t="shared" si="44"/>
        <v>1</v>
      </c>
      <c r="F221" s="666"/>
      <c r="G221" s="21">
        <f t="shared" si="45"/>
        <v>1</v>
      </c>
      <c r="H221" s="666"/>
      <c r="I221" s="21">
        <f t="shared" si="46"/>
        <v>1</v>
      </c>
      <c r="J221" s="666"/>
      <c r="K221" s="21">
        <f t="shared" si="47"/>
        <v>1</v>
      </c>
      <c r="L221" s="666"/>
      <c r="M221" s="21">
        <f t="shared" si="48"/>
        <v>1</v>
      </c>
      <c r="N221" s="666"/>
      <c r="O221" s="21">
        <f t="shared" si="49"/>
        <v>1</v>
      </c>
      <c r="P221" s="666"/>
      <c r="Q221" s="21">
        <f t="shared" si="50"/>
        <v>0</v>
      </c>
      <c r="R221" s="662">
        <f t="shared" si="51"/>
        <v>0</v>
      </c>
      <c r="S221" s="316">
        <f t="shared" si="42"/>
        <v>0</v>
      </c>
    </row>
    <row r="222" spans="1:19">
      <c r="A222" s="150"/>
      <c r="B222" s="54"/>
      <c r="C222" s="21">
        <f t="shared" si="43"/>
        <v>1</v>
      </c>
      <c r="D222" s="666"/>
      <c r="E222" s="21">
        <f t="shared" si="44"/>
        <v>1</v>
      </c>
      <c r="F222" s="666"/>
      <c r="G222" s="21">
        <f t="shared" si="45"/>
        <v>1</v>
      </c>
      <c r="H222" s="666"/>
      <c r="I222" s="21">
        <f t="shared" si="46"/>
        <v>1</v>
      </c>
      <c r="J222" s="666"/>
      <c r="K222" s="21">
        <f t="shared" si="47"/>
        <v>1</v>
      </c>
      <c r="L222" s="666"/>
      <c r="M222" s="21">
        <f t="shared" si="48"/>
        <v>1</v>
      </c>
      <c r="N222" s="666"/>
      <c r="O222" s="21">
        <f t="shared" si="49"/>
        <v>1</v>
      </c>
      <c r="P222" s="666"/>
      <c r="Q222" s="21">
        <f t="shared" si="50"/>
        <v>0</v>
      </c>
      <c r="R222" s="662">
        <f t="shared" si="51"/>
        <v>0</v>
      </c>
      <c r="S222" s="316">
        <f t="shared" si="42"/>
        <v>0</v>
      </c>
    </row>
    <row r="223" spans="1:19">
      <c r="A223" s="150"/>
      <c r="B223" s="54"/>
      <c r="C223" s="21">
        <f t="shared" si="43"/>
        <v>1</v>
      </c>
      <c r="D223" s="666"/>
      <c r="E223" s="21">
        <f t="shared" si="44"/>
        <v>1</v>
      </c>
      <c r="F223" s="666"/>
      <c r="G223" s="21">
        <f t="shared" si="45"/>
        <v>1</v>
      </c>
      <c r="H223" s="666"/>
      <c r="I223" s="21">
        <f t="shared" si="46"/>
        <v>1</v>
      </c>
      <c r="J223" s="666"/>
      <c r="K223" s="21">
        <f t="shared" si="47"/>
        <v>1</v>
      </c>
      <c r="L223" s="666"/>
      <c r="M223" s="21">
        <f t="shared" si="48"/>
        <v>1</v>
      </c>
      <c r="N223" s="666"/>
      <c r="O223" s="21">
        <f t="shared" si="49"/>
        <v>1</v>
      </c>
      <c r="P223" s="666"/>
      <c r="Q223" s="21">
        <f t="shared" si="50"/>
        <v>0</v>
      </c>
      <c r="R223" s="662">
        <f t="shared" si="51"/>
        <v>0</v>
      </c>
      <c r="S223" s="316">
        <f t="shared" ref="S223:S286" si="52">ROUND(R223*B223/10000,0)</f>
        <v>0</v>
      </c>
    </row>
    <row r="224" spans="1:19">
      <c r="A224" s="150"/>
      <c r="B224" s="54"/>
      <c r="C224" s="21">
        <f t="shared" si="43"/>
        <v>1</v>
      </c>
      <c r="D224" s="666"/>
      <c r="E224" s="21">
        <f t="shared" si="44"/>
        <v>1</v>
      </c>
      <c r="F224" s="666"/>
      <c r="G224" s="21">
        <f t="shared" si="45"/>
        <v>1</v>
      </c>
      <c r="H224" s="666"/>
      <c r="I224" s="21">
        <f t="shared" si="46"/>
        <v>1</v>
      </c>
      <c r="J224" s="666"/>
      <c r="K224" s="21">
        <f t="shared" si="47"/>
        <v>1</v>
      </c>
      <c r="L224" s="666"/>
      <c r="M224" s="21">
        <f t="shared" si="48"/>
        <v>1</v>
      </c>
      <c r="N224" s="666"/>
      <c r="O224" s="21">
        <f t="shared" si="49"/>
        <v>1</v>
      </c>
      <c r="P224" s="666"/>
      <c r="Q224" s="21">
        <f t="shared" si="50"/>
        <v>0</v>
      </c>
      <c r="R224" s="662">
        <f t="shared" si="51"/>
        <v>0</v>
      </c>
      <c r="S224" s="316">
        <f t="shared" si="52"/>
        <v>0</v>
      </c>
    </row>
    <row r="225" spans="1:19">
      <c r="A225" s="150"/>
      <c r="B225" s="54"/>
      <c r="C225" s="21">
        <f t="shared" si="43"/>
        <v>1</v>
      </c>
      <c r="D225" s="666"/>
      <c r="E225" s="21">
        <f t="shared" si="44"/>
        <v>1</v>
      </c>
      <c r="F225" s="666"/>
      <c r="G225" s="21">
        <f t="shared" si="45"/>
        <v>1</v>
      </c>
      <c r="H225" s="666"/>
      <c r="I225" s="21">
        <f t="shared" si="46"/>
        <v>1</v>
      </c>
      <c r="J225" s="666"/>
      <c r="K225" s="21">
        <f t="shared" si="47"/>
        <v>1</v>
      </c>
      <c r="L225" s="666"/>
      <c r="M225" s="21">
        <f t="shared" si="48"/>
        <v>1</v>
      </c>
      <c r="N225" s="666"/>
      <c r="O225" s="21">
        <f t="shared" si="49"/>
        <v>1</v>
      </c>
      <c r="P225" s="666"/>
      <c r="Q225" s="21">
        <f t="shared" si="50"/>
        <v>0</v>
      </c>
      <c r="R225" s="662">
        <f t="shared" si="51"/>
        <v>0</v>
      </c>
      <c r="S225" s="316">
        <f t="shared" si="52"/>
        <v>0</v>
      </c>
    </row>
    <row r="226" spans="1:19">
      <c r="A226" s="150"/>
      <c r="B226" s="54"/>
      <c r="C226" s="21">
        <f t="shared" si="43"/>
        <v>1</v>
      </c>
      <c r="D226" s="666"/>
      <c r="E226" s="21">
        <f t="shared" si="44"/>
        <v>1</v>
      </c>
      <c r="F226" s="666"/>
      <c r="G226" s="21">
        <f t="shared" si="45"/>
        <v>1</v>
      </c>
      <c r="H226" s="666"/>
      <c r="I226" s="21">
        <f t="shared" si="46"/>
        <v>1</v>
      </c>
      <c r="J226" s="666"/>
      <c r="K226" s="21">
        <f t="shared" si="47"/>
        <v>1</v>
      </c>
      <c r="L226" s="666"/>
      <c r="M226" s="21">
        <f t="shared" si="48"/>
        <v>1</v>
      </c>
      <c r="N226" s="666"/>
      <c r="O226" s="21">
        <f t="shared" si="49"/>
        <v>1</v>
      </c>
      <c r="P226" s="666"/>
      <c r="Q226" s="21">
        <f t="shared" si="50"/>
        <v>0</v>
      </c>
      <c r="R226" s="662">
        <f t="shared" si="51"/>
        <v>0</v>
      </c>
      <c r="S226" s="316">
        <f t="shared" si="52"/>
        <v>0</v>
      </c>
    </row>
    <row r="227" spans="1:19">
      <c r="A227" s="150"/>
      <c r="B227" s="54"/>
      <c r="C227" s="21">
        <f t="shared" si="43"/>
        <v>1</v>
      </c>
      <c r="D227" s="666"/>
      <c r="E227" s="21">
        <f t="shared" si="44"/>
        <v>1</v>
      </c>
      <c r="F227" s="666"/>
      <c r="G227" s="21">
        <f t="shared" si="45"/>
        <v>1</v>
      </c>
      <c r="H227" s="666"/>
      <c r="I227" s="21">
        <f t="shared" si="46"/>
        <v>1</v>
      </c>
      <c r="J227" s="666"/>
      <c r="K227" s="21">
        <f t="shared" si="47"/>
        <v>1</v>
      </c>
      <c r="L227" s="666"/>
      <c r="M227" s="21">
        <f t="shared" si="48"/>
        <v>1</v>
      </c>
      <c r="N227" s="666"/>
      <c r="O227" s="21">
        <f t="shared" si="49"/>
        <v>1</v>
      </c>
      <c r="P227" s="666"/>
      <c r="Q227" s="21">
        <f t="shared" si="50"/>
        <v>0</v>
      </c>
      <c r="R227" s="662">
        <f t="shared" si="51"/>
        <v>0</v>
      </c>
      <c r="S227" s="316">
        <f t="shared" si="52"/>
        <v>0</v>
      </c>
    </row>
    <row r="228" spans="1:19">
      <c r="A228" s="150"/>
      <c r="B228" s="54"/>
      <c r="C228" s="21">
        <f t="shared" si="43"/>
        <v>1</v>
      </c>
      <c r="D228" s="666"/>
      <c r="E228" s="21">
        <f t="shared" si="44"/>
        <v>1</v>
      </c>
      <c r="F228" s="666"/>
      <c r="G228" s="21">
        <f t="shared" si="45"/>
        <v>1</v>
      </c>
      <c r="H228" s="666"/>
      <c r="I228" s="21">
        <f t="shared" si="46"/>
        <v>1</v>
      </c>
      <c r="J228" s="666"/>
      <c r="K228" s="21">
        <f t="shared" si="47"/>
        <v>1</v>
      </c>
      <c r="L228" s="666"/>
      <c r="M228" s="21">
        <f t="shared" si="48"/>
        <v>1</v>
      </c>
      <c r="N228" s="666"/>
      <c r="O228" s="21">
        <f t="shared" si="49"/>
        <v>1</v>
      </c>
      <c r="P228" s="666"/>
      <c r="Q228" s="21">
        <f t="shared" si="50"/>
        <v>0</v>
      </c>
      <c r="R228" s="662">
        <f t="shared" si="51"/>
        <v>0</v>
      </c>
      <c r="S228" s="316">
        <f t="shared" si="52"/>
        <v>0</v>
      </c>
    </row>
    <row r="229" spans="1:19">
      <c r="A229" s="150"/>
      <c r="B229" s="54"/>
      <c r="C229" s="21">
        <f t="shared" si="43"/>
        <v>1</v>
      </c>
      <c r="D229" s="666"/>
      <c r="E229" s="21">
        <f t="shared" si="44"/>
        <v>1</v>
      </c>
      <c r="F229" s="666"/>
      <c r="G229" s="21">
        <f t="shared" si="45"/>
        <v>1</v>
      </c>
      <c r="H229" s="666"/>
      <c r="I229" s="21">
        <f t="shared" si="46"/>
        <v>1</v>
      </c>
      <c r="J229" s="666"/>
      <c r="K229" s="21">
        <f t="shared" si="47"/>
        <v>1</v>
      </c>
      <c r="L229" s="666"/>
      <c r="M229" s="21">
        <f t="shared" si="48"/>
        <v>1</v>
      </c>
      <c r="N229" s="666"/>
      <c r="O229" s="21">
        <f t="shared" si="49"/>
        <v>1</v>
      </c>
      <c r="P229" s="666"/>
      <c r="Q229" s="21">
        <f t="shared" si="50"/>
        <v>0</v>
      </c>
      <c r="R229" s="662">
        <f t="shared" si="51"/>
        <v>0</v>
      </c>
      <c r="S229" s="316">
        <f t="shared" si="52"/>
        <v>0</v>
      </c>
    </row>
    <row r="230" spans="1:19">
      <c r="A230" s="150"/>
      <c r="B230" s="54"/>
      <c r="C230" s="21">
        <f t="shared" si="43"/>
        <v>1</v>
      </c>
      <c r="D230" s="666"/>
      <c r="E230" s="21">
        <f t="shared" si="44"/>
        <v>1</v>
      </c>
      <c r="F230" s="666"/>
      <c r="G230" s="21">
        <f t="shared" si="45"/>
        <v>1</v>
      </c>
      <c r="H230" s="666"/>
      <c r="I230" s="21">
        <f t="shared" si="46"/>
        <v>1</v>
      </c>
      <c r="J230" s="666"/>
      <c r="K230" s="21">
        <f t="shared" si="47"/>
        <v>1</v>
      </c>
      <c r="L230" s="666"/>
      <c r="M230" s="21">
        <f t="shared" si="48"/>
        <v>1</v>
      </c>
      <c r="N230" s="666"/>
      <c r="O230" s="21">
        <f t="shared" si="49"/>
        <v>1</v>
      </c>
      <c r="P230" s="666"/>
      <c r="Q230" s="21">
        <f t="shared" si="50"/>
        <v>0</v>
      </c>
      <c r="R230" s="662">
        <f t="shared" si="51"/>
        <v>0</v>
      </c>
      <c r="S230" s="316">
        <f t="shared" si="52"/>
        <v>0</v>
      </c>
    </row>
    <row r="231" spans="1:19">
      <c r="A231" s="150"/>
      <c r="B231" s="54"/>
      <c r="C231" s="21">
        <f t="shared" si="43"/>
        <v>1</v>
      </c>
      <c r="D231" s="666"/>
      <c r="E231" s="21">
        <f t="shared" si="44"/>
        <v>1</v>
      </c>
      <c r="F231" s="666"/>
      <c r="G231" s="21">
        <f t="shared" si="45"/>
        <v>1</v>
      </c>
      <c r="H231" s="666"/>
      <c r="I231" s="21">
        <f t="shared" si="46"/>
        <v>1</v>
      </c>
      <c r="J231" s="666"/>
      <c r="K231" s="21">
        <f t="shared" si="47"/>
        <v>1</v>
      </c>
      <c r="L231" s="666"/>
      <c r="M231" s="21">
        <f t="shared" si="48"/>
        <v>1</v>
      </c>
      <c r="N231" s="666"/>
      <c r="O231" s="21">
        <f t="shared" si="49"/>
        <v>1</v>
      </c>
      <c r="P231" s="666"/>
      <c r="Q231" s="21">
        <f t="shared" si="50"/>
        <v>0</v>
      </c>
      <c r="R231" s="662">
        <f t="shared" si="51"/>
        <v>0</v>
      </c>
      <c r="S231" s="316">
        <f t="shared" si="52"/>
        <v>0</v>
      </c>
    </row>
    <row r="232" spans="1:19">
      <c r="A232" s="150"/>
      <c r="B232" s="54"/>
      <c r="C232" s="21">
        <f t="shared" si="43"/>
        <v>1</v>
      </c>
      <c r="D232" s="666"/>
      <c r="E232" s="21">
        <f t="shared" si="44"/>
        <v>1</v>
      </c>
      <c r="F232" s="666"/>
      <c r="G232" s="21">
        <f t="shared" si="45"/>
        <v>1</v>
      </c>
      <c r="H232" s="666"/>
      <c r="I232" s="21">
        <f t="shared" si="46"/>
        <v>1</v>
      </c>
      <c r="J232" s="666"/>
      <c r="K232" s="21">
        <f t="shared" si="47"/>
        <v>1</v>
      </c>
      <c r="L232" s="666"/>
      <c r="M232" s="21">
        <f t="shared" si="48"/>
        <v>1</v>
      </c>
      <c r="N232" s="666"/>
      <c r="O232" s="21">
        <f t="shared" si="49"/>
        <v>1</v>
      </c>
      <c r="P232" s="666"/>
      <c r="Q232" s="21">
        <f t="shared" si="50"/>
        <v>0</v>
      </c>
      <c r="R232" s="662">
        <f t="shared" si="51"/>
        <v>0</v>
      </c>
      <c r="S232" s="316">
        <f t="shared" si="52"/>
        <v>0</v>
      </c>
    </row>
    <row r="233" spans="1:19">
      <c r="A233" s="150"/>
      <c r="B233" s="54"/>
      <c r="C233" s="21">
        <f t="shared" si="43"/>
        <v>1</v>
      </c>
      <c r="D233" s="666"/>
      <c r="E233" s="21">
        <f t="shared" si="44"/>
        <v>1</v>
      </c>
      <c r="F233" s="666"/>
      <c r="G233" s="21">
        <f t="shared" si="45"/>
        <v>1</v>
      </c>
      <c r="H233" s="666"/>
      <c r="I233" s="21">
        <f t="shared" si="46"/>
        <v>1</v>
      </c>
      <c r="J233" s="666"/>
      <c r="K233" s="21">
        <f t="shared" si="47"/>
        <v>1</v>
      </c>
      <c r="L233" s="666"/>
      <c r="M233" s="21">
        <f t="shared" si="48"/>
        <v>1</v>
      </c>
      <c r="N233" s="666"/>
      <c r="O233" s="21">
        <f t="shared" si="49"/>
        <v>1</v>
      </c>
      <c r="P233" s="666"/>
      <c r="Q233" s="21">
        <f t="shared" si="50"/>
        <v>0</v>
      </c>
      <c r="R233" s="662">
        <f t="shared" si="51"/>
        <v>0</v>
      </c>
      <c r="S233" s="316">
        <f t="shared" si="52"/>
        <v>0</v>
      </c>
    </row>
    <row r="234" spans="1:19">
      <c r="A234" s="150"/>
      <c r="B234" s="54"/>
      <c r="C234" s="21">
        <f t="shared" si="43"/>
        <v>1</v>
      </c>
      <c r="D234" s="666"/>
      <c r="E234" s="21">
        <f t="shared" si="44"/>
        <v>1</v>
      </c>
      <c r="F234" s="666"/>
      <c r="G234" s="21">
        <f t="shared" si="45"/>
        <v>1</v>
      </c>
      <c r="H234" s="666"/>
      <c r="I234" s="21">
        <f t="shared" si="46"/>
        <v>1</v>
      </c>
      <c r="J234" s="666"/>
      <c r="K234" s="21">
        <f t="shared" si="47"/>
        <v>1</v>
      </c>
      <c r="L234" s="666"/>
      <c r="M234" s="21">
        <f t="shared" si="48"/>
        <v>1</v>
      </c>
      <c r="N234" s="666"/>
      <c r="O234" s="21">
        <f t="shared" si="49"/>
        <v>1</v>
      </c>
      <c r="P234" s="666"/>
      <c r="Q234" s="21">
        <f t="shared" si="50"/>
        <v>0</v>
      </c>
      <c r="R234" s="662">
        <f t="shared" si="51"/>
        <v>0</v>
      </c>
      <c r="S234" s="316">
        <f t="shared" si="52"/>
        <v>0</v>
      </c>
    </row>
    <row r="235" spans="1:19">
      <c r="A235" s="150"/>
      <c r="B235" s="54"/>
      <c r="C235" s="21">
        <f t="shared" si="43"/>
        <v>1</v>
      </c>
      <c r="D235" s="666"/>
      <c r="E235" s="21">
        <f t="shared" si="44"/>
        <v>1</v>
      </c>
      <c r="F235" s="666"/>
      <c r="G235" s="21">
        <f t="shared" si="45"/>
        <v>1</v>
      </c>
      <c r="H235" s="666"/>
      <c r="I235" s="21">
        <f t="shared" si="46"/>
        <v>1</v>
      </c>
      <c r="J235" s="666"/>
      <c r="K235" s="21">
        <f t="shared" si="47"/>
        <v>1</v>
      </c>
      <c r="L235" s="666"/>
      <c r="M235" s="21">
        <f t="shared" si="48"/>
        <v>1</v>
      </c>
      <c r="N235" s="666"/>
      <c r="O235" s="21">
        <f t="shared" si="49"/>
        <v>1</v>
      </c>
      <c r="P235" s="666"/>
      <c r="Q235" s="21">
        <f t="shared" si="50"/>
        <v>0</v>
      </c>
      <c r="R235" s="662">
        <f t="shared" si="51"/>
        <v>0</v>
      </c>
      <c r="S235" s="316">
        <f t="shared" si="52"/>
        <v>0</v>
      </c>
    </row>
    <row r="236" spans="1:19">
      <c r="A236" s="150"/>
      <c r="B236" s="54"/>
      <c r="C236" s="21">
        <f t="shared" si="43"/>
        <v>1</v>
      </c>
      <c r="D236" s="666"/>
      <c r="E236" s="21">
        <f t="shared" si="44"/>
        <v>1</v>
      </c>
      <c r="F236" s="666"/>
      <c r="G236" s="21">
        <f t="shared" si="45"/>
        <v>1</v>
      </c>
      <c r="H236" s="666"/>
      <c r="I236" s="21">
        <f t="shared" si="46"/>
        <v>1</v>
      </c>
      <c r="J236" s="666"/>
      <c r="K236" s="21">
        <f t="shared" si="47"/>
        <v>1</v>
      </c>
      <c r="L236" s="666"/>
      <c r="M236" s="21">
        <f t="shared" si="48"/>
        <v>1</v>
      </c>
      <c r="N236" s="666"/>
      <c r="O236" s="21">
        <f t="shared" si="49"/>
        <v>1</v>
      </c>
      <c r="P236" s="666"/>
      <c r="Q236" s="21">
        <f t="shared" si="50"/>
        <v>0</v>
      </c>
      <c r="R236" s="662">
        <f t="shared" si="51"/>
        <v>0</v>
      </c>
      <c r="S236" s="316">
        <f t="shared" si="52"/>
        <v>0</v>
      </c>
    </row>
    <row r="237" spans="1:19">
      <c r="A237" s="150"/>
      <c r="B237" s="54"/>
      <c r="C237" s="21">
        <f t="shared" si="43"/>
        <v>1</v>
      </c>
      <c r="D237" s="666"/>
      <c r="E237" s="21">
        <f t="shared" si="44"/>
        <v>1</v>
      </c>
      <c r="F237" s="666"/>
      <c r="G237" s="21">
        <f t="shared" si="45"/>
        <v>1</v>
      </c>
      <c r="H237" s="666"/>
      <c r="I237" s="21">
        <f t="shared" si="46"/>
        <v>1</v>
      </c>
      <c r="J237" s="666"/>
      <c r="K237" s="21">
        <f t="shared" si="47"/>
        <v>1</v>
      </c>
      <c r="L237" s="666"/>
      <c r="M237" s="21">
        <f t="shared" si="48"/>
        <v>1</v>
      </c>
      <c r="N237" s="666"/>
      <c r="O237" s="21">
        <f t="shared" si="49"/>
        <v>1</v>
      </c>
      <c r="P237" s="666"/>
      <c r="Q237" s="21">
        <f t="shared" si="50"/>
        <v>0</v>
      </c>
      <c r="R237" s="662">
        <f t="shared" si="51"/>
        <v>0</v>
      </c>
      <c r="S237" s="316">
        <f t="shared" si="52"/>
        <v>0</v>
      </c>
    </row>
    <row r="238" spans="1:19">
      <c r="A238" s="150"/>
      <c r="B238" s="54"/>
      <c r="C238" s="21">
        <f t="shared" si="43"/>
        <v>1</v>
      </c>
      <c r="D238" s="666"/>
      <c r="E238" s="21">
        <f t="shared" si="44"/>
        <v>1</v>
      </c>
      <c r="F238" s="666"/>
      <c r="G238" s="21">
        <f t="shared" si="45"/>
        <v>1</v>
      </c>
      <c r="H238" s="666"/>
      <c r="I238" s="21">
        <f t="shared" si="46"/>
        <v>1</v>
      </c>
      <c r="J238" s="666"/>
      <c r="K238" s="21">
        <f t="shared" si="47"/>
        <v>1</v>
      </c>
      <c r="L238" s="666"/>
      <c r="M238" s="21">
        <f t="shared" si="48"/>
        <v>1</v>
      </c>
      <c r="N238" s="666"/>
      <c r="O238" s="21">
        <f t="shared" si="49"/>
        <v>1</v>
      </c>
      <c r="P238" s="666"/>
      <c r="Q238" s="21">
        <f t="shared" si="50"/>
        <v>0</v>
      </c>
      <c r="R238" s="662">
        <f t="shared" si="51"/>
        <v>0</v>
      </c>
      <c r="S238" s="316">
        <f t="shared" si="52"/>
        <v>0</v>
      </c>
    </row>
    <row r="239" spans="1:19">
      <c r="A239" s="150"/>
      <c r="B239" s="54"/>
      <c r="C239" s="21">
        <f t="shared" si="43"/>
        <v>1</v>
      </c>
      <c r="D239" s="666"/>
      <c r="E239" s="21">
        <f t="shared" si="44"/>
        <v>1</v>
      </c>
      <c r="F239" s="666"/>
      <c r="G239" s="21">
        <f t="shared" si="45"/>
        <v>1</v>
      </c>
      <c r="H239" s="666"/>
      <c r="I239" s="21">
        <f t="shared" si="46"/>
        <v>1</v>
      </c>
      <c r="J239" s="666"/>
      <c r="K239" s="21">
        <f t="shared" si="47"/>
        <v>1</v>
      </c>
      <c r="L239" s="666"/>
      <c r="M239" s="21">
        <f t="shared" si="48"/>
        <v>1</v>
      </c>
      <c r="N239" s="666"/>
      <c r="O239" s="21">
        <f t="shared" si="49"/>
        <v>1</v>
      </c>
      <c r="P239" s="666"/>
      <c r="Q239" s="21">
        <f t="shared" si="50"/>
        <v>0</v>
      </c>
      <c r="R239" s="662">
        <f t="shared" si="51"/>
        <v>0</v>
      </c>
      <c r="S239" s="316">
        <f t="shared" si="52"/>
        <v>0</v>
      </c>
    </row>
    <row r="240" spans="1:19">
      <c r="A240" s="150"/>
      <c r="B240" s="54"/>
      <c r="C240" s="21">
        <f t="shared" si="43"/>
        <v>1</v>
      </c>
      <c r="D240" s="666"/>
      <c r="E240" s="21">
        <f t="shared" si="44"/>
        <v>1</v>
      </c>
      <c r="F240" s="666"/>
      <c r="G240" s="21">
        <f t="shared" si="45"/>
        <v>1</v>
      </c>
      <c r="H240" s="666"/>
      <c r="I240" s="21">
        <f t="shared" si="46"/>
        <v>1</v>
      </c>
      <c r="J240" s="666"/>
      <c r="K240" s="21">
        <f t="shared" si="47"/>
        <v>1</v>
      </c>
      <c r="L240" s="666"/>
      <c r="M240" s="21">
        <f t="shared" si="48"/>
        <v>1</v>
      </c>
      <c r="N240" s="666"/>
      <c r="O240" s="21">
        <f t="shared" si="49"/>
        <v>1</v>
      </c>
      <c r="P240" s="666"/>
      <c r="Q240" s="21">
        <f t="shared" si="50"/>
        <v>0</v>
      </c>
      <c r="R240" s="662">
        <f t="shared" si="51"/>
        <v>0</v>
      </c>
      <c r="S240" s="316">
        <f t="shared" si="52"/>
        <v>0</v>
      </c>
    </row>
    <row r="241" spans="1:19">
      <c r="A241" s="150"/>
      <c r="B241" s="54"/>
      <c r="C241" s="21">
        <f t="shared" si="43"/>
        <v>1</v>
      </c>
      <c r="D241" s="666"/>
      <c r="E241" s="21">
        <f t="shared" si="44"/>
        <v>1</v>
      </c>
      <c r="F241" s="666"/>
      <c r="G241" s="21">
        <f t="shared" si="45"/>
        <v>1</v>
      </c>
      <c r="H241" s="666"/>
      <c r="I241" s="21">
        <f t="shared" si="46"/>
        <v>1</v>
      </c>
      <c r="J241" s="666"/>
      <c r="K241" s="21">
        <f t="shared" si="47"/>
        <v>1</v>
      </c>
      <c r="L241" s="666"/>
      <c r="M241" s="21">
        <f t="shared" si="48"/>
        <v>1</v>
      </c>
      <c r="N241" s="666"/>
      <c r="O241" s="21">
        <f t="shared" si="49"/>
        <v>1</v>
      </c>
      <c r="P241" s="666"/>
      <c r="Q241" s="21">
        <f t="shared" si="50"/>
        <v>0</v>
      </c>
      <c r="R241" s="662">
        <f t="shared" si="51"/>
        <v>0</v>
      </c>
      <c r="S241" s="316">
        <f t="shared" si="52"/>
        <v>0</v>
      </c>
    </row>
    <row r="242" spans="1:19">
      <c r="A242" s="150"/>
      <c r="B242" s="54"/>
      <c r="C242" s="21">
        <f t="shared" si="43"/>
        <v>1</v>
      </c>
      <c r="D242" s="666"/>
      <c r="E242" s="21">
        <f t="shared" si="44"/>
        <v>1</v>
      </c>
      <c r="F242" s="666"/>
      <c r="G242" s="21">
        <f t="shared" si="45"/>
        <v>1</v>
      </c>
      <c r="H242" s="666"/>
      <c r="I242" s="21">
        <f t="shared" si="46"/>
        <v>1</v>
      </c>
      <c r="J242" s="666"/>
      <c r="K242" s="21">
        <f t="shared" si="47"/>
        <v>1</v>
      </c>
      <c r="L242" s="666"/>
      <c r="M242" s="21">
        <f t="shared" si="48"/>
        <v>1</v>
      </c>
      <c r="N242" s="666"/>
      <c r="O242" s="21">
        <f t="shared" si="49"/>
        <v>1</v>
      </c>
      <c r="P242" s="666"/>
      <c r="Q242" s="21">
        <f t="shared" si="50"/>
        <v>0</v>
      </c>
      <c r="R242" s="662">
        <f t="shared" si="51"/>
        <v>0</v>
      </c>
      <c r="S242" s="316">
        <f t="shared" si="52"/>
        <v>0</v>
      </c>
    </row>
    <row r="243" spans="1:19">
      <c r="A243" s="150"/>
      <c r="B243" s="54"/>
      <c r="C243" s="21">
        <f t="shared" si="43"/>
        <v>1</v>
      </c>
      <c r="D243" s="666"/>
      <c r="E243" s="21">
        <f t="shared" si="44"/>
        <v>1</v>
      </c>
      <c r="F243" s="666"/>
      <c r="G243" s="21">
        <f t="shared" si="45"/>
        <v>1</v>
      </c>
      <c r="H243" s="666"/>
      <c r="I243" s="21">
        <f t="shared" si="46"/>
        <v>1</v>
      </c>
      <c r="J243" s="666"/>
      <c r="K243" s="21">
        <f t="shared" si="47"/>
        <v>1</v>
      </c>
      <c r="L243" s="666"/>
      <c r="M243" s="21">
        <f t="shared" si="48"/>
        <v>1</v>
      </c>
      <c r="N243" s="666"/>
      <c r="O243" s="21">
        <f t="shared" si="49"/>
        <v>1</v>
      </c>
      <c r="P243" s="666"/>
      <c r="Q243" s="21">
        <f t="shared" si="50"/>
        <v>0</v>
      </c>
      <c r="R243" s="662">
        <f t="shared" si="51"/>
        <v>0</v>
      </c>
      <c r="S243" s="316">
        <f t="shared" si="52"/>
        <v>0</v>
      </c>
    </row>
    <row r="244" spans="1:19">
      <c r="A244" s="150"/>
      <c r="B244" s="54"/>
      <c r="C244" s="21">
        <f t="shared" si="43"/>
        <v>1</v>
      </c>
      <c r="D244" s="666"/>
      <c r="E244" s="21">
        <f t="shared" si="44"/>
        <v>1</v>
      </c>
      <c r="F244" s="666"/>
      <c r="G244" s="21">
        <f t="shared" si="45"/>
        <v>1</v>
      </c>
      <c r="H244" s="666"/>
      <c r="I244" s="21">
        <f t="shared" si="46"/>
        <v>1</v>
      </c>
      <c r="J244" s="666"/>
      <c r="K244" s="21">
        <f t="shared" si="47"/>
        <v>1</v>
      </c>
      <c r="L244" s="666"/>
      <c r="M244" s="21">
        <f t="shared" si="48"/>
        <v>1</v>
      </c>
      <c r="N244" s="666"/>
      <c r="O244" s="21">
        <f t="shared" si="49"/>
        <v>1</v>
      </c>
      <c r="P244" s="666"/>
      <c r="Q244" s="21">
        <f t="shared" si="50"/>
        <v>0</v>
      </c>
      <c r="R244" s="662">
        <f t="shared" si="51"/>
        <v>0</v>
      </c>
      <c r="S244" s="316">
        <f t="shared" si="52"/>
        <v>0</v>
      </c>
    </row>
    <row r="245" spans="1:19">
      <c r="A245" s="150"/>
      <c r="B245" s="54"/>
      <c r="C245" s="21">
        <f t="shared" si="43"/>
        <v>1</v>
      </c>
      <c r="D245" s="666"/>
      <c r="E245" s="21">
        <f t="shared" si="44"/>
        <v>1</v>
      </c>
      <c r="F245" s="666"/>
      <c r="G245" s="21">
        <f t="shared" si="45"/>
        <v>1</v>
      </c>
      <c r="H245" s="666"/>
      <c r="I245" s="21">
        <f t="shared" si="46"/>
        <v>1</v>
      </c>
      <c r="J245" s="666"/>
      <c r="K245" s="21">
        <f t="shared" si="47"/>
        <v>1</v>
      </c>
      <c r="L245" s="666"/>
      <c r="M245" s="21">
        <f t="shared" si="48"/>
        <v>1</v>
      </c>
      <c r="N245" s="666"/>
      <c r="O245" s="21">
        <f t="shared" si="49"/>
        <v>1</v>
      </c>
      <c r="P245" s="666"/>
      <c r="Q245" s="21">
        <f t="shared" si="50"/>
        <v>0</v>
      </c>
      <c r="R245" s="662">
        <f t="shared" si="51"/>
        <v>0</v>
      </c>
      <c r="S245" s="316">
        <f t="shared" si="52"/>
        <v>0</v>
      </c>
    </row>
    <row r="246" spans="1:19">
      <c r="A246" s="150"/>
      <c r="B246" s="54"/>
      <c r="C246" s="21">
        <f t="shared" si="43"/>
        <v>1</v>
      </c>
      <c r="D246" s="666"/>
      <c r="E246" s="21">
        <f t="shared" si="44"/>
        <v>1</v>
      </c>
      <c r="F246" s="666"/>
      <c r="G246" s="21">
        <f t="shared" si="45"/>
        <v>1</v>
      </c>
      <c r="H246" s="666"/>
      <c r="I246" s="21">
        <f t="shared" si="46"/>
        <v>1</v>
      </c>
      <c r="J246" s="666"/>
      <c r="K246" s="21">
        <f t="shared" si="47"/>
        <v>1</v>
      </c>
      <c r="L246" s="666"/>
      <c r="M246" s="21">
        <f t="shared" si="48"/>
        <v>1</v>
      </c>
      <c r="N246" s="666"/>
      <c r="O246" s="21">
        <f t="shared" si="49"/>
        <v>1</v>
      </c>
      <c r="P246" s="666"/>
      <c r="Q246" s="21">
        <f t="shared" si="50"/>
        <v>0</v>
      </c>
      <c r="R246" s="662">
        <f t="shared" si="51"/>
        <v>0</v>
      </c>
      <c r="S246" s="316">
        <f t="shared" si="52"/>
        <v>0</v>
      </c>
    </row>
    <row r="247" spans="1:19">
      <c r="A247" s="150"/>
      <c r="B247" s="54"/>
      <c r="C247" s="21">
        <f t="shared" si="43"/>
        <v>1</v>
      </c>
      <c r="D247" s="666"/>
      <c r="E247" s="21">
        <f t="shared" si="44"/>
        <v>1</v>
      </c>
      <c r="F247" s="666"/>
      <c r="G247" s="21">
        <f t="shared" si="45"/>
        <v>1</v>
      </c>
      <c r="H247" s="666"/>
      <c r="I247" s="21">
        <f t="shared" si="46"/>
        <v>1</v>
      </c>
      <c r="J247" s="666"/>
      <c r="K247" s="21">
        <f t="shared" si="47"/>
        <v>1</v>
      </c>
      <c r="L247" s="666"/>
      <c r="M247" s="21">
        <f t="shared" si="48"/>
        <v>1</v>
      </c>
      <c r="N247" s="666"/>
      <c r="O247" s="21">
        <f t="shared" si="49"/>
        <v>1</v>
      </c>
      <c r="P247" s="666"/>
      <c r="Q247" s="21">
        <f t="shared" si="50"/>
        <v>0</v>
      </c>
      <c r="R247" s="662">
        <f t="shared" si="51"/>
        <v>0</v>
      </c>
      <c r="S247" s="316">
        <f t="shared" si="52"/>
        <v>0</v>
      </c>
    </row>
    <row r="248" spans="1:19">
      <c r="A248" s="150"/>
      <c r="B248" s="54"/>
      <c r="C248" s="21">
        <f t="shared" si="43"/>
        <v>1</v>
      </c>
      <c r="D248" s="666"/>
      <c r="E248" s="21">
        <f t="shared" si="44"/>
        <v>1</v>
      </c>
      <c r="F248" s="666"/>
      <c r="G248" s="21">
        <f t="shared" si="45"/>
        <v>1</v>
      </c>
      <c r="H248" s="666"/>
      <c r="I248" s="21">
        <f t="shared" si="46"/>
        <v>1</v>
      </c>
      <c r="J248" s="666"/>
      <c r="K248" s="21">
        <f t="shared" si="47"/>
        <v>1</v>
      </c>
      <c r="L248" s="666"/>
      <c r="M248" s="21">
        <f t="shared" si="48"/>
        <v>1</v>
      </c>
      <c r="N248" s="666"/>
      <c r="O248" s="21">
        <f t="shared" si="49"/>
        <v>1</v>
      </c>
      <c r="P248" s="666"/>
      <c r="Q248" s="21">
        <f t="shared" si="50"/>
        <v>0</v>
      </c>
      <c r="R248" s="662">
        <f t="shared" si="51"/>
        <v>0</v>
      </c>
      <c r="S248" s="316">
        <f t="shared" si="52"/>
        <v>0</v>
      </c>
    </row>
    <row r="249" spans="1:19">
      <c r="A249" s="150"/>
      <c r="B249" s="54"/>
      <c r="C249" s="21">
        <f t="shared" si="43"/>
        <v>1</v>
      </c>
      <c r="D249" s="666"/>
      <c r="E249" s="21">
        <f t="shared" si="44"/>
        <v>1</v>
      </c>
      <c r="F249" s="666"/>
      <c r="G249" s="21">
        <f t="shared" si="45"/>
        <v>1</v>
      </c>
      <c r="H249" s="666"/>
      <c r="I249" s="21">
        <f t="shared" si="46"/>
        <v>1</v>
      </c>
      <c r="J249" s="666"/>
      <c r="K249" s="21">
        <f t="shared" si="47"/>
        <v>1</v>
      </c>
      <c r="L249" s="666"/>
      <c r="M249" s="21">
        <f t="shared" si="48"/>
        <v>1</v>
      </c>
      <c r="N249" s="666"/>
      <c r="O249" s="21">
        <f t="shared" si="49"/>
        <v>1</v>
      </c>
      <c r="P249" s="666"/>
      <c r="Q249" s="21">
        <f t="shared" si="50"/>
        <v>0</v>
      </c>
      <c r="R249" s="662">
        <f t="shared" si="51"/>
        <v>0</v>
      </c>
      <c r="S249" s="316">
        <f t="shared" si="52"/>
        <v>0</v>
      </c>
    </row>
    <row r="250" spans="1:19">
      <c r="A250" s="150"/>
      <c r="B250" s="54"/>
      <c r="C250" s="21">
        <f t="shared" si="43"/>
        <v>1</v>
      </c>
      <c r="D250" s="666"/>
      <c r="E250" s="21">
        <f t="shared" si="44"/>
        <v>1</v>
      </c>
      <c r="F250" s="666"/>
      <c r="G250" s="21">
        <f t="shared" si="45"/>
        <v>1</v>
      </c>
      <c r="H250" s="666"/>
      <c r="I250" s="21">
        <f t="shared" si="46"/>
        <v>1</v>
      </c>
      <c r="J250" s="666"/>
      <c r="K250" s="21">
        <f t="shared" si="47"/>
        <v>1</v>
      </c>
      <c r="L250" s="666"/>
      <c r="M250" s="21">
        <f t="shared" si="48"/>
        <v>1</v>
      </c>
      <c r="N250" s="666"/>
      <c r="O250" s="21">
        <f t="shared" si="49"/>
        <v>1</v>
      </c>
      <c r="P250" s="666"/>
      <c r="Q250" s="21">
        <f t="shared" si="50"/>
        <v>0</v>
      </c>
      <c r="R250" s="662">
        <f t="shared" si="51"/>
        <v>0</v>
      </c>
      <c r="S250" s="316">
        <f t="shared" si="52"/>
        <v>0</v>
      </c>
    </row>
    <row r="251" spans="1:19">
      <c r="A251" s="150"/>
      <c r="B251" s="54"/>
      <c r="C251" s="21">
        <f t="shared" si="43"/>
        <v>1</v>
      </c>
      <c r="D251" s="666"/>
      <c r="E251" s="21">
        <f t="shared" si="44"/>
        <v>1</v>
      </c>
      <c r="F251" s="666"/>
      <c r="G251" s="21">
        <f t="shared" si="45"/>
        <v>1</v>
      </c>
      <c r="H251" s="666"/>
      <c r="I251" s="21">
        <f t="shared" si="46"/>
        <v>1</v>
      </c>
      <c r="J251" s="666"/>
      <c r="K251" s="21">
        <f t="shared" si="47"/>
        <v>1</v>
      </c>
      <c r="L251" s="666"/>
      <c r="M251" s="21">
        <f t="shared" si="48"/>
        <v>1</v>
      </c>
      <c r="N251" s="666"/>
      <c r="O251" s="21">
        <f t="shared" si="49"/>
        <v>1</v>
      </c>
      <c r="P251" s="666"/>
      <c r="Q251" s="21">
        <f t="shared" si="50"/>
        <v>0</v>
      </c>
      <c r="R251" s="662">
        <f t="shared" si="51"/>
        <v>0</v>
      </c>
      <c r="S251" s="316">
        <f t="shared" si="52"/>
        <v>0</v>
      </c>
    </row>
    <row r="252" spans="1:19">
      <c r="A252" s="150"/>
      <c r="B252" s="54"/>
      <c r="C252" s="21">
        <f t="shared" si="43"/>
        <v>1</v>
      </c>
      <c r="D252" s="666"/>
      <c r="E252" s="21">
        <f t="shared" si="44"/>
        <v>1</v>
      </c>
      <c r="F252" s="666"/>
      <c r="G252" s="21">
        <f t="shared" si="45"/>
        <v>1</v>
      </c>
      <c r="H252" s="666"/>
      <c r="I252" s="21">
        <f t="shared" si="46"/>
        <v>1</v>
      </c>
      <c r="J252" s="666"/>
      <c r="K252" s="21">
        <f t="shared" si="47"/>
        <v>1</v>
      </c>
      <c r="L252" s="666"/>
      <c r="M252" s="21">
        <f t="shared" si="48"/>
        <v>1</v>
      </c>
      <c r="N252" s="666"/>
      <c r="O252" s="21">
        <f t="shared" si="49"/>
        <v>1</v>
      </c>
      <c r="P252" s="666"/>
      <c r="Q252" s="21">
        <f t="shared" si="50"/>
        <v>0</v>
      </c>
      <c r="R252" s="662">
        <f t="shared" si="51"/>
        <v>0</v>
      </c>
      <c r="S252" s="316">
        <f t="shared" si="52"/>
        <v>0</v>
      </c>
    </row>
    <row r="253" spans="1:19">
      <c r="A253" s="150"/>
      <c r="B253" s="54"/>
      <c r="C253" s="21">
        <f t="shared" si="43"/>
        <v>1</v>
      </c>
      <c r="D253" s="666"/>
      <c r="E253" s="21">
        <f t="shared" si="44"/>
        <v>1</v>
      </c>
      <c r="F253" s="666"/>
      <c r="G253" s="21">
        <f t="shared" si="45"/>
        <v>1</v>
      </c>
      <c r="H253" s="666"/>
      <c r="I253" s="21">
        <f t="shared" si="46"/>
        <v>1</v>
      </c>
      <c r="J253" s="666"/>
      <c r="K253" s="21">
        <f t="shared" si="47"/>
        <v>1</v>
      </c>
      <c r="L253" s="666"/>
      <c r="M253" s="21">
        <f t="shared" si="48"/>
        <v>1</v>
      </c>
      <c r="N253" s="666"/>
      <c r="O253" s="21">
        <f t="shared" si="49"/>
        <v>1</v>
      </c>
      <c r="P253" s="666"/>
      <c r="Q253" s="21">
        <f t="shared" si="50"/>
        <v>0</v>
      </c>
      <c r="R253" s="662">
        <f t="shared" si="51"/>
        <v>0</v>
      </c>
      <c r="S253" s="316">
        <f t="shared" si="52"/>
        <v>0</v>
      </c>
    </row>
    <row r="254" spans="1:19">
      <c r="A254" s="150"/>
      <c r="B254" s="54"/>
      <c r="C254" s="21">
        <f t="shared" si="43"/>
        <v>1</v>
      </c>
      <c r="D254" s="666"/>
      <c r="E254" s="21">
        <f t="shared" si="44"/>
        <v>1</v>
      </c>
      <c r="F254" s="666"/>
      <c r="G254" s="21">
        <f t="shared" si="45"/>
        <v>1</v>
      </c>
      <c r="H254" s="666"/>
      <c r="I254" s="21">
        <f t="shared" si="46"/>
        <v>1</v>
      </c>
      <c r="J254" s="666"/>
      <c r="K254" s="21">
        <f t="shared" si="47"/>
        <v>1</v>
      </c>
      <c r="L254" s="666"/>
      <c r="M254" s="21">
        <f t="shared" si="48"/>
        <v>1</v>
      </c>
      <c r="N254" s="666"/>
      <c r="O254" s="21">
        <f t="shared" si="49"/>
        <v>1</v>
      </c>
      <c r="P254" s="666"/>
      <c r="Q254" s="21">
        <f t="shared" si="50"/>
        <v>0</v>
      </c>
      <c r="R254" s="662">
        <f t="shared" si="51"/>
        <v>0</v>
      </c>
      <c r="S254" s="316">
        <f t="shared" si="52"/>
        <v>0</v>
      </c>
    </row>
    <row r="255" spans="1:19">
      <c r="A255" s="150"/>
      <c r="B255" s="54"/>
      <c r="C255" s="21">
        <f t="shared" si="43"/>
        <v>1</v>
      </c>
      <c r="D255" s="666"/>
      <c r="E255" s="21">
        <f t="shared" si="44"/>
        <v>1</v>
      </c>
      <c r="F255" s="666"/>
      <c r="G255" s="21">
        <f t="shared" si="45"/>
        <v>1</v>
      </c>
      <c r="H255" s="666"/>
      <c r="I255" s="21">
        <f t="shared" si="46"/>
        <v>1</v>
      </c>
      <c r="J255" s="666"/>
      <c r="K255" s="21">
        <f t="shared" si="47"/>
        <v>1</v>
      </c>
      <c r="L255" s="666"/>
      <c r="M255" s="21">
        <f t="shared" si="48"/>
        <v>1</v>
      </c>
      <c r="N255" s="666"/>
      <c r="O255" s="21">
        <f t="shared" si="49"/>
        <v>1</v>
      </c>
      <c r="P255" s="666"/>
      <c r="Q255" s="21">
        <f t="shared" si="50"/>
        <v>0</v>
      </c>
      <c r="R255" s="662">
        <f t="shared" si="51"/>
        <v>0</v>
      </c>
      <c r="S255" s="316">
        <f t="shared" si="52"/>
        <v>0</v>
      </c>
    </row>
    <row r="256" spans="1:19">
      <c r="A256" s="150"/>
      <c r="B256" s="54"/>
      <c r="C256" s="21">
        <f t="shared" si="43"/>
        <v>1</v>
      </c>
      <c r="D256" s="666"/>
      <c r="E256" s="21">
        <f t="shared" si="44"/>
        <v>1</v>
      </c>
      <c r="F256" s="666"/>
      <c r="G256" s="21">
        <f t="shared" si="45"/>
        <v>1</v>
      </c>
      <c r="H256" s="666"/>
      <c r="I256" s="21">
        <f t="shared" si="46"/>
        <v>1</v>
      </c>
      <c r="J256" s="666"/>
      <c r="K256" s="21">
        <f t="shared" si="47"/>
        <v>1</v>
      </c>
      <c r="L256" s="666"/>
      <c r="M256" s="21">
        <f t="shared" si="48"/>
        <v>1</v>
      </c>
      <c r="N256" s="666"/>
      <c r="O256" s="21">
        <f t="shared" si="49"/>
        <v>1</v>
      </c>
      <c r="P256" s="666"/>
      <c r="Q256" s="21">
        <f t="shared" si="50"/>
        <v>0</v>
      </c>
      <c r="R256" s="662">
        <f t="shared" si="51"/>
        <v>0</v>
      </c>
      <c r="S256" s="316">
        <f t="shared" si="52"/>
        <v>0</v>
      </c>
    </row>
    <row r="257" spans="1:19">
      <c r="A257" s="150"/>
      <c r="B257" s="54"/>
      <c r="C257" s="21">
        <f t="shared" si="43"/>
        <v>1</v>
      </c>
      <c r="D257" s="666"/>
      <c r="E257" s="21">
        <f t="shared" si="44"/>
        <v>1</v>
      </c>
      <c r="F257" s="666"/>
      <c r="G257" s="21">
        <f t="shared" si="45"/>
        <v>1</v>
      </c>
      <c r="H257" s="666"/>
      <c r="I257" s="21">
        <f t="shared" si="46"/>
        <v>1</v>
      </c>
      <c r="J257" s="666"/>
      <c r="K257" s="21">
        <f t="shared" si="47"/>
        <v>1</v>
      </c>
      <c r="L257" s="666"/>
      <c r="M257" s="21">
        <f t="shared" si="48"/>
        <v>1</v>
      </c>
      <c r="N257" s="666"/>
      <c r="O257" s="21">
        <f t="shared" si="49"/>
        <v>1</v>
      </c>
      <c r="P257" s="666"/>
      <c r="Q257" s="21">
        <f t="shared" si="50"/>
        <v>0</v>
      </c>
      <c r="R257" s="662">
        <f t="shared" si="51"/>
        <v>0</v>
      </c>
      <c r="S257" s="316">
        <f t="shared" si="52"/>
        <v>0</v>
      </c>
    </row>
    <row r="258" spans="1:19">
      <c r="A258" s="150"/>
      <c r="B258" s="54"/>
      <c r="C258" s="21">
        <f t="shared" si="43"/>
        <v>1</v>
      </c>
      <c r="D258" s="666"/>
      <c r="E258" s="21">
        <f t="shared" si="44"/>
        <v>1</v>
      </c>
      <c r="F258" s="666"/>
      <c r="G258" s="21">
        <f t="shared" si="45"/>
        <v>1</v>
      </c>
      <c r="H258" s="666"/>
      <c r="I258" s="21">
        <f t="shared" si="46"/>
        <v>1</v>
      </c>
      <c r="J258" s="666"/>
      <c r="K258" s="21">
        <f t="shared" si="47"/>
        <v>1</v>
      </c>
      <c r="L258" s="666"/>
      <c r="M258" s="21">
        <f t="shared" si="48"/>
        <v>1</v>
      </c>
      <c r="N258" s="666"/>
      <c r="O258" s="21">
        <f t="shared" si="49"/>
        <v>1</v>
      </c>
      <c r="P258" s="666"/>
      <c r="Q258" s="21">
        <f t="shared" si="50"/>
        <v>0</v>
      </c>
      <c r="R258" s="662">
        <f t="shared" si="51"/>
        <v>0</v>
      </c>
      <c r="S258" s="316">
        <f t="shared" si="52"/>
        <v>0</v>
      </c>
    </row>
    <row r="259" spans="1:19">
      <c r="A259" s="150"/>
      <c r="B259" s="54"/>
      <c r="C259" s="21">
        <f t="shared" si="43"/>
        <v>1</v>
      </c>
      <c r="D259" s="666"/>
      <c r="E259" s="21">
        <f t="shared" si="44"/>
        <v>1</v>
      </c>
      <c r="F259" s="666"/>
      <c r="G259" s="21">
        <f t="shared" si="45"/>
        <v>1</v>
      </c>
      <c r="H259" s="666"/>
      <c r="I259" s="21">
        <f t="shared" si="46"/>
        <v>1</v>
      </c>
      <c r="J259" s="666"/>
      <c r="K259" s="21">
        <f t="shared" si="47"/>
        <v>1</v>
      </c>
      <c r="L259" s="666"/>
      <c r="M259" s="21">
        <f t="shared" si="48"/>
        <v>1</v>
      </c>
      <c r="N259" s="666"/>
      <c r="O259" s="21">
        <f t="shared" si="49"/>
        <v>1</v>
      </c>
      <c r="P259" s="666"/>
      <c r="Q259" s="21">
        <f t="shared" si="50"/>
        <v>0</v>
      </c>
      <c r="R259" s="662">
        <f t="shared" si="51"/>
        <v>0</v>
      </c>
      <c r="S259" s="316">
        <f t="shared" si="52"/>
        <v>0</v>
      </c>
    </row>
    <row r="260" spans="1:19">
      <c r="A260" s="150"/>
      <c r="B260" s="54"/>
      <c r="C260" s="21">
        <f t="shared" si="43"/>
        <v>1</v>
      </c>
      <c r="D260" s="666"/>
      <c r="E260" s="21">
        <f t="shared" si="44"/>
        <v>1</v>
      </c>
      <c r="F260" s="666"/>
      <c r="G260" s="21">
        <f t="shared" si="45"/>
        <v>1</v>
      </c>
      <c r="H260" s="666"/>
      <c r="I260" s="21">
        <f t="shared" si="46"/>
        <v>1</v>
      </c>
      <c r="J260" s="666"/>
      <c r="K260" s="21">
        <f t="shared" si="47"/>
        <v>1</v>
      </c>
      <c r="L260" s="666"/>
      <c r="M260" s="21">
        <f t="shared" si="48"/>
        <v>1</v>
      </c>
      <c r="N260" s="666"/>
      <c r="O260" s="21">
        <f t="shared" si="49"/>
        <v>1</v>
      </c>
      <c r="P260" s="666"/>
      <c r="Q260" s="21">
        <f t="shared" si="50"/>
        <v>0</v>
      </c>
      <c r="R260" s="662">
        <f t="shared" si="51"/>
        <v>0</v>
      </c>
      <c r="S260" s="316">
        <f t="shared" si="52"/>
        <v>0</v>
      </c>
    </row>
    <row r="261" spans="1:19">
      <c r="A261" s="150"/>
      <c r="B261" s="54"/>
      <c r="C261" s="21">
        <f t="shared" si="43"/>
        <v>1</v>
      </c>
      <c r="D261" s="666"/>
      <c r="E261" s="21">
        <f t="shared" si="44"/>
        <v>1</v>
      </c>
      <c r="F261" s="666"/>
      <c r="G261" s="21">
        <f t="shared" si="45"/>
        <v>1</v>
      </c>
      <c r="H261" s="666"/>
      <c r="I261" s="21">
        <f t="shared" si="46"/>
        <v>1</v>
      </c>
      <c r="J261" s="666"/>
      <c r="K261" s="21">
        <f t="shared" si="47"/>
        <v>1</v>
      </c>
      <c r="L261" s="666"/>
      <c r="M261" s="21">
        <f t="shared" si="48"/>
        <v>1</v>
      </c>
      <c r="N261" s="666"/>
      <c r="O261" s="21">
        <f t="shared" si="49"/>
        <v>1</v>
      </c>
      <c r="P261" s="666"/>
      <c r="Q261" s="21">
        <f t="shared" si="50"/>
        <v>0</v>
      </c>
      <c r="R261" s="662">
        <f t="shared" si="51"/>
        <v>0</v>
      </c>
      <c r="S261" s="316">
        <f t="shared" si="52"/>
        <v>0</v>
      </c>
    </row>
    <row r="262" spans="1:19">
      <c r="A262" s="150"/>
      <c r="B262" s="54"/>
      <c r="C262" s="21">
        <f t="shared" si="43"/>
        <v>1</v>
      </c>
      <c r="D262" s="666"/>
      <c r="E262" s="21">
        <f t="shared" si="44"/>
        <v>1</v>
      </c>
      <c r="F262" s="666"/>
      <c r="G262" s="21">
        <f t="shared" si="45"/>
        <v>1</v>
      </c>
      <c r="H262" s="666"/>
      <c r="I262" s="21">
        <f t="shared" si="46"/>
        <v>1</v>
      </c>
      <c r="J262" s="666"/>
      <c r="K262" s="21">
        <f t="shared" si="47"/>
        <v>1</v>
      </c>
      <c r="L262" s="666"/>
      <c r="M262" s="21">
        <f t="shared" si="48"/>
        <v>1</v>
      </c>
      <c r="N262" s="666"/>
      <c r="O262" s="21">
        <f t="shared" si="49"/>
        <v>1</v>
      </c>
      <c r="P262" s="666"/>
      <c r="Q262" s="21">
        <f t="shared" si="50"/>
        <v>0</v>
      </c>
      <c r="R262" s="662">
        <f t="shared" si="51"/>
        <v>0</v>
      </c>
      <c r="S262" s="316">
        <f t="shared" si="52"/>
        <v>0</v>
      </c>
    </row>
    <row r="263" spans="1:19">
      <c r="A263" s="150"/>
      <c r="B263" s="54"/>
      <c r="C263" s="21">
        <f t="shared" si="43"/>
        <v>1</v>
      </c>
      <c r="D263" s="666"/>
      <c r="E263" s="21">
        <f t="shared" si="44"/>
        <v>1</v>
      </c>
      <c r="F263" s="666"/>
      <c r="G263" s="21">
        <f t="shared" si="45"/>
        <v>1</v>
      </c>
      <c r="H263" s="666"/>
      <c r="I263" s="21">
        <f t="shared" si="46"/>
        <v>1</v>
      </c>
      <c r="J263" s="666"/>
      <c r="K263" s="21">
        <f t="shared" si="47"/>
        <v>1</v>
      </c>
      <c r="L263" s="666"/>
      <c r="M263" s="21">
        <f t="shared" si="48"/>
        <v>1</v>
      </c>
      <c r="N263" s="666"/>
      <c r="O263" s="21">
        <f t="shared" si="49"/>
        <v>1</v>
      </c>
      <c r="P263" s="666"/>
      <c r="Q263" s="21">
        <f t="shared" si="50"/>
        <v>0</v>
      </c>
      <c r="R263" s="662">
        <f t="shared" si="51"/>
        <v>0</v>
      </c>
      <c r="S263" s="316">
        <f t="shared" si="52"/>
        <v>0</v>
      </c>
    </row>
    <row r="264" spans="1:19">
      <c r="A264" s="150"/>
      <c r="B264" s="54"/>
      <c r="C264" s="21">
        <f t="shared" si="43"/>
        <v>1</v>
      </c>
      <c r="D264" s="666"/>
      <c r="E264" s="21">
        <f t="shared" si="44"/>
        <v>1</v>
      </c>
      <c r="F264" s="666"/>
      <c r="G264" s="21">
        <f t="shared" si="45"/>
        <v>1</v>
      </c>
      <c r="H264" s="666"/>
      <c r="I264" s="21">
        <f t="shared" si="46"/>
        <v>1</v>
      </c>
      <c r="J264" s="666"/>
      <c r="K264" s="21">
        <f t="shared" si="47"/>
        <v>1</v>
      </c>
      <c r="L264" s="666"/>
      <c r="M264" s="21">
        <f t="shared" si="48"/>
        <v>1</v>
      </c>
      <c r="N264" s="666"/>
      <c r="O264" s="21">
        <f t="shared" si="49"/>
        <v>1</v>
      </c>
      <c r="P264" s="666"/>
      <c r="Q264" s="21">
        <f t="shared" si="50"/>
        <v>0</v>
      </c>
      <c r="R264" s="662">
        <f t="shared" si="51"/>
        <v>0</v>
      </c>
      <c r="S264" s="316">
        <f t="shared" si="52"/>
        <v>0</v>
      </c>
    </row>
    <row r="265" spans="1:19">
      <c r="A265" s="150"/>
      <c r="B265" s="54"/>
      <c r="C265" s="21">
        <f t="shared" si="43"/>
        <v>1</v>
      </c>
      <c r="D265" s="666"/>
      <c r="E265" s="21">
        <f t="shared" si="44"/>
        <v>1</v>
      </c>
      <c r="F265" s="666"/>
      <c r="G265" s="21">
        <f t="shared" si="45"/>
        <v>1</v>
      </c>
      <c r="H265" s="666"/>
      <c r="I265" s="21">
        <f t="shared" si="46"/>
        <v>1</v>
      </c>
      <c r="J265" s="666"/>
      <c r="K265" s="21">
        <f t="shared" si="47"/>
        <v>1</v>
      </c>
      <c r="L265" s="666"/>
      <c r="M265" s="21">
        <f t="shared" si="48"/>
        <v>1</v>
      </c>
      <c r="N265" s="666"/>
      <c r="O265" s="21">
        <f t="shared" si="49"/>
        <v>1</v>
      </c>
      <c r="P265" s="666"/>
      <c r="Q265" s="21">
        <f t="shared" si="50"/>
        <v>0</v>
      </c>
      <c r="R265" s="662">
        <f t="shared" si="51"/>
        <v>0</v>
      </c>
      <c r="S265" s="316">
        <f t="shared" si="52"/>
        <v>0</v>
      </c>
    </row>
    <row r="266" spans="1:19">
      <c r="A266" s="150"/>
      <c r="B266" s="54"/>
      <c r="C266" s="21">
        <f t="shared" si="43"/>
        <v>1</v>
      </c>
      <c r="D266" s="666"/>
      <c r="E266" s="21">
        <f t="shared" si="44"/>
        <v>1</v>
      </c>
      <c r="F266" s="666"/>
      <c r="G266" s="21">
        <f t="shared" si="45"/>
        <v>1</v>
      </c>
      <c r="H266" s="666"/>
      <c r="I266" s="21">
        <f t="shared" si="46"/>
        <v>1</v>
      </c>
      <c r="J266" s="666"/>
      <c r="K266" s="21">
        <f t="shared" si="47"/>
        <v>1</v>
      </c>
      <c r="L266" s="666"/>
      <c r="M266" s="21">
        <f t="shared" si="48"/>
        <v>1</v>
      </c>
      <c r="N266" s="666"/>
      <c r="O266" s="21">
        <f t="shared" si="49"/>
        <v>1</v>
      </c>
      <c r="P266" s="666"/>
      <c r="Q266" s="21">
        <f t="shared" si="50"/>
        <v>0</v>
      </c>
      <c r="R266" s="662">
        <f t="shared" si="51"/>
        <v>0</v>
      </c>
      <c r="S266" s="316">
        <f t="shared" si="52"/>
        <v>0</v>
      </c>
    </row>
    <row r="267" spans="1:19">
      <c r="A267" s="150"/>
      <c r="B267" s="54"/>
      <c r="C267" s="21">
        <f t="shared" si="43"/>
        <v>1</v>
      </c>
      <c r="D267" s="666"/>
      <c r="E267" s="21">
        <f t="shared" si="44"/>
        <v>1</v>
      </c>
      <c r="F267" s="666"/>
      <c r="G267" s="21">
        <f t="shared" si="45"/>
        <v>1</v>
      </c>
      <c r="H267" s="666"/>
      <c r="I267" s="21">
        <f t="shared" si="46"/>
        <v>1</v>
      </c>
      <c r="J267" s="666"/>
      <c r="K267" s="21">
        <f t="shared" si="47"/>
        <v>1</v>
      </c>
      <c r="L267" s="666"/>
      <c r="M267" s="21">
        <f t="shared" si="48"/>
        <v>1</v>
      </c>
      <c r="N267" s="666"/>
      <c r="O267" s="21">
        <f t="shared" si="49"/>
        <v>1</v>
      </c>
      <c r="P267" s="666"/>
      <c r="Q267" s="21">
        <f t="shared" si="50"/>
        <v>0</v>
      </c>
      <c r="R267" s="662">
        <f t="shared" si="51"/>
        <v>0</v>
      </c>
      <c r="S267" s="316">
        <f t="shared" si="52"/>
        <v>0</v>
      </c>
    </row>
    <row r="268" spans="1:19">
      <c r="A268" s="150"/>
      <c r="B268" s="54"/>
      <c r="C268" s="21">
        <f t="shared" si="43"/>
        <v>1</v>
      </c>
      <c r="D268" s="666"/>
      <c r="E268" s="21">
        <f t="shared" si="44"/>
        <v>1</v>
      </c>
      <c r="F268" s="666"/>
      <c r="G268" s="21">
        <f t="shared" si="45"/>
        <v>1</v>
      </c>
      <c r="H268" s="666"/>
      <c r="I268" s="21">
        <f t="shared" si="46"/>
        <v>1</v>
      </c>
      <c r="J268" s="666"/>
      <c r="K268" s="21">
        <f t="shared" si="47"/>
        <v>1</v>
      </c>
      <c r="L268" s="666"/>
      <c r="M268" s="21">
        <f t="shared" si="48"/>
        <v>1</v>
      </c>
      <c r="N268" s="666"/>
      <c r="O268" s="21">
        <f t="shared" si="49"/>
        <v>1</v>
      </c>
      <c r="P268" s="666"/>
      <c r="Q268" s="21">
        <f t="shared" si="50"/>
        <v>0</v>
      </c>
      <c r="R268" s="662">
        <f t="shared" si="51"/>
        <v>0</v>
      </c>
      <c r="S268" s="316">
        <f t="shared" si="52"/>
        <v>0</v>
      </c>
    </row>
    <row r="269" spans="1:19">
      <c r="A269" s="150"/>
      <c r="B269" s="54"/>
      <c r="C269" s="21">
        <f t="shared" si="43"/>
        <v>1</v>
      </c>
      <c r="D269" s="666"/>
      <c r="E269" s="21">
        <f t="shared" si="44"/>
        <v>1</v>
      </c>
      <c r="F269" s="666"/>
      <c r="G269" s="21">
        <f t="shared" si="45"/>
        <v>1</v>
      </c>
      <c r="H269" s="666"/>
      <c r="I269" s="21">
        <f t="shared" si="46"/>
        <v>1</v>
      </c>
      <c r="J269" s="666"/>
      <c r="K269" s="21">
        <f t="shared" si="47"/>
        <v>1</v>
      </c>
      <c r="L269" s="666"/>
      <c r="M269" s="21">
        <f t="shared" si="48"/>
        <v>1</v>
      </c>
      <c r="N269" s="666"/>
      <c r="O269" s="21">
        <f t="shared" si="49"/>
        <v>1</v>
      </c>
      <c r="P269" s="666"/>
      <c r="Q269" s="21">
        <f t="shared" si="50"/>
        <v>0</v>
      </c>
      <c r="R269" s="662">
        <f t="shared" si="51"/>
        <v>0</v>
      </c>
      <c r="S269" s="316">
        <f t="shared" si="52"/>
        <v>0</v>
      </c>
    </row>
    <row r="270" spans="1:19">
      <c r="A270" s="150"/>
      <c r="B270" s="54"/>
      <c r="C270" s="21">
        <f t="shared" si="43"/>
        <v>1</v>
      </c>
      <c r="D270" s="666"/>
      <c r="E270" s="21">
        <f t="shared" si="44"/>
        <v>1</v>
      </c>
      <c r="F270" s="666"/>
      <c r="G270" s="21">
        <f t="shared" si="45"/>
        <v>1</v>
      </c>
      <c r="H270" s="666"/>
      <c r="I270" s="21">
        <f t="shared" si="46"/>
        <v>1</v>
      </c>
      <c r="J270" s="666"/>
      <c r="K270" s="21">
        <f t="shared" si="47"/>
        <v>1</v>
      </c>
      <c r="L270" s="666"/>
      <c r="M270" s="21">
        <f t="shared" si="48"/>
        <v>1</v>
      </c>
      <c r="N270" s="666"/>
      <c r="O270" s="21">
        <f t="shared" si="49"/>
        <v>1</v>
      </c>
      <c r="P270" s="666"/>
      <c r="Q270" s="21">
        <f t="shared" si="50"/>
        <v>0</v>
      </c>
      <c r="R270" s="662">
        <f t="shared" si="51"/>
        <v>0</v>
      </c>
      <c r="S270" s="316">
        <f t="shared" si="52"/>
        <v>0</v>
      </c>
    </row>
    <row r="271" spans="1:19">
      <c r="A271" s="150"/>
      <c r="B271" s="54"/>
      <c r="C271" s="21">
        <f t="shared" si="43"/>
        <v>1</v>
      </c>
      <c r="D271" s="666"/>
      <c r="E271" s="21">
        <f t="shared" si="44"/>
        <v>1</v>
      </c>
      <c r="F271" s="666"/>
      <c r="G271" s="21">
        <f t="shared" si="45"/>
        <v>1</v>
      </c>
      <c r="H271" s="666"/>
      <c r="I271" s="21">
        <f t="shared" si="46"/>
        <v>1</v>
      </c>
      <c r="J271" s="666"/>
      <c r="K271" s="21">
        <f t="shared" si="47"/>
        <v>1</v>
      </c>
      <c r="L271" s="666"/>
      <c r="M271" s="21">
        <f t="shared" si="48"/>
        <v>1</v>
      </c>
      <c r="N271" s="666"/>
      <c r="O271" s="21">
        <f t="shared" si="49"/>
        <v>1</v>
      </c>
      <c r="P271" s="666"/>
      <c r="Q271" s="21">
        <f t="shared" si="50"/>
        <v>0</v>
      </c>
      <c r="R271" s="662">
        <f t="shared" si="51"/>
        <v>0</v>
      </c>
      <c r="S271" s="316">
        <f t="shared" si="52"/>
        <v>0</v>
      </c>
    </row>
    <row r="272" spans="1:19">
      <c r="A272" s="150"/>
      <c r="B272" s="54"/>
      <c r="C272" s="21">
        <f t="shared" si="43"/>
        <v>1</v>
      </c>
      <c r="D272" s="666"/>
      <c r="E272" s="21">
        <f t="shared" si="44"/>
        <v>1</v>
      </c>
      <c r="F272" s="666"/>
      <c r="G272" s="21">
        <f t="shared" si="45"/>
        <v>1</v>
      </c>
      <c r="H272" s="666"/>
      <c r="I272" s="21">
        <f t="shared" si="46"/>
        <v>1</v>
      </c>
      <c r="J272" s="666"/>
      <c r="K272" s="21">
        <f t="shared" si="47"/>
        <v>1</v>
      </c>
      <c r="L272" s="666"/>
      <c r="M272" s="21">
        <f t="shared" si="48"/>
        <v>1</v>
      </c>
      <c r="N272" s="666"/>
      <c r="O272" s="21">
        <f t="shared" si="49"/>
        <v>1</v>
      </c>
      <c r="P272" s="666"/>
      <c r="Q272" s="21">
        <f t="shared" si="50"/>
        <v>0</v>
      </c>
      <c r="R272" s="662">
        <f t="shared" si="51"/>
        <v>0</v>
      </c>
      <c r="S272" s="316">
        <f t="shared" si="52"/>
        <v>0</v>
      </c>
    </row>
    <row r="273" spans="1:19">
      <c r="A273" s="150"/>
      <c r="B273" s="54"/>
      <c r="C273" s="21">
        <f t="shared" si="43"/>
        <v>1</v>
      </c>
      <c r="D273" s="666"/>
      <c r="E273" s="21">
        <f t="shared" si="44"/>
        <v>1</v>
      </c>
      <c r="F273" s="666"/>
      <c r="G273" s="21">
        <f t="shared" si="45"/>
        <v>1</v>
      </c>
      <c r="H273" s="666"/>
      <c r="I273" s="21">
        <f t="shared" si="46"/>
        <v>1</v>
      </c>
      <c r="J273" s="666"/>
      <c r="K273" s="21">
        <f t="shared" si="47"/>
        <v>1</v>
      </c>
      <c r="L273" s="666"/>
      <c r="M273" s="21">
        <f t="shared" si="48"/>
        <v>1</v>
      </c>
      <c r="N273" s="666"/>
      <c r="O273" s="21">
        <f t="shared" si="49"/>
        <v>1</v>
      </c>
      <c r="P273" s="666"/>
      <c r="Q273" s="21">
        <f t="shared" si="50"/>
        <v>0</v>
      </c>
      <c r="R273" s="662">
        <f t="shared" si="51"/>
        <v>0</v>
      </c>
      <c r="S273" s="316">
        <f t="shared" si="52"/>
        <v>0</v>
      </c>
    </row>
    <row r="274" spans="1:19">
      <c r="A274" s="150"/>
      <c r="B274" s="54"/>
      <c r="C274" s="21">
        <f t="shared" si="43"/>
        <v>1</v>
      </c>
      <c r="D274" s="666"/>
      <c r="E274" s="21">
        <f t="shared" si="44"/>
        <v>1</v>
      </c>
      <c r="F274" s="666"/>
      <c r="G274" s="21">
        <f t="shared" si="45"/>
        <v>1</v>
      </c>
      <c r="H274" s="666"/>
      <c r="I274" s="21">
        <f t="shared" si="46"/>
        <v>1</v>
      </c>
      <c r="J274" s="666"/>
      <c r="K274" s="21">
        <f t="shared" si="47"/>
        <v>1</v>
      </c>
      <c r="L274" s="666"/>
      <c r="M274" s="21">
        <f t="shared" si="48"/>
        <v>1</v>
      </c>
      <c r="N274" s="666"/>
      <c r="O274" s="21">
        <f t="shared" si="49"/>
        <v>1</v>
      </c>
      <c r="P274" s="666"/>
      <c r="Q274" s="21">
        <f t="shared" si="50"/>
        <v>0</v>
      </c>
      <c r="R274" s="662">
        <f t="shared" si="51"/>
        <v>0</v>
      </c>
      <c r="S274" s="316">
        <f t="shared" si="52"/>
        <v>0</v>
      </c>
    </row>
    <row r="275" spans="1:19">
      <c r="A275" s="150"/>
      <c r="B275" s="54"/>
      <c r="C275" s="21">
        <f t="shared" si="43"/>
        <v>1</v>
      </c>
      <c r="D275" s="666"/>
      <c r="E275" s="21">
        <f t="shared" si="44"/>
        <v>1</v>
      </c>
      <c r="F275" s="666"/>
      <c r="G275" s="21">
        <f t="shared" si="45"/>
        <v>1</v>
      </c>
      <c r="H275" s="666"/>
      <c r="I275" s="21">
        <f t="shared" si="46"/>
        <v>1</v>
      </c>
      <c r="J275" s="666"/>
      <c r="K275" s="21">
        <f t="shared" si="47"/>
        <v>1</v>
      </c>
      <c r="L275" s="666"/>
      <c r="M275" s="21">
        <f t="shared" si="48"/>
        <v>1</v>
      </c>
      <c r="N275" s="666"/>
      <c r="O275" s="21">
        <f t="shared" si="49"/>
        <v>1</v>
      </c>
      <c r="P275" s="666"/>
      <c r="Q275" s="21">
        <f t="shared" si="50"/>
        <v>0</v>
      </c>
      <c r="R275" s="662">
        <f t="shared" si="51"/>
        <v>0</v>
      </c>
      <c r="S275" s="316">
        <f t="shared" si="52"/>
        <v>0</v>
      </c>
    </row>
    <row r="276" spans="1:19">
      <c r="A276" s="150"/>
      <c r="B276" s="54"/>
      <c r="C276" s="21">
        <f t="shared" si="43"/>
        <v>1</v>
      </c>
      <c r="D276" s="666"/>
      <c r="E276" s="21">
        <f t="shared" si="44"/>
        <v>1</v>
      </c>
      <c r="F276" s="666"/>
      <c r="G276" s="21">
        <f t="shared" si="45"/>
        <v>1</v>
      </c>
      <c r="H276" s="666"/>
      <c r="I276" s="21">
        <f t="shared" si="46"/>
        <v>1</v>
      </c>
      <c r="J276" s="666"/>
      <c r="K276" s="21">
        <f t="shared" si="47"/>
        <v>1</v>
      </c>
      <c r="L276" s="666"/>
      <c r="M276" s="21">
        <f t="shared" si="48"/>
        <v>1</v>
      </c>
      <c r="N276" s="666"/>
      <c r="O276" s="21">
        <f t="shared" si="49"/>
        <v>1</v>
      </c>
      <c r="P276" s="666"/>
      <c r="Q276" s="21">
        <f t="shared" si="50"/>
        <v>0</v>
      </c>
      <c r="R276" s="662">
        <f t="shared" si="51"/>
        <v>0</v>
      </c>
      <c r="S276" s="316">
        <f t="shared" si="52"/>
        <v>0</v>
      </c>
    </row>
    <row r="277" spans="1:19">
      <c r="A277" s="150"/>
      <c r="B277" s="54"/>
      <c r="C277" s="21">
        <f t="shared" si="43"/>
        <v>1</v>
      </c>
      <c r="D277" s="666"/>
      <c r="E277" s="21">
        <f t="shared" si="44"/>
        <v>1</v>
      </c>
      <c r="F277" s="666"/>
      <c r="G277" s="21">
        <f t="shared" si="45"/>
        <v>1</v>
      </c>
      <c r="H277" s="666"/>
      <c r="I277" s="21">
        <f t="shared" si="46"/>
        <v>1</v>
      </c>
      <c r="J277" s="666"/>
      <c r="K277" s="21">
        <f t="shared" si="47"/>
        <v>1</v>
      </c>
      <c r="L277" s="666"/>
      <c r="M277" s="21">
        <f t="shared" si="48"/>
        <v>1</v>
      </c>
      <c r="N277" s="666"/>
      <c r="O277" s="21">
        <f t="shared" si="49"/>
        <v>1</v>
      </c>
      <c r="P277" s="666"/>
      <c r="Q277" s="21">
        <f t="shared" si="50"/>
        <v>0</v>
      </c>
      <c r="R277" s="662">
        <f t="shared" si="51"/>
        <v>0</v>
      </c>
      <c r="S277" s="316">
        <f t="shared" si="52"/>
        <v>0</v>
      </c>
    </row>
    <row r="278" spans="1:19">
      <c r="A278" s="150"/>
      <c r="B278" s="54"/>
      <c r="C278" s="21">
        <f t="shared" si="43"/>
        <v>1</v>
      </c>
      <c r="D278" s="666"/>
      <c r="E278" s="21">
        <f t="shared" si="44"/>
        <v>1</v>
      </c>
      <c r="F278" s="666"/>
      <c r="G278" s="21">
        <f t="shared" si="45"/>
        <v>1</v>
      </c>
      <c r="H278" s="666"/>
      <c r="I278" s="21">
        <f t="shared" si="46"/>
        <v>1</v>
      </c>
      <c r="J278" s="666"/>
      <c r="K278" s="21">
        <f t="shared" si="47"/>
        <v>1</v>
      </c>
      <c r="L278" s="666"/>
      <c r="M278" s="21">
        <f t="shared" si="48"/>
        <v>1</v>
      </c>
      <c r="N278" s="666"/>
      <c r="O278" s="21">
        <f t="shared" si="49"/>
        <v>1</v>
      </c>
      <c r="P278" s="666"/>
      <c r="Q278" s="21">
        <f t="shared" si="50"/>
        <v>0</v>
      </c>
      <c r="R278" s="662">
        <f t="shared" si="51"/>
        <v>0</v>
      </c>
      <c r="S278" s="316">
        <f t="shared" si="52"/>
        <v>0</v>
      </c>
    </row>
    <row r="279" spans="1:19">
      <c r="A279" s="150"/>
      <c r="B279" s="54"/>
      <c r="C279" s="21">
        <f t="shared" si="43"/>
        <v>1</v>
      </c>
      <c r="D279" s="666"/>
      <c r="E279" s="21">
        <f t="shared" si="44"/>
        <v>1</v>
      </c>
      <c r="F279" s="666"/>
      <c r="G279" s="21">
        <f t="shared" si="45"/>
        <v>1</v>
      </c>
      <c r="H279" s="666"/>
      <c r="I279" s="21">
        <f t="shared" si="46"/>
        <v>1</v>
      </c>
      <c r="J279" s="666"/>
      <c r="K279" s="21">
        <f t="shared" si="47"/>
        <v>1</v>
      </c>
      <c r="L279" s="666"/>
      <c r="M279" s="21">
        <f t="shared" si="48"/>
        <v>1</v>
      </c>
      <c r="N279" s="666"/>
      <c r="O279" s="21">
        <f t="shared" si="49"/>
        <v>1</v>
      </c>
      <c r="P279" s="666"/>
      <c r="Q279" s="21">
        <f t="shared" si="50"/>
        <v>0</v>
      </c>
      <c r="R279" s="662">
        <f t="shared" si="51"/>
        <v>0</v>
      </c>
      <c r="S279" s="316">
        <f t="shared" si="52"/>
        <v>0</v>
      </c>
    </row>
    <row r="280" spans="1:19">
      <c r="A280" s="150"/>
      <c r="B280" s="54"/>
      <c r="C280" s="21">
        <f t="shared" si="43"/>
        <v>1</v>
      </c>
      <c r="D280" s="666"/>
      <c r="E280" s="21">
        <f t="shared" si="44"/>
        <v>1</v>
      </c>
      <c r="F280" s="666"/>
      <c r="G280" s="21">
        <f t="shared" si="45"/>
        <v>1</v>
      </c>
      <c r="H280" s="666"/>
      <c r="I280" s="21">
        <f t="shared" si="46"/>
        <v>1</v>
      </c>
      <c r="J280" s="666"/>
      <c r="K280" s="21">
        <f t="shared" si="47"/>
        <v>1</v>
      </c>
      <c r="L280" s="666"/>
      <c r="M280" s="21">
        <f t="shared" si="48"/>
        <v>1</v>
      </c>
      <c r="N280" s="666"/>
      <c r="O280" s="21">
        <f t="shared" si="49"/>
        <v>1</v>
      </c>
      <c r="P280" s="666"/>
      <c r="Q280" s="21">
        <f t="shared" si="50"/>
        <v>0</v>
      </c>
      <c r="R280" s="662">
        <f t="shared" si="51"/>
        <v>0</v>
      </c>
      <c r="S280" s="316">
        <f t="shared" si="52"/>
        <v>0</v>
      </c>
    </row>
    <row r="281" spans="1:19">
      <c r="A281" s="150"/>
      <c r="B281" s="54"/>
      <c r="C281" s="21">
        <f t="shared" si="43"/>
        <v>1</v>
      </c>
      <c r="D281" s="666"/>
      <c r="E281" s="21">
        <f t="shared" si="44"/>
        <v>1</v>
      </c>
      <c r="F281" s="666"/>
      <c r="G281" s="21">
        <f t="shared" si="45"/>
        <v>1</v>
      </c>
      <c r="H281" s="666"/>
      <c r="I281" s="21">
        <f t="shared" si="46"/>
        <v>1</v>
      </c>
      <c r="J281" s="666"/>
      <c r="K281" s="21">
        <f t="shared" si="47"/>
        <v>1</v>
      </c>
      <c r="L281" s="666"/>
      <c r="M281" s="21">
        <f t="shared" si="48"/>
        <v>1</v>
      </c>
      <c r="N281" s="666"/>
      <c r="O281" s="21">
        <f t="shared" si="49"/>
        <v>1</v>
      </c>
      <c r="P281" s="666"/>
      <c r="Q281" s="21">
        <f t="shared" si="50"/>
        <v>0</v>
      </c>
      <c r="R281" s="662">
        <f t="shared" si="51"/>
        <v>0</v>
      </c>
      <c r="S281" s="316">
        <f t="shared" si="52"/>
        <v>0</v>
      </c>
    </row>
    <row r="282" spans="1:19">
      <c r="A282" s="150"/>
      <c r="B282" s="54"/>
      <c r="C282" s="21">
        <f t="shared" ref="C282:C345" si="53">IF(B282="",1,(LOOKUP(B282,$3:$3,$4:$4)-LOOKUP($B$24,$3:$3,$4:$4)+100)/100)</f>
        <v>1</v>
      </c>
      <c r="D282" s="666"/>
      <c r="E282" s="21">
        <f t="shared" ref="E282:E345" si="54">(SUMIF($5:$5,D282,$6:$6)-SUMIF($5:$5,$D$24,$6:$6)+100)/100</f>
        <v>1</v>
      </c>
      <c r="F282" s="666"/>
      <c r="G282" s="21">
        <f t="shared" ref="G282:G345" si="55">(SUMIF($7:$7,F282,$8:$8)-SUMIF($7:$7,$F$24,$8:$8)+100)/100</f>
        <v>1</v>
      </c>
      <c r="H282" s="666"/>
      <c r="I282" s="21">
        <f t="shared" ref="I282:I345" si="56">(SUMIF($9:$9,H282,$10:$10)-SUMIF($9:$9,$H$24,$10:$10)+100)/100</f>
        <v>1</v>
      </c>
      <c r="J282" s="666"/>
      <c r="K282" s="21">
        <f t="shared" ref="K282:K345" si="57">(SUMIF($11:$11,J282,$12:$12)-SUMIF($11:$11,$J$24,$12:$12)+100)/100</f>
        <v>1</v>
      </c>
      <c r="L282" s="666"/>
      <c r="M282" s="21">
        <f t="shared" ref="M282:M345" si="58">(SUMIF($13:$13,L282,$14:$14)-SUMIF($13:$13,$L$24,$14:$14)+100)/100</f>
        <v>1</v>
      </c>
      <c r="N282" s="666"/>
      <c r="O282" s="21">
        <f t="shared" ref="O282:O345" si="59">(SUMIF($15:$15,N282,$16:$16)-SUMIF($15:$15,$N$24,$16:$16)+100)/100</f>
        <v>1</v>
      </c>
      <c r="P282" s="666"/>
      <c r="Q282" s="21">
        <f t="shared" ref="Q282:Q345" si="60">(SUMIF($17:$17,P282,$18:$18)-SUMIF($17:$17,$P$24,$18:$18)+100)/100</f>
        <v>0</v>
      </c>
      <c r="R282" s="662">
        <f t="shared" ref="R282:R345" si="61">IF(B282="",0,ROUND($R$24*C282*E282*G282*I282*K282*M282*O282*Q282,0))</f>
        <v>0</v>
      </c>
      <c r="S282" s="316">
        <f t="shared" si="52"/>
        <v>0</v>
      </c>
    </row>
    <row r="283" spans="1:19">
      <c r="A283" s="150"/>
      <c r="B283" s="54"/>
      <c r="C283" s="21">
        <f t="shared" si="53"/>
        <v>1</v>
      </c>
      <c r="D283" s="666"/>
      <c r="E283" s="21">
        <f t="shared" si="54"/>
        <v>1</v>
      </c>
      <c r="F283" s="666"/>
      <c r="G283" s="21">
        <f t="shared" si="55"/>
        <v>1</v>
      </c>
      <c r="H283" s="666"/>
      <c r="I283" s="21">
        <f t="shared" si="56"/>
        <v>1</v>
      </c>
      <c r="J283" s="666"/>
      <c r="K283" s="21">
        <f t="shared" si="57"/>
        <v>1</v>
      </c>
      <c r="L283" s="666"/>
      <c r="M283" s="21">
        <f t="shared" si="58"/>
        <v>1</v>
      </c>
      <c r="N283" s="666"/>
      <c r="O283" s="21">
        <f t="shared" si="59"/>
        <v>1</v>
      </c>
      <c r="P283" s="666"/>
      <c r="Q283" s="21">
        <f t="shared" si="60"/>
        <v>0</v>
      </c>
      <c r="R283" s="662">
        <f t="shared" si="61"/>
        <v>0</v>
      </c>
      <c r="S283" s="316">
        <f t="shared" si="52"/>
        <v>0</v>
      </c>
    </row>
    <row r="284" spans="1:19">
      <c r="A284" s="150"/>
      <c r="B284" s="54"/>
      <c r="C284" s="21">
        <f t="shared" si="53"/>
        <v>1</v>
      </c>
      <c r="D284" s="666"/>
      <c r="E284" s="21">
        <f t="shared" si="54"/>
        <v>1</v>
      </c>
      <c r="F284" s="666"/>
      <c r="G284" s="21">
        <f t="shared" si="55"/>
        <v>1</v>
      </c>
      <c r="H284" s="666"/>
      <c r="I284" s="21">
        <f t="shared" si="56"/>
        <v>1</v>
      </c>
      <c r="J284" s="666"/>
      <c r="K284" s="21">
        <f t="shared" si="57"/>
        <v>1</v>
      </c>
      <c r="L284" s="666"/>
      <c r="M284" s="21">
        <f t="shared" si="58"/>
        <v>1</v>
      </c>
      <c r="N284" s="666"/>
      <c r="O284" s="21">
        <f t="shared" si="59"/>
        <v>1</v>
      </c>
      <c r="P284" s="666"/>
      <c r="Q284" s="21">
        <f t="shared" si="60"/>
        <v>0</v>
      </c>
      <c r="R284" s="662">
        <f t="shared" si="61"/>
        <v>0</v>
      </c>
      <c r="S284" s="316">
        <f t="shared" si="52"/>
        <v>0</v>
      </c>
    </row>
    <row r="285" spans="1:19">
      <c r="A285" s="150"/>
      <c r="B285" s="54"/>
      <c r="C285" s="21">
        <f t="shared" si="53"/>
        <v>1</v>
      </c>
      <c r="D285" s="666"/>
      <c r="E285" s="21">
        <f t="shared" si="54"/>
        <v>1</v>
      </c>
      <c r="F285" s="666"/>
      <c r="G285" s="21">
        <f t="shared" si="55"/>
        <v>1</v>
      </c>
      <c r="H285" s="666"/>
      <c r="I285" s="21">
        <f t="shared" si="56"/>
        <v>1</v>
      </c>
      <c r="J285" s="666"/>
      <c r="K285" s="21">
        <f t="shared" si="57"/>
        <v>1</v>
      </c>
      <c r="L285" s="666"/>
      <c r="M285" s="21">
        <f t="shared" si="58"/>
        <v>1</v>
      </c>
      <c r="N285" s="666"/>
      <c r="O285" s="21">
        <f t="shared" si="59"/>
        <v>1</v>
      </c>
      <c r="P285" s="666"/>
      <c r="Q285" s="21">
        <f t="shared" si="60"/>
        <v>0</v>
      </c>
      <c r="R285" s="662">
        <f t="shared" si="61"/>
        <v>0</v>
      </c>
      <c r="S285" s="316">
        <f t="shared" si="52"/>
        <v>0</v>
      </c>
    </row>
    <row r="286" spans="1:19">
      <c r="A286" s="150"/>
      <c r="B286" s="54"/>
      <c r="C286" s="21">
        <f t="shared" si="53"/>
        <v>1</v>
      </c>
      <c r="D286" s="666"/>
      <c r="E286" s="21">
        <f t="shared" si="54"/>
        <v>1</v>
      </c>
      <c r="F286" s="666"/>
      <c r="G286" s="21">
        <f t="shared" si="55"/>
        <v>1</v>
      </c>
      <c r="H286" s="666"/>
      <c r="I286" s="21">
        <f t="shared" si="56"/>
        <v>1</v>
      </c>
      <c r="J286" s="666"/>
      <c r="K286" s="21">
        <f t="shared" si="57"/>
        <v>1</v>
      </c>
      <c r="L286" s="666"/>
      <c r="M286" s="21">
        <f t="shared" si="58"/>
        <v>1</v>
      </c>
      <c r="N286" s="666"/>
      <c r="O286" s="21">
        <f t="shared" si="59"/>
        <v>1</v>
      </c>
      <c r="P286" s="666"/>
      <c r="Q286" s="21">
        <f t="shared" si="60"/>
        <v>0</v>
      </c>
      <c r="R286" s="662">
        <f t="shared" si="61"/>
        <v>0</v>
      </c>
      <c r="S286" s="316">
        <f t="shared" si="52"/>
        <v>0</v>
      </c>
    </row>
    <row r="287" spans="1:19">
      <c r="A287" s="150"/>
      <c r="B287" s="54"/>
      <c r="C287" s="21">
        <f t="shared" si="53"/>
        <v>1</v>
      </c>
      <c r="D287" s="666"/>
      <c r="E287" s="21">
        <f t="shared" si="54"/>
        <v>1</v>
      </c>
      <c r="F287" s="666"/>
      <c r="G287" s="21">
        <f t="shared" si="55"/>
        <v>1</v>
      </c>
      <c r="H287" s="666"/>
      <c r="I287" s="21">
        <f t="shared" si="56"/>
        <v>1</v>
      </c>
      <c r="J287" s="666"/>
      <c r="K287" s="21">
        <f t="shared" si="57"/>
        <v>1</v>
      </c>
      <c r="L287" s="666"/>
      <c r="M287" s="21">
        <f t="shared" si="58"/>
        <v>1</v>
      </c>
      <c r="N287" s="666"/>
      <c r="O287" s="21">
        <f t="shared" si="59"/>
        <v>1</v>
      </c>
      <c r="P287" s="666"/>
      <c r="Q287" s="21">
        <f t="shared" si="60"/>
        <v>0</v>
      </c>
      <c r="R287" s="662">
        <f t="shared" si="61"/>
        <v>0</v>
      </c>
      <c r="S287" s="316">
        <f t="shared" ref="S287:S320" si="62">ROUND(R287*B287/10000,0)</f>
        <v>0</v>
      </c>
    </row>
    <row r="288" spans="1:19">
      <c r="A288" s="150"/>
      <c r="B288" s="54"/>
      <c r="C288" s="21">
        <f t="shared" si="53"/>
        <v>1</v>
      </c>
      <c r="D288" s="666"/>
      <c r="E288" s="21">
        <f t="shared" si="54"/>
        <v>1</v>
      </c>
      <c r="F288" s="666"/>
      <c r="G288" s="21">
        <f t="shared" si="55"/>
        <v>1</v>
      </c>
      <c r="H288" s="666"/>
      <c r="I288" s="21">
        <f t="shared" si="56"/>
        <v>1</v>
      </c>
      <c r="J288" s="666"/>
      <c r="K288" s="21">
        <f t="shared" si="57"/>
        <v>1</v>
      </c>
      <c r="L288" s="666"/>
      <c r="M288" s="21">
        <f t="shared" si="58"/>
        <v>1</v>
      </c>
      <c r="N288" s="666"/>
      <c r="O288" s="21">
        <f t="shared" si="59"/>
        <v>1</v>
      </c>
      <c r="P288" s="666"/>
      <c r="Q288" s="21">
        <f t="shared" si="60"/>
        <v>0</v>
      </c>
      <c r="R288" s="662">
        <f t="shared" si="61"/>
        <v>0</v>
      </c>
      <c r="S288" s="316">
        <f t="shared" si="62"/>
        <v>0</v>
      </c>
    </row>
    <row r="289" spans="1:19">
      <c r="A289" s="150"/>
      <c r="B289" s="54"/>
      <c r="C289" s="21">
        <f t="shared" si="53"/>
        <v>1</v>
      </c>
      <c r="D289" s="666"/>
      <c r="E289" s="21">
        <f t="shared" si="54"/>
        <v>1</v>
      </c>
      <c r="F289" s="666"/>
      <c r="G289" s="21">
        <f t="shared" si="55"/>
        <v>1</v>
      </c>
      <c r="H289" s="666"/>
      <c r="I289" s="21">
        <f t="shared" si="56"/>
        <v>1</v>
      </c>
      <c r="J289" s="666"/>
      <c r="K289" s="21">
        <f t="shared" si="57"/>
        <v>1</v>
      </c>
      <c r="L289" s="666"/>
      <c r="M289" s="21">
        <f t="shared" si="58"/>
        <v>1</v>
      </c>
      <c r="N289" s="666"/>
      <c r="O289" s="21">
        <f t="shared" si="59"/>
        <v>1</v>
      </c>
      <c r="P289" s="666"/>
      <c r="Q289" s="21">
        <f t="shared" si="60"/>
        <v>0</v>
      </c>
      <c r="R289" s="662">
        <f t="shared" si="61"/>
        <v>0</v>
      </c>
      <c r="S289" s="316">
        <f t="shared" si="62"/>
        <v>0</v>
      </c>
    </row>
    <row r="290" spans="1:19">
      <c r="A290" s="150"/>
      <c r="B290" s="54"/>
      <c r="C290" s="21">
        <f t="shared" si="53"/>
        <v>1</v>
      </c>
      <c r="D290" s="666"/>
      <c r="E290" s="21">
        <f t="shared" si="54"/>
        <v>1</v>
      </c>
      <c r="F290" s="666"/>
      <c r="G290" s="21">
        <f t="shared" si="55"/>
        <v>1</v>
      </c>
      <c r="H290" s="666"/>
      <c r="I290" s="21">
        <f t="shared" si="56"/>
        <v>1</v>
      </c>
      <c r="J290" s="666"/>
      <c r="K290" s="21">
        <f t="shared" si="57"/>
        <v>1</v>
      </c>
      <c r="L290" s="666"/>
      <c r="M290" s="21">
        <f t="shared" si="58"/>
        <v>1</v>
      </c>
      <c r="N290" s="666"/>
      <c r="O290" s="21">
        <f t="shared" si="59"/>
        <v>1</v>
      </c>
      <c r="P290" s="666"/>
      <c r="Q290" s="21">
        <f t="shared" si="60"/>
        <v>0</v>
      </c>
      <c r="R290" s="662">
        <f t="shared" si="61"/>
        <v>0</v>
      </c>
      <c r="S290" s="316">
        <f t="shared" si="62"/>
        <v>0</v>
      </c>
    </row>
    <row r="291" spans="1:19">
      <c r="A291" s="150"/>
      <c r="B291" s="54"/>
      <c r="C291" s="21">
        <f t="shared" si="53"/>
        <v>1</v>
      </c>
      <c r="D291" s="666"/>
      <c r="E291" s="21">
        <f t="shared" si="54"/>
        <v>1</v>
      </c>
      <c r="F291" s="666"/>
      <c r="G291" s="21">
        <f t="shared" si="55"/>
        <v>1</v>
      </c>
      <c r="H291" s="666"/>
      <c r="I291" s="21">
        <f t="shared" si="56"/>
        <v>1</v>
      </c>
      <c r="J291" s="666"/>
      <c r="K291" s="21">
        <f t="shared" si="57"/>
        <v>1</v>
      </c>
      <c r="L291" s="666"/>
      <c r="M291" s="21">
        <f t="shared" si="58"/>
        <v>1</v>
      </c>
      <c r="N291" s="666"/>
      <c r="O291" s="21">
        <f t="shared" si="59"/>
        <v>1</v>
      </c>
      <c r="P291" s="666"/>
      <c r="Q291" s="21">
        <f t="shared" si="60"/>
        <v>0</v>
      </c>
      <c r="R291" s="662">
        <f t="shared" si="61"/>
        <v>0</v>
      </c>
      <c r="S291" s="316">
        <f t="shared" si="62"/>
        <v>0</v>
      </c>
    </row>
    <row r="292" spans="1:19">
      <c r="A292" s="150"/>
      <c r="B292" s="54"/>
      <c r="C292" s="21">
        <f t="shared" si="53"/>
        <v>1</v>
      </c>
      <c r="D292" s="666"/>
      <c r="E292" s="21">
        <f t="shared" si="54"/>
        <v>1</v>
      </c>
      <c r="F292" s="666"/>
      <c r="G292" s="21">
        <f t="shared" si="55"/>
        <v>1</v>
      </c>
      <c r="H292" s="666"/>
      <c r="I292" s="21">
        <f t="shared" si="56"/>
        <v>1</v>
      </c>
      <c r="J292" s="666"/>
      <c r="K292" s="21">
        <f t="shared" si="57"/>
        <v>1</v>
      </c>
      <c r="L292" s="666"/>
      <c r="M292" s="21">
        <f t="shared" si="58"/>
        <v>1</v>
      </c>
      <c r="N292" s="666"/>
      <c r="O292" s="21">
        <f t="shared" si="59"/>
        <v>1</v>
      </c>
      <c r="P292" s="666"/>
      <c r="Q292" s="21">
        <f t="shared" si="60"/>
        <v>0</v>
      </c>
      <c r="R292" s="662">
        <f t="shared" si="61"/>
        <v>0</v>
      </c>
      <c r="S292" s="316">
        <f t="shared" si="62"/>
        <v>0</v>
      </c>
    </row>
    <row r="293" spans="1:19">
      <c r="A293" s="150"/>
      <c r="B293" s="54"/>
      <c r="C293" s="21">
        <f t="shared" si="53"/>
        <v>1</v>
      </c>
      <c r="D293" s="666"/>
      <c r="E293" s="21">
        <f t="shared" si="54"/>
        <v>1</v>
      </c>
      <c r="F293" s="666"/>
      <c r="G293" s="21">
        <f t="shared" si="55"/>
        <v>1</v>
      </c>
      <c r="H293" s="666"/>
      <c r="I293" s="21">
        <f t="shared" si="56"/>
        <v>1</v>
      </c>
      <c r="J293" s="666"/>
      <c r="K293" s="21">
        <f t="shared" si="57"/>
        <v>1</v>
      </c>
      <c r="L293" s="666"/>
      <c r="M293" s="21">
        <f t="shared" si="58"/>
        <v>1</v>
      </c>
      <c r="N293" s="666"/>
      <c r="O293" s="21">
        <f t="shared" si="59"/>
        <v>1</v>
      </c>
      <c r="P293" s="666"/>
      <c r="Q293" s="21">
        <f t="shared" si="60"/>
        <v>0</v>
      </c>
      <c r="R293" s="662">
        <f t="shared" si="61"/>
        <v>0</v>
      </c>
      <c r="S293" s="316">
        <f t="shared" si="62"/>
        <v>0</v>
      </c>
    </row>
    <row r="294" spans="1:19">
      <c r="A294" s="150"/>
      <c r="B294" s="54"/>
      <c r="C294" s="21">
        <f t="shared" si="53"/>
        <v>1</v>
      </c>
      <c r="D294" s="666"/>
      <c r="E294" s="21">
        <f t="shared" si="54"/>
        <v>1</v>
      </c>
      <c r="F294" s="666"/>
      <c r="G294" s="21">
        <f t="shared" si="55"/>
        <v>1</v>
      </c>
      <c r="H294" s="666"/>
      <c r="I294" s="21">
        <f t="shared" si="56"/>
        <v>1</v>
      </c>
      <c r="J294" s="666"/>
      <c r="K294" s="21">
        <f t="shared" si="57"/>
        <v>1</v>
      </c>
      <c r="L294" s="666"/>
      <c r="M294" s="21">
        <f t="shared" si="58"/>
        <v>1</v>
      </c>
      <c r="N294" s="666"/>
      <c r="O294" s="21">
        <f t="shared" si="59"/>
        <v>1</v>
      </c>
      <c r="P294" s="666"/>
      <c r="Q294" s="21">
        <f t="shared" si="60"/>
        <v>0</v>
      </c>
      <c r="R294" s="662">
        <f t="shared" si="61"/>
        <v>0</v>
      </c>
      <c r="S294" s="316">
        <f t="shared" si="62"/>
        <v>0</v>
      </c>
    </row>
    <row r="295" spans="1:19">
      <c r="A295" s="150"/>
      <c r="B295" s="54"/>
      <c r="C295" s="21">
        <f t="shared" si="53"/>
        <v>1</v>
      </c>
      <c r="D295" s="666"/>
      <c r="E295" s="21">
        <f t="shared" si="54"/>
        <v>1</v>
      </c>
      <c r="F295" s="666"/>
      <c r="G295" s="21">
        <f t="shared" si="55"/>
        <v>1</v>
      </c>
      <c r="H295" s="666"/>
      <c r="I295" s="21">
        <f t="shared" si="56"/>
        <v>1</v>
      </c>
      <c r="J295" s="666"/>
      <c r="K295" s="21">
        <f t="shared" si="57"/>
        <v>1</v>
      </c>
      <c r="L295" s="666"/>
      <c r="M295" s="21">
        <f t="shared" si="58"/>
        <v>1</v>
      </c>
      <c r="N295" s="666"/>
      <c r="O295" s="21">
        <f t="shared" si="59"/>
        <v>1</v>
      </c>
      <c r="P295" s="666"/>
      <c r="Q295" s="21">
        <f t="shared" si="60"/>
        <v>0</v>
      </c>
      <c r="R295" s="662">
        <f t="shared" si="61"/>
        <v>0</v>
      </c>
      <c r="S295" s="316">
        <f t="shared" si="62"/>
        <v>0</v>
      </c>
    </row>
    <row r="296" spans="1:19">
      <c r="A296" s="150"/>
      <c r="B296" s="54"/>
      <c r="C296" s="21">
        <f t="shared" si="53"/>
        <v>1</v>
      </c>
      <c r="D296" s="666"/>
      <c r="E296" s="21">
        <f t="shared" si="54"/>
        <v>1</v>
      </c>
      <c r="F296" s="666"/>
      <c r="G296" s="21">
        <f t="shared" si="55"/>
        <v>1</v>
      </c>
      <c r="H296" s="666"/>
      <c r="I296" s="21">
        <f t="shared" si="56"/>
        <v>1</v>
      </c>
      <c r="J296" s="666"/>
      <c r="K296" s="21">
        <f t="shared" si="57"/>
        <v>1</v>
      </c>
      <c r="L296" s="666"/>
      <c r="M296" s="21">
        <f t="shared" si="58"/>
        <v>1</v>
      </c>
      <c r="N296" s="666"/>
      <c r="O296" s="21">
        <f t="shared" si="59"/>
        <v>1</v>
      </c>
      <c r="P296" s="666"/>
      <c r="Q296" s="21">
        <f t="shared" si="60"/>
        <v>0</v>
      </c>
      <c r="R296" s="662">
        <f t="shared" si="61"/>
        <v>0</v>
      </c>
      <c r="S296" s="316">
        <f t="shared" si="62"/>
        <v>0</v>
      </c>
    </row>
    <row r="297" spans="1:19">
      <c r="A297" s="150"/>
      <c r="B297" s="54"/>
      <c r="C297" s="21">
        <f t="shared" si="53"/>
        <v>1</v>
      </c>
      <c r="D297" s="666"/>
      <c r="E297" s="21">
        <f t="shared" si="54"/>
        <v>1</v>
      </c>
      <c r="F297" s="666"/>
      <c r="G297" s="21">
        <f t="shared" si="55"/>
        <v>1</v>
      </c>
      <c r="H297" s="666"/>
      <c r="I297" s="21">
        <f t="shared" si="56"/>
        <v>1</v>
      </c>
      <c r="J297" s="666"/>
      <c r="K297" s="21">
        <f t="shared" si="57"/>
        <v>1</v>
      </c>
      <c r="L297" s="666"/>
      <c r="M297" s="21">
        <f t="shared" si="58"/>
        <v>1</v>
      </c>
      <c r="N297" s="666"/>
      <c r="O297" s="21">
        <f t="shared" si="59"/>
        <v>1</v>
      </c>
      <c r="P297" s="666"/>
      <c r="Q297" s="21">
        <f t="shared" si="60"/>
        <v>0</v>
      </c>
      <c r="R297" s="662">
        <f t="shared" si="61"/>
        <v>0</v>
      </c>
      <c r="S297" s="316">
        <f t="shared" si="62"/>
        <v>0</v>
      </c>
    </row>
    <row r="298" spans="1:19">
      <c r="A298" s="150"/>
      <c r="B298" s="54"/>
      <c r="C298" s="21">
        <f t="shared" si="53"/>
        <v>1</v>
      </c>
      <c r="D298" s="666"/>
      <c r="E298" s="21">
        <f t="shared" si="54"/>
        <v>1</v>
      </c>
      <c r="F298" s="666"/>
      <c r="G298" s="21">
        <f t="shared" si="55"/>
        <v>1</v>
      </c>
      <c r="H298" s="666"/>
      <c r="I298" s="21">
        <f t="shared" si="56"/>
        <v>1</v>
      </c>
      <c r="J298" s="666"/>
      <c r="K298" s="21">
        <f t="shared" si="57"/>
        <v>1</v>
      </c>
      <c r="L298" s="666"/>
      <c r="M298" s="21">
        <f t="shared" si="58"/>
        <v>1</v>
      </c>
      <c r="N298" s="666"/>
      <c r="O298" s="21">
        <f t="shared" si="59"/>
        <v>1</v>
      </c>
      <c r="P298" s="666"/>
      <c r="Q298" s="21">
        <f t="shared" si="60"/>
        <v>0</v>
      </c>
      <c r="R298" s="662">
        <f t="shared" si="61"/>
        <v>0</v>
      </c>
      <c r="S298" s="316">
        <f t="shared" si="62"/>
        <v>0</v>
      </c>
    </row>
    <row r="299" spans="1:19">
      <c r="A299" s="150"/>
      <c r="B299" s="54"/>
      <c r="C299" s="21">
        <f t="shared" si="53"/>
        <v>1</v>
      </c>
      <c r="D299" s="666"/>
      <c r="E299" s="21">
        <f t="shared" si="54"/>
        <v>1</v>
      </c>
      <c r="F299" s="666"/>
      <c r="G299" s="21">
        <f t="shared" si="55"/>
        <v>1</v>
      </c>
      <c r="H299" s="666"/>
      <c r="I299" s="21">
        <f t="shared" si="56"/>
        <v>1</v>
      </c>
      <c r="J299" s="666"/>
      <c r="K299" s="21">
        <f t="shared" si="57"/>
        <v>1</v>
      </c>
      <c r="L299" s="666"/>
      <c r="M299" s="21">
        <f t="shared" si="58"/>
        <v>1</v>
      </c>
      <c r="N299" s="666"/>
      <c r="O299" s="21">
        <f t="shared" si="59"/>
        <v>1</v>
      </c>
      <c r="P299" s="666"/>
      <c r="Q299" s="21">
        <f t="shared" si="60"/>
        <v>0</v>
      </c>
      <c r="R299" s="662">
        <f t="shared" si="61"/>
        <v>0</v>
      </c>
      <c r="S299" s="316">
        <f t="shared" si="62"/>
        <v>0</v>
      </c>
    </row>
    <row r="300" spans="1:19">
      <c r="A300" s="150"/>
      <c r="B300" s="54"/>
      <c r="C300" s="21">
        <f t="shared" si="53"/>
        <v>1</v>
      </c>
      <c r="D300" s="666"/>
      <c r="E300" s="21">
        <f t="shared" si="54"/>
        <v>1</v>
      </c>
      <c r="F300" s="666"/>
      <c r="G300" s="21">
        <f t="shared" si="55"/>
        <v>1</v>
      </c>
      <c r="H300" s="666"/>
      <c r="I300" s="21">
        <f t="shared" si="56"/>
        <v>1</v>
      </c>
      <c r="J300" s="666"/>
      <c r="K300" s="21">
        <f t="shared" si="57"/>
        <v>1</v>
      </c>
      <c r="L300" s="666"/>
      <c r="M300" s="21">
        <f t="shared" si="58"/>
        <v>1</v>
      </c>
      <c r="N300" s="666"/>
      <c r="O300" s="21">
        <f t="shared" si="59"/>
        <v>1</v>
      </c>
      <c r="P300" s="666"/>
      <c r="Q300" s="21">
        <f t="shared" si="60"/>
        <v>0</v>
      </c>
      <c r="R300" s="662">
        <f t="shared" si="61"/>
        <v>0</v>
      </c>
      <c r="S300" s="316">
        <f t="shared" si="62"/>
        <v>0</v>
      </c>
    </row>
    <row r="301" spans="1:19">
      <c r="A301" s="150"/>
      <c r="B301" s="54"/>
      <c r="C301" s="21">
        <f t="shared" si="53"/>
        <v>1</v>
      </c>
      <c r="D301" s="666"/>
      <c r="E301" s="21">
        <f t="shared" si="54"/>
        <v>1</v>
      </c>
      <c r="F301" s="666"/>
      <c r="G301" s="21">
        <f t="shared" si="55"/>
        <v>1</v>
      </c>
      <c r="H301" s="666"/>
      <c r="I301" s="21">
        <f t="shared" si="56"/>
        <v>1</v>
      </c>
      <c r="J301" s="666"/>
      <c r="K301" s="21">
        <f t="shared" si="57"/>
        <v>1</v>
      </c>
      <c r="L301" s="666"/>
      <c r="M301" s="21">
        <f t="shared" si="58"/>
        <v>1</v>
      </c>
      <c r="N301" s="666"/>
      <c r="O301" s="21">
        <f t="shared" si="59"/>
        <v>1</v>
      </c>
      <c r="P301" s="666"/>
      <c r="Q301" s="21">
        <f t="shared" si="60"/>
        <v>0</v>
      </c>
      <c r="R301" s="662">
        <f t="shared" si="61"/>
        <v>0</v>
      </c>
      <c r="S301" s="316">
        <f t="shared" si="62"/>
        <v>0</v>
      </c>
    </row>
    <row r="302" spans="1:19">
      <c r="A302" s="150"/>
      <c r="B302" s="54"/>
      <c r="C302" s="21">
        <f t="shared" si="53"/>
        <v>1</v>
      </c>
      <c r="D302" s="666"/>
      <c r="E302" s="21">
        <f t="shared" si="54"/>
        <v>1</v>
      </c>
      <c r="F302" s="666"/>
      <c r="G302" s="21">
        <f t="shared" si="55"/>
        <v>1</v>
      </c>
      <c r="H302" s="666"/>
      <c r="I302" s="21">
        <f t="shared" si="56"/>
        <v>1</v>
      </c>
      <c r="J302" s="666"/>
      <c r="K302" s="21">
        <f t="shared" si="57"/>
        <v>1</v>
      </c>
      <c r="L302" s="666"/>
      <c r="M302" s="21">
        <f t="shared" si="58"/>
        <v>1</v>
      </c>
      <c r="N302" s="666"/>
      <c r="O302" s="21">
        <f t="shared" si="59"/>
        <v>1</v>
      </c>
      <c r="P302" s="666"/>
      <c r="Q302" s="21">
        <f t="shared" si="60"/>
        <v>0</v>
      </c>
      <c r="R302" s="662">
        <f t="shared" si="61"/>
        <v>0</v>
      </c>
      <c r="S302" s="316">
        <f t="shared" si="62"/>
        <v>0</v>
      </c>
    </row>
    <row r="303" spans="1:19">
      <c r="A303" s="150"/>
      <c r="B303" s="54"/>
      <c r="C303" s="21">
        <f t="shared" si="53"/>
        <v>1</v>
      </c>
      <c r="D303" s="666"/>
      <c r="E303" s="21">
        <f t="shared" si="54"/>
        <v>1</v>
      </c>
      <c r="F303" s="666"/>
      <c r="G303" s="21">
        <f t="shared" si="55"/>
        <v>1</v>
      </c>
      <c r="H303" s="666"/>
      <c r="I303" s="21">
        <f t="shared" si="56"/>
        <v>1</v>
      </c>
      <c r="J303" s="666"/>
      <c r="K303" s="21">
        <f t="shared" si="57"/>
        <v>1</v>
      </c>
      <c r="L303" s="666"/>
      <c r="M303" s="21">
        <f t="shared" si="58"/>
        <v>1</v>
      </c>
      <c r="N303" s="666"/>
      <c r="O303" s="21">
        <f t="shared" si="59"/>
        <v>1</v>
      </c>
      <c r="P303" s="666"/>
      <c r="Q303" s="21">
        <f t="shared" si="60"/>
        <v>0</v>
      </c>
      <c r="R303" s="662">
        <f t="shared" si="61"/>
        <v>0</v>
      </c>
      <c r="S303" s="316">
        <f t="shared" si="62"/>
        <v>0</v>
      </c>
    </row>
    <row r="304" spans="1:19">
      <c r="A304" s="150"/>
      <c r="B304" s="54"/>
      <c r="C304" s="21">
        <f t="shared" si="53"/>
        <v>1</v>
      </c>
      <c r="D304" s="666"/>
      <c r="E304" s="21">
        <f t="shared" si="54"/>
        <v>1</v>
      </c>
      <c r="F304" s="666"/>
      <c r="G304" s="21">
        <f t="shared" si="55"/>
        <v>1</v>
      </c>
      <c r="H304" s="666"/>
      <c r="I304" s="21">
        <f t="shared" si="56"/>
        <v>1</v>
      </c>
      <c r="J304" s="666"/>
      <c r="K304" s="21">
        <f t="shared" si="57"/>
        <v>1</v>
      </c>
      <c r="L304" s="666"/>
      <c r="M304" s="21">
        <f t="shared" si="58"/>
        <v>1</v>
      </c>
      <c r="N304" s="666"/>
      <c r="O304" s="21">
        <f t="shared" si="59"/>
        <v>1</v>
      </c>
      <c r="P304" s="666"/>
      <c r="Q304" s="21">
        <f t="shared" si="60"/>
        <v>0</v>
      </c>
      <c r="R304" s="662">
        <f t="shared" si="61"/>
        <v>0</v>
      </c>
      <c r="S304" s="316">
        <f t="shared" si="62"/>
        <v>0</v>
      </c>
    </row>
    <row r="305" spans="1:19">
      <c r="A305" s="150"/>
      <c r="B305" s="54"/>
      <c r="C305" s="21">
        <f t="shared" si="53"/>
        <v>1</v>
      </c>
      <c r="D305" s="666"/>
      <c r="E305" s="21">
        <f t="shared" si="54"/>
        <v>1</v>
      </c>
      <c r="F305" s="666"/>
      <c r="G305" s="21">
        <f t="shared" si="55"/>
        <v>1</v>
      </c>
      <c r="H305" s="666"/>
      <c r="I305" s="21">
        <f t="shared" si="56"/>
        <v>1</v>
      </c>
      <c r="J305" s="666"/>
      <c r="K305" s="21">
        <f t="shared" si="57"/>
        <v>1</v>
      </c>
      <c r="L305" s="666"/>
      <c r="M305" s="21">
        <f t="shared" si="58"/>
        <v>1</v>
      </c>
      <c r="N305" s="666"/>
      <c r="O305" s="21">
        <f t="shared" si="59"/>
        <v>1</v>
      </c>
      <c r="P305" s="666"/>
      <c r="Q305" s="21">
        <f t="shared" si="60"/>
        <v>0</v>
      </c>
      <c r="R305" s="662">
        <f t="shared" si="61"/>
        <v>0</v>
      </c>
      <c r="S305" s="316">
        <f t="shared" si="62"/>
        <v>0</v>
      </c>
    </row>
    <row r="306" spans="1:19">
      <c r="A306" s="150"/>
      <c r="B306" s="54"/>
      <c r="C306" s="21">
        <f t="shared" si="53"/>
        <v>1</v>
      </c>
      <c r="D306" s="666"/>
      <c r="E306" s="21">
        <f t="shared" si="54"/>
        <v>1</v>
      </c>
      <c r="F306" s="666"/>
      <c r="G306" s="21">
        <f t="shared" si="55"/>
        <v>1</v>
      </c>
      <c r="H306" s="666"/>
      <c r="I306" s="21">
        <f t="shared" si="56"/>
        <v>1</v>
      </c>
      <c r="J306" s="666"/>
      <c r="K306" s="21">
        <f t="shared" si="57"/>
        <v>1</v>
      </c>
      <c r="L306" s="666"/>
      <c r="M306" s="21">
        <f t="shared" si="58"/>
        <v>1</v>
      </c>
      <c r="N306" s="666"/>
      <c r="O306" s="21">
        <f t="shared" si="59"/>
        <v>1</v>
      </c>
      <c r="P306" s="666"/>
      <c r="Q306" s="21">
        <f t="shared" si="60"/>
        <v>0</v>
      </c>
      <c r="R306" s="662">
        <f t="shared" si="61"/>
        <v>0</v>
      </c>
      <c r="S306" s="316">
        <f t="shared" si="62"/>
        <v>0</v>
      </c>
    </row>
    <row r="307" spans="1:19">
      <c r="A307" s="150"/>
      <c r="B307" s="54"/>
      <c r="C307" s="21">
        <f t="shared" si="53"/>
        <v>1</v>
      </c>
      <c r="D307" s="666"/>
      <c r="E307" s="21">
        <f t="shared" si="54"/>
        <v>1</v>
      </c>
      <c r="F307" s="666"/>
      <c r="G307" s="21">
        <f t="shared" si="55"/>
        <v>1</v>
      </c>
      <c r="H307" s="666"/>
      <c r="I307" s="21">
        <f t="shared" si="56"/>
        <v>1</v>
      </c>
      <c r="J307" s="666"/>
      <c r="K307" s="21">
        <f t="shared" si="57"/>
        <v>1</v>
      </c>
      <c r="L307" s="666"/>
      <c r="M307" s="21">
        <f t="shared" si="58"/>
        <v>1</v>
      </c>
      <c r="N307" s="666"/>
      <c r="O307" s="21">
        <f t="shared" si="59"/>
        <v>1</v>
      </c>
      <c r="P307" s="666"/>
      <c r="Q307" s="21">
        <f t="shared" si="60"/>
        <v>0</v>
      </c>
      <c r="R307" s="662">
        <f t="shared" si="61"/>
        <v>0</v>
      </c>
      <c r="S307" s="316">
        <f t="shared" si="62"/>
        <v>0</v>
      </c>
    </row>
    <row r="308" spans="1:19">
      <c r="A308" s="150"/>
      <c r="B308" s="54"/>
      <c r="C308" s="21">
        <f t="shared" si="53"/>
        <v>1</v>
      </c>
      <c r="D308" s="666"/>
      <c r="E308" s="21">
        <f t="shared" si="54"/>
        <v>1</v>
      </c>
      <c r="F308" s="666"/>
      <c r="G308" s="21">
        <f t="shared" si="55"/>
        <v>1</v>
      </c>
      <c r="H308" s="666"/>
      <c r="I308" s="21">
        <f t="shared" si="56"/>
        <v>1</v>
      </c>
      <c r="J308" s="666"/>
      <c r="K308" s="21">
        <f t="shared" si="57"/>
        <v>1</v>
      </c>
      <c r="L308" s="666"/>
      <c r="M308" s="21">
        <f t="shared" si="58"/>
        <v>1</v>
      </c>
      <c r="N308" s="666"/>
      <c r="O308" s="21">
        <f t="shared" si="59"/>
        <v>1</v>
      </c>
      <c r="P308" s="666"/>
      <c r="Q308" s="21">
        <f t="shared" si="60"/>
        <v>0</v>
      </c>
      <c r="R308" s="662">
        <f t="shared" si="61"/>
        <v>0</v>
      </c>
      <c r="S308" s="316">
        <f t="shared" si="62"/>
        <v>0</v>
      </c>
    </row>
    <row r="309" spans="1:19">
      <c r="A309" s="150"/>
      <c r="B309" s="54"/>
      <c r="C309" s="21">
        <f t="shared" si="53"/>
        <v>1</v>
      </c>
      <c r="D309" s="666"/>
      <c r="E309" s="21">
        <f t="shared" si="54"/>
        <v>1</v>
      </c>
      <c r="F309" s="666"/>
      <c r="G309" s="21">
        <f t="shared" si="55"/>
        <v>1</v>
      </c>
      <c r="H309" s="666"/>
      <c r="I309" s="21">
        <f t="shared" si="56"/>
        <v>1</v>
      </c>
      <c r="J309" s="666"/>
      <c r="K309" s="21">
        <f t="shared" si="57"/>
        <v>1</v>
      </c>
      <c r="L309" s="666"/>
      <c r="M309" s="21">
        <f t="shared" si="58"/>
        <v>1</v>
      </c>
      <c r="N309" s="666"/>
      <c r="O309" s="21">
        <f t="shared" si="59"/>
        <v>1</v>
      </c>
      <c r="P309" s="666"/>
      <c r="Q309" s="21">
        <f t="shared" si="60"/>
        <v>0</v>
      </c>
      <c r="R309" s="662">
        <f t="shared" si="61"/>
        <v>0</v>
      </c>
      <c r="S309" s="316">
        <f t="shared" si="62"/>
        <v>0</v>
      </c>
    </row>
    <row r="310" spans="1:19">
      <c r="A310" s="150"/>
      <c r="B310" s="54"/>
      <c r="C310" s="21">
        <f t="shared" si="53"/>
        <v>1</v>
      </c>
      <c r="D310" s="666"/>
      <c r="E310" s="21">
        <f t="shared" si="54"/>
        <v>1</v>
      </c>
      <c r="F310" s="666"/>
      <c r="G310" s="21">
        <f t="shared" si="55"/>
        <v>1</v>
      </c>
      <c r="H310" s="666"/>
      <c r="I310" s="21">
        <f t="shared" si="56"/>
        <v>1</v>
      </c>
      <c r="J310" s="666"/>
      <c r="K310" s="21">
        <f t="shared" si="57"/>
        <v>1</v>
      </c>
      <c r="L310" s="666"/>
      <c r="M310" s="21">
        <f t="shared" si="58"/>
        <v>1</v>
      </c>
      <c r="N310" s="666"/>
      <c r="O310" s="21">
        <f t="shared" si="59"/>
        <v>1</v>
      </c>
      <c r="P310" s="666"/>
      <c r="Q310" s="21">
        <f t="shared" si="60"/>
        <v>0</v>
      </c>
      <c r="R310" s="662">
        <f t="shared" si="61"/>
        <v>0</v>
      </c>
      <c r="S310" s="316">
        <f t="shared" si="62"/>
        <v>0</v>
      </c>
    </row>
    <row r="311" spans="1:19">
      <c r="A311" s="150"/>
      <c r="B311" s="54"/>
      <c r="C311" s="21">
        <f t="shared" si="53"/>
        <v>1</v>
      </c>
      <c r="D311" s="666"/>
      <c r="E311" s="21">
        <f t="shared" si="54"/>
        <v>1</v>
      </c>
      <c r="F311" s="666"/>
      <c r="G311" s="21">
        <f t="shared" si="55"/>
        <v>1</v>
      </c>
      <c r="H311" s="666"/>
      <c r="I311" s="21">
        <f t="shared" si="56"/>
        <v>1</v>
      </c>
      <c r="J311" s="666"/>
      <c r="K311" s="21">
        <f t="shared" si="57"/>
        <v>1</v>
      </c>
      <c r="L311" s="666"/>
      <c r="M311" s="21">
        <f t="shared" si="58"/>
        <v>1</v>
      </c>
      <c r="N311" s="666"/>
      <c r="O311" s="21">
        <f t="shared" si="59"/>
        <v>1</v>
      </c>
      <c r="P311" s="666"/>
      <c r="Q311" s="21">
        <f t="shared" si="60"/>
        <v>0</v>
      </c>
      <c r="R311" s="662">
        <f t="shared" si="61"/>
        <v>0</v>
      </c>
      <c r="S311" s="316">
        <f t="shared" si="62"/>
        <v>0</v>
      </c>
    </row>
    <row r="312" spans="1:19">
      <c r="A312" s="150"/>
      <c r="B312" s="54"/>
      <c r="C312" s="21">
        <f t="shared" si="53"/>
        <v>1</v>
      </c>
      <c r="D312" s="666"/>
      <c r="E312" s="21">
        <f t="shared" si="54"/>
        <v>1</v>
      </c>
      <c r="F312" s="666"/>
      <c r="G312" s="21">
        <f t="shared" si="55"/>
        <v>1</v>
      </c>
      <c r="H312" s="666"/>
      <c r="I312" s="21">
        <f t="shared" si="56"/>
        <v>1</v>
      </c>
      <c r="J312" s="666"/>
      <c r="K312" s="21">
        <f t="shared" si="57"/>
        <v>1</v>
      </c>
      <c r="L312" s="666"/>
      <c r="M312" s="21">
        <f t="shared" si="58"/>
        <v>1</v>
      </c>
      <c r="N312" s="666"/>
      <c r="O312" s="21">
        <f t="shared" si="59"/>
        <v>1</v>
      </c>
      <c r="P312" s="666"/>
      <c r="Q312" s="21">
        <f t="shared" si="60"/>
        <v>0</v>
      </c>
      <c r="R312" s="662">
        <f t="shared" si="61"/>
        <v>0</v>
      </c>
      <c r="S312" s="316">
        <f t="shared" si="62"/>
        <v>0</v>
      </c>
    </row>
    <row r="313" spans="1:19">
      <c r="A313" s="150"/>
      <c r="B313" s="54"/>
      <c r="C313" s="21">
        <f t="shared" si="53"/>
        <v>1</v>
      </c>
      <c r="D313" s="666"/>
      <c r="E313" s="21">
        <f t="shared" si="54"/>
        <v>1</v>
      </c>
      <c r="F313" s="666"/>
      <c r="G313" s="21">
        <f t="shared" si="55"/>
        <v>1</v>
      </c>
      <c r="H313" s="666"/>
      <c r="I313" s="21">
        <f t="shared" si="56"/>
        <v>1</v>
      </c>
      <c r="J313" s="666"/>
      <c r="K313" s="21">
        <f t="shared" si="57"/>
        <v>1</v>
      </c>
      <c r="L313" s="666"/>
      <c r="M313" s="21">
        <f t="shared" si="58"/>
        <v>1</v>
      </c>
      <c r="N313" s="666"/>
      <c r="O313" s="21">
        <f t="shared" si="59"/>
        <v>1</v>
      </c>
      <c r="P313" s="666"/>
      <c r="Q313" s="21">
        <f t="shared" si="60"/>
        <v>0</v>
      </c>
      <c r="R313" s="662">
        <f t="shared" si="61"/>
        <v>0</v>
      </c>
      <c r="S313" s="316">
        <f t="shared" si="62"/>
        <v>0</v>
      </c>
    </row>
    <row r="314" spans="1:19">
      <c r="A314" s="150"/>
      <c r="B314" s="54"/>
      <c r="C314" s="21">
        <f t="shared" si="53"/>
        <v>1</v>
      </c>
      <c r="D314" s="666"/>
      <c r="E314" s="21">
        <f t="shared" si="54"/>
        <v>1</v>
      </c>
      <c r="F314" s="666"/>
      <c r="G314" s="21">
        <f t="shared" si="55"/>
        <v>1</v>
      </c>
      <c r="H314" s="666"/>
      <c r="I314" s="21">
        <f t="shared" si="56"/>
        <v>1</v>
      </c>
      <c r="J314" s="666"/>
      <c r="K314" s="21">
        <f t="shared" si="57"/>
        <v>1</v>
      </c>
      <c r="L314" s="666"/>
      <c r="M314" s="21">
        <f t="shared" si="58"/>
        <v>1</v>
      </c>
      <c r="N314" s="666"/>
      <c r="O314" s="21">
        <f t="shared" si="59"/>
        <v>1</v>
      </c>
      <c r="P314" s="666"/>
      <c r="Q314" s="21">
        <f t="shared" si="60"/>
        <v>0</v>
      </c>
      <c r="R314" s="662">
        <f t="shared" si="61"/>
        <v>0</v>
      </c>
      <c r="S314" s="316">
        <f t="shared" si="62"/>
        <v>0</v>
      </c>
    </row>
    <row r="315" spans="1:19">
      <c r="A315" s="150"/>
      <c r="B315" s="54"/>
      <c r="C315" s="21">
        <f t="shared" si="53"/>
        <v>1</v>
      </c>
      <c r="D315" s="666"/>
      <c r="E315" s="21">
        <f t="shared" si="54"/>
        <v>1</v>
      </c>
      <c r="F315" s="666"/>
      <c r="G315" s="21">
        <f t="shared" si="55"/>
        <v>1</v>
      </c>
      <c r="H315" s="666"/>
      <c r="I315" s="21">
        <f t="shared" si="56"/>
        <v>1</v>
      </c>
      <c r="J315" s="666"/>
      <c r="K315" s="21">
        <f t="shared" si="57"/>
        <v>1</v>
      </c>
      <c r="L315" s="666"/>
      <c r="M315" s="21">
        <f t="shared" si="58"/>
        <v>1</v>
      </c>
      <c r="N315" s="666"/>
      <c r="O315" s="21">
        <f t="shared" si="59"/>
        <v>1</v>
      </c>
      <c r="P315" s="666"/>
      <c r="Q315" s="21">
        <f t="shared" si="60"/>
        <v>0</v>
      </c>
      <c r="R315" s="662">
        <f t="shared" si="61"/>
        <v>0</v>
      </c>
      <c r="S315" s="316">
        <f t="shared" si="62"/>
        <v>0</v>
      </c>
    </row>
    <row r="316" spans="1:19">
      <c r="A316" s="150"/>
      <c r="B316" s="54"/>
      <c r="C316" s="21">
        <f t="shared" si="53"/>
        <v>1</v>
      </c>
      <c r="D316" s="666"/>
      <c r="E316" s="21">
        <f t="shared" si="54"/>
        <v>1</v>
      </c>
      <c r="F316" s="666"/>
      <c r="G316" s="21">
        <f t="shared" si="55"/>
        <v>1</v>
      </c>
      <c r="H316" s="666"/>
      <c r="I316" s="21">
        <f t="shared" si="56"/>
        <v>1</v>
      </c>
      <c r="J316" s="666"/>
      <c r="K316" s="21">
        <f t="shared" si="57"/>
        <v>1</v>
      </c>
      <c r="L316" s="666"/>
      <c r="M316" s="21">
        <f t="shared" si="58"/>
        <v>1</v>
      </c>
      <c r="N316" s="666"/>
      <c r="O316" s="21">
        <f t="shared" si="59"/>
        <v>1</v>
      </c>
      <c r="P316" s="666"/>
      <c r="Q316" s="21">
        <f t="shared" si="60"/>
        <v>0</v>
      </c>
      <c r="R316" s="662">
        <f t="shared" si="61"/>
        <v>0</v>
      </c>
      <c r="S316" s="316">
        <f t="shared" si="62"/>
        <v>0</v>
      </c>
    </row>
    <row r="317" spans="1:19">
      <c r="A317" s="150"/>
      <c r="B317" s="54"/>
      <c r="C317" s="21">
        <f t="shared" si="53"/>
        <v>1</v>
      </c>
      <c r="D317" s="666"/>
      <c r="E317" s="21">
        <f t="shared" si="54"/>
        <v>1</v>
      </c>
      <c r="F317" s="666"/>
      <c r="G317" s="21">
        <f t="shared" si="55"/>
        <v>1</v>
      </c>
      <c r="H317" s="666"/>
      <c r="I317" s="21">
        <f t="shared" si="56"/>
        <v>1</v>
      </c>
      <c r="J317" s="666"/>
      <c r="K317" s="21">
        <f t="shared" si="57"/>
        <v>1</v>
      </c>
      <c r="L317" s="666"/>
      <c r="M317" s="21">
        <f t="shared" si="58"/>
        <v>1</v>
      </c>
      <c r="N317" s="666"/>
      <c r="O317" s="21">
        <f t="shared" si="59"/>
        <v>1</v>
      </c>
      <c r="P317" s="666"/>
      <c r="Q317" s="21">
        <f t="shared" si="60"/>
        <v>0</v>
      </c>
      <c r="R317" s="662">
        <f t="shared" si="61"/>
        <v>0</v>
      </c>
      <c r="S317" s="316">
        <f t="shared" si="62"/>
        <v>0</v>
      </c>
    </row>
    <row r="318" spans="1:19">
      <c r="A318" s="150"/>
      <c r="B318" s="54"/>
      <c r="C318" s="21">
        <f t="shared" si="53"/>
        <v>1</v>
      </c>
      <c r="D318" s="666"/>
      <c r="E318" s="21">
        <f t="shared" si="54"/>
        <v>1</v>
      </c>
      <c r="F318" s="666"/>
      <c r="G318" s="21">
        <f t="shared" si="55"/>
        <v>1</v>
      </c>
      <c r="H318" s="666"/>
      <c r="I318" s="21">
        <f t="shared" si="56"/>
        <v>1</v>
      </c>
      <c r="J318" s="666"/>
      <c r="K318" s="21">
        <f t="shared" si="57"/>
        <v>1</v>
      </c>
      <c r="L318" s="666"/>
      <c r="M318" s="21">
        <f t="shared" si="58"/>
        <v>1</v>
      </c>
      <c r="N318" s="666"/>
      <c r="O318" s="21">
        <f t="shared" si="59"/>
        <v>1</v>
      </c>
      <c r="P318" s="666"/>
      <c r="Q318" s="21">
        <f t="shared" si="60"/>
        <v>0</v>
      </c>
      <c r="R318" s="662">
        <f t="shared" si="61"/>
        <v>0</v>
      </c>
      <c r="S318" s="316">
        <f t="shared" si="62"/>
        <v>0</v>
      </c>
    </row>
    <row r="319" spans="1:19">
      <c r="A319" s="150"/>
      <c r="B319" s="54"/>
      <c r="C319" s="21">
        <f t="shared" si="53"/>
        <v>1</v>
      </c>
      <c r="D319" s="666"/>
      <c r="E319" s="21">
        <f t="shared" si="54"/>
        <v>1</v>
      </c>
      <c r="F319" s="666"/>
      <c r="G319" s="21">
        <f t="shared" si="55"/>
        <v>1</v>
      </c>
      <c r="H319" s="666"/>
      <c r="I319" s="21">
        <f t="shared" si="56"/>
        <v>1</v>
      </c>
      <c r="J319" s="666"/>
      <c r="K319" s="21">
        <f t="shared" si="57"/>
        <v>1</v>
      </c>
      <c r="L319" s="666"/>
      <c r="M319" s="21">
        <f t="shared" si="58"/>
        <v>1</v>
      </c>
      <c r="N319" s="666"/>
      <c r="O319" s="21">
        <f t="shared" si="59"/>
        <v>1</v>
      </c>
      <c r="P319" s="666"/>
      <c r="Q319" s="21">
        <f t="shared" si="60"/>
        <v>0</v>
      </c>
      <c r="R319" s="662">
        <f t="shared" si="61"/>
        <v>0</v>
      </c>
      <c r="S319" s="316">
        <f t="shared" si="62"/>
        <v>0</v>
      </c>
    </row>
    <row r="320" spans="1:19">
      <c r="A320" s="150"/>
      <c r="B320" s="54"/>
      <c r="C320" s="21">
        <f t="shared" si="53"/>
        <v>1</v>
      </c>
      <c r="D320" s="666"/>
      <c r="E320" s="21">
        <f t="shared" si="54"/>
        <v>1</v>
      </c>
      <c r="F320" s="666"/>
      <c r="G320" s="21">
        <f t="shared" si="55"/>
        <v>1</v>
      </c>
      <c r="H320" s="666"/>
      <c r="I320" s="21">
        <f t="shared" si="56"/>
        <v>1</v>
      </c>
      <c r="J320" s="666"/>
      <c r="K320" s="21">
        <f t="shared" si="57"/>
        <v>1</v>
      </c>
      <c r="L320" s="666"/>
      <c r="M320" s="21">
        <f t="shared" si="58"/>
        <v>1</v>
      </c>
      <c r="N320" s="666"/>
      <c r="O320" s="21">
        <f t="shared" si="59"/>
        <v>1</v>
      </c>
      <c r="P320" s="666"/>
      <c r="Q320" s="21">
        <f t="shared" si="60"/>
        <v>0</v>
      </c>
      <c r="R320" s="662">
        <f t="shared" si="61"/>
        <v>0</v>
      </c>
      <c r="S320" s="316">
        <f t="shared" si="62"/>
        <v>0</v>
      </c>
    </row>
    <row r="321" spans="1:19">
      <c r="A321" s="150"/>
      <c r="B321" s="54"/>
      <c r="C321" s="21">
        <f t="shared" si="53"/>
        <v>1</v>
      </c>
      <c r="D321" s="666"/>
      <c r="E321" s="21">
        <f t="shared" si="54"/>
        <v>1</v>
      </c>
      <c r="F321" s="666"/>
      <c r="G321" s="21">
        <f t="shared" si="55"/>
        <v>1</v>
      </c>
      <c r="H321" s="666"/>
      <c r="I321" s="21">
        <f t="shared" si="56"/>
        <v>1</v>
      </c>
      <c r="J321" s="666"/>
      <c r="K321" s="21">
        <f t="shared" si="57"/>
        <v>1</v>
      </c>
      <c r="L321" s="666"/>
      <c r="M321" s="21">
        <f t="shared" si="58"/>
        <v>1</v>
      </c>
      <c r="N321" s="666"/>
      <c r="O321" s="21">
        <f t="shared" si="59"/>
        <v>1</v>
      </c>
      <c r="P321" s="666"/>
      <c r="Q321" s="21">
        <f t="shared" si="60"/>
        <v>0</v>
      </c>
      <c r="R321" s="662">
        <f t="shared" si="61"/>
        <v>0</v>
      </c>
      <c r="S321" s="316">
        <f t="shared" ref="S321:S384" si="63">ROUND(R321*B321/10000,0)</f>
        <v>0</v>
      </c>
    </row>
    <row r="322" spans="1:19">
      <c r="A322" s="150"/>
      <c r="B322" s="54"/>
      <c r="C322" s="21">
        <f t="shared" si="53"/>
        <v>1</v>
      </c>
      <c r="D322" s="666"/>
      <c r="E322" s="21">
        <f t="shared" si="54"/>
        <v>1</v>
      </c>
      <c r="F322" s="666"/>
      <c r="G322" s="21">
        <f t="shared" si="55"/>
        <v>1</v>
      </c>
      <c r="H322" s="666"/>
      <c r="I322" s="21">
        <f t="shared" si="56"/>
        <v>1</v>
      </c>
      <c r="J322" s="666"/>
      <c r="K322" s="21">
        <f t="shared" si="57"/>
        <v>1</v>
      </c>
      <c r="L322" s="666"/>
      <c r="M322" s="21">
        <f t="shared" si="58"/>
        <v>1</v>
      </c>
      <c r="N322" s="666"/>
      <c r="O322" s="21">
        <f t="shared" si="59"/>
        <v>1</v>
      </c>
      <c r="P322" s="666"/>
      <c r="Q322" s="21">
        <f t="shared" si="60"/>
        <v>0</v>
      </c>
      <c r="R322" s="662">
        <f t="shared" si="61"/>
        <v>0</v>
      </c>
      <c r="S322" s="316">
        <f t="shared" si="63"/>
        <v>0</v>
      </c>
    </row>
    <row r="323" spans="1:19">
      <c r="A323" s="150"/>
      <c r="B323" s="54"/>
      <c r="C323" s="21">
        <f t="shared" si="53"/>
        <v>1</v>
      </c>
      <c r="D323" s="666"/>
      <c r="E323" s="21">
        <f t="shared" si="54"/>
        <v>1</v>
      </c>
      <c r="F323" s="666"/>
      <c r="G323" s="21">
        <f t="shared" si="55"/>
        <v>1</v>
      </c>
      <c r="H323" s="666"/>
      <c r="I323" s="21">
        <f t="shared" si="56"/>
        <v>1</v>
      </c>
      <c r="J323" s="666"/>
      <c r="K323" s="21">
        <f t="shared" si="57"/>
        <v>1</v>
      </c>
      <c r="L323" s="666"/>
      <c r="M323" s="21">
        <f t="shared" si="58"/>
        <v>1</v>
      </c>
      <c r="N323" s="666"/>
      <c r="O323" s="21">
        <f t="shared" si="59"/>
        <v>1</v>
      </c>
      <c r="P323" s="666"/>
      <c r="Q323" s="21">
        <f t="shared" si="60"/>
        <v>0</v>
      </c>
      <c r="R323" s="662">
        <f t="shared" si="61"/>
        <v>0</v>
      </c>
      <c r="S323" s="316">
        <f t="shared" si="63"/>
        <v>0</v>
      </c>
    </row>
    <row r="324" spans="1:19">
      <c r="A324" s="150"/>
      <c r="B324" s="54"/>
      <c r="C324" s="21">
        <f t="shared" si="53"/>
        <v>1</v>
      </c>
      <c r="D324" s="666"/>
      <c r="E324" s="21">
        <f t="shared" si="54"/>
        <v>1</v>
      </c>
      <c r="F324" s="666"/>
      <c r="G324" s="21">
        <f t="shared" si="55"/>
        <v>1</v>
      </c>
      <c r="H324" s="666"/>
      <c r="I324" s="21">
        <f t="shared" si="56"/>
        <v>1</v>
      </c>
      <c r="J324" s="666"/>
      <c r="K324" s="21">
        <f t="shared" si="57"/>
        <v>1</v>
      </c>
      <c r="L324" s="666"/>
      <c r="M324" s="21">
        <f t="shared" si="58"/>
        <v>1</v>
      </c>
      <c r="N324" s="666"/>
      <c r="O324" s="21">
        <f t="shared" si="59"/>
        <v>1</v>
      </c>
      <c r="P324" s="666"/>
      <c r="Q324" s="21">
        <f t="shared" si="60"/>
        <v>0</v>
      </c>
      <c r="R324" s="662">
        <f t="shared" si="61"/>
        <v>0</v>
      </c>
      <c r="S324" s="316">
        <f t="shared" si="63"/>
        <v>0</v>
      </c>
    </row>
    <row r="325" spans="1:19">
      <c r="A325" s="150"/>
      <c r="B325" s="54"/>
      <c r="C325" s="21">
        <f t="shared" si="53"/>
        <v>1</v>
      </c>
      <c r="D325" s="666"/>
      <c r="E325" s="21">
        <f t="shared" si="54"/>
        <v>1</v>
      </c>
      <c r="F325" s="666"/>
      <c r="G325" s="21">
        <f t="shared" si="55"/>
        <v>1</v>
      </c>
      <c r="H325" s="666"/>
      <c r="I325" s="21">
        <f t="shared" si="56"/>
        <v>1</v>
      </c>
      <c r="J325" s="666"/>
      <c r="K325" s="21">
        <f t="shared" si="57"/>
        <v>1</v>
      </c>
      <c r="L325" s="666"/>
      <c r="M325" s="21">
        <f t="shared" si="58"/>
        <v>1</v>
      </c>
      <c r="N325" s="666"/>
      <c r="O325" s="21">
        <f t="shared" si="59"/>
        <v>1</v>
      </c>
      <c r="P325" s="666"/>
      <c r="Q325" s="21">
        <f t="shared" si="60"/>
        <v>0</v>
      </c>
      <c r="R325" s="662">
        <f t="shared" si="61"/>
        <v>0</v>
      </c>
      <c r="S325" s="316">
        <f t="shared" si="63"/>
        <v>0</v>
      </c>
    </row>
    <row r="326" spans="1:19">
      <c r="A326" s="150"/>
      <c r="B326" s="54"/>
      <c r="C326" s="21">
        <f t="shared" si="53"/>
        <v>1</v>
      </c>
      <c r="D326" s="666"/>
      <c r="E326" s="21">
        <f t="shared" si="54"/>
        <v>1</v>
      </c>
      <c r="F326" s="666"/>
      <c r="G326" s="21">
        <f t="shared" si="55"/>
        <v>1</v>
      </c>
      <c r="H326" s="666"/>
      <c r="I326" s="21">
        <f t="shared" si="56"/>
        <v>1</v>
      </c>
      <c r="J326" s="666"/>
      <c r="K326" s="21">
        <f t="shared" si="57"/>
        <v>1</v>
      </c>
      <c r="L326" s="666"/>
      <c r="M326" s="21">
        <f t="shared" si="58"/>
        <v>1</v>
      </c>
      <c r="N326" s="666"/>
      <c r="O326" s="21">
        <f t="shared" si="59"/>
        <v>1</v>
      </c>
      <c r="P326" s="666"/>
      <c r="Q326" s="21">
        <f t="shared" si="60"/>
        <v>0</v>
      </c>
      <c r="R326" s="662">
        <f t="shared" si="61"/>
        <v>0</v>
      </c>
      <c r="S326" s="316">
        <f t="shared" si="63"/>
        <v>0</v>
      </c>
    </row>
    <row r="327" spans="1:19">
      <c r="A327" s="150"/>
      <c r="B327" s="54"/>
      <c r="C327" s="21">
        <f t="shared" si="53"/>
        <v>1</v>
      </c>
      <c r="D327" s="666"/>
      <c r="E327" s="21">
        <f t="shared" si="54"/>
        <v>1</v>
      </c>
      <c r="F327" s="666"/>
      <c r="G327" s="21">
        <f t="shared" si="55"/>
        <v>1</v>
      </c>
      <c r="H327" s="666"/>
      <c r="I327" s="21">
        <f t="shared" si="56"/>
        <v>1</v>
      </c>
      <c r="J327" s="666"/>
      <c r="K327" s="21">
        <f t="shared" si="57"/>
        <v>1</v>
      </c>
      <c r="L327" s="666"/>
      <c r="M327" s="21">
        <f t="shared" si="58"/>
        <v>1</v>
      </c>
      <c r="N327" s="666"/>
      <c r="O327" s="21">
        <f t="shared" si="59"/>
        <v>1</v>
      </c>
      <c r="P327" s="666"/>
      <c r="Q327" s="21">
        <f t="shared" si="60"/>
        <v>0</v>
      </c>
      <c r="R327" s="662">
        <f t="shared" si="61"/>
        <v>0</v>
      </c>
      <c r="S327" s="316">
        <f t="shared" si="63"/>
        <v>0</v>
      </c>
    </row>
    <row r="328" spans="1:19">
      <c r="A328" s="150"/>
      <c r="B328" s="54"/>
      <c r="C328" s="21">
        <f t="shared" si="53"/>
        <v>1</v>
      </c>
      <c r="D328" s="666"/>
      <c r="E328" s="21">
        <f t="shared" si="54"/>
        <v>1</v>
      </c>
      <c r="F328" s="666"/>
      <c r="G328" s="21">
        <f t="shared" si="55"/>
        <v>1</v>
      </c>
      <c r="H328" s="666"/>
      <c r="I328" s="21">
        <f t="shared" si="56"/>
        <v>1</v>
      </c>
      <c r="J328" s="666"/>
      <c r="K328" s="21">
        <f t="shared" si="57"/>
        <v>1</v>
      </c>
      <c r="L328" s="666"/>
      <c r="M328" s="21">
        <f t="shared" si="58"/>
        <v>1</v>
      </c>
      <c r="N328" s="666"/>
      <c r="O328" s="21">
        <f t="shared" si="59"/>
        <v>1</v>
      </c>
      <c r="P328" s="666"/>
      <c r="Q328" s="21">
        <f t="shared" si="60"/>
        <v>0</v>
      </c>
      <c r="R328" s="662">
        <f t="shared" si="61"/>
        <v>0</v>
      </c>
      <c r="S328" s="316">
        <f t="shared" si="63"/>
        <v>0</v>
      </c>
    </row>
    <row r="329" spans="1:19">
      <c r="A329" s="150"/>
      <c r="B329" s="54"/>
      <c r="C329" s="21">
        <f t="shared" si="53"/>
        <v>1</v>
      </c>
      <c r="D329" s="666"/>
      <c r="E329" s="21">
        <f t="shared" si="54"/>
        <v>1</v>
      </c>
      <c r="F329" s="666"/>
      <c r="G329" s="21">
        <f t="shared" si="55"/>
        <v>1</v>
      </c>
      <c r="H329" s="666"/>
      <c r="I329" s="21">
        <f t="shared" si="56"/>
        <v>1</v>
      </c>
      <c r="J329" s="666"/>
      <c r="K329" s="21">
        <f t="shared" si="57"/>
        <v>1</v>
      </c>
      <c r="L329" s="666"/>
      <c r="M329" s="21">
        <f t="shared" si="58"/>
        <v>1</v>
      </c>
      <c r="N329" s="666"/>
      <c r="O329" s="21">
        <f t="shared" si="59"/>
        <v>1</v>
      </c>
      <c r="P329" s="666"/>
      <c r="Q329" s="21">
        <f t="shared" si="60"/>
        <v>0</v>
      </c>
      <c r="R329" s="662">
        <f t="shared" si="61"/>
        <v>0</v>
      </c>
      <c r="S329" s="316">
        <f t="shared" si="63"/>
        <v>0</v>
      </c>
    </row>
    <row r="330" spans="1:19">
      <c r="A330" s="150"/>
      <c r="B330" s="54"/>
      <c r="C330" s="21">
        <f t="shared" si="53"/>
        <v>1</v>
      </c>
      <c r="D330" s="666"/>
      <c r="E330" s="21">
        <f t="shared" si="54"/>
        <v>1</v>
      </c>
      <c r="F330" s="666"/>
      <c r="G330" s="21">
        <f t="shared" si="55"/>
        <v>1</v>
      </c>
      <c r="H330" s="666"/>
      <c r="I330" s="21">
        <f t="shared" si="56"/>
        <v>1</v>
      </c>
      <c r="J330" s="666"/>
      <c r="K330" s="21">
        <f t="shared" si="57"/>
        <v>1</v>
      </c>
      <c r="L330" s="666"/>
      <c r="M330" s="21">
        <f t="shared" si="58"/>
        <v>1</v>
      </c>
      <c r="N330" s="666"/>
      <c r="O330" s="21">
        <f t="shared" si="59"/>
        <v>1</v>
      </c>
      <c r="P330" s="666"/>
      <c r="Q330" s="21">
        <f t="shared" si="60"/>
        <v>0</v>
      </c>
      <c r="R330" s="662">
        <f t="shared" si="61"/>
        <v>0</v>
      </c>
      <c r="S330" s="316">
        <f t="shared" si="63"/>
        <v>0</v>
      </c>
    </row>
    <row r="331" spans="1:19">
      <c r="A331" s="150"/>
      <c r="B331" s="54"/>
      <c r="C331" s="21">
        <f t="shared" si="53"/>
        <v>1</v>
      </c>
      <c r="D331" s="666"/>
      <c r="E331" s="21">
        <f t="shared" si="54"/>
        <v>1</v>
      </c>
      <c r="F331" s="666"/>
      <c r="G331" s="21">
        <f t="shared" si="55"/>
        <v>1</v>
      </c>
      <c r="H331" s="666"/>
      <c r="I331" s="21">
        <f t="shared" si="56"/>
        <v>1</v>
      </c>
      <c r="J331" s="666"/>
      <c r="K331" s="21">
        <f t="shared" si="57"/>
        <v>1</v>
      </c>
      <c r="L331" s="666"/>
      <c r="M331" s="21">
        <f t="shared" si="58"/>
        <v>1</v>
      </c>
      <c r="N331" s="666"/>
      <c r="O331" s="21">
        <f t="shared" si="59"/>
        <v>1</v>
      </c>
      <c r="P331" s="666"/>
      <c r="Q331" s="21">
        <f t="shared" si="60"/>
        <v>0</v>
      </c>
      <c r="R331" s="662">
        <f t="shared" si="61"/>
        <v>0</v>
      </c>
      <c r="S331" s="316">
        <f t="shared" si="63"/>
        <v>0</v>
      </c>
    </row>
    <row r="332" spans="1:19">
      <c r="A332" s="150"/>
      <c r="B332" s="54"/>
      <c r="C332" s="21">
        <f t="shared" si="53"/>
        <v>1</v>
      </c>
      <c r="D332" s="666"/>
      <c r="E332" s="21">
        <f t="shared" si="54"/>
        <v>1</v>
      </c>
      <c r="F332" s="666"/>
      <c r="G332" s="21">
        <f t="shared" si="55"/>
        <v>1</v>
      </c>
      <c r="H332" s="666"/>
      <c r="I332" s="21">
        <f t="shared" si="56"/>
        <v>1</v>
      </c>
      <c r="J332" s="666"/>
      <c r="K332" s="21">
        <f t="shared" si="57"/>
        <v>1</v>
      </c>
      <c r="L332" s="666"/>
      <c r="M332" s="21">
        <f t="shared" si="58"/>
        <v>1</v>
      </c>
      <c r="N332" s="666"/>
      <c r="O332" s="21">
        <f t="shared" si="59"/>
        <v>1</v>
      </c>
      <c r="P332" s="666"/>
      <c r="Q332" s="21">
        <f t="shared" si="60"/>
        <v>0</v>
      </c>
      <c r="R332" s="662">
        <f t="shared" si="61"/>
        <v>0</v>
      </c>
      <c r="S332" s="316">
        <f t="shared" si="63"/>
        <v>0</v>
      </c>
    </row>
    <row r="333" spans="1:19">
      <c r="A333" s="150"/>
      <c r="B333" s="54"/>
      <c r="C333" s="21">
        <f t="shared" si="53"/>
        <v>1</v>
      </c>
      <c r="D333" s="666"/>
      <c r="E333" s="21">
        <f t="shared" si="54"/>
        <v>1</v>
      </c>
      <c r="F333" s="666"/>
      <c r="G333" s="21">
        <f t="shared" si="55"/>
        <v>1</v>
      </c>
      <c r="H333" s="666"/>
      <c r="I333" s="21">
        <f t="shared" si="56"/>
        <v>1</v>
      </c>
      <c r="J333" s="666"/>
      <c r="K333" s="21">
        <f t="shared" si="57"/>
        <v>1</v>
      </c>
      <c r="L333" s="666"/>
      <c r="M333" s="21">
        <f t="shared" si="58"/>
        <v>1</v>
      </c>
      <c r="N333" s="666"/>
      <c r="O333" s="21">
        <f t="shared" si="59"/>
        <v>1</v>
      </c>
      <c r="P333" s="666"/>
      <c r="Q333" s="21">
        <f t="shared" si="60"/>
        <v>0</v>
      </c>
      <c r="R333" s="662">
        <f t="shared" si="61"/>
        <v>0</v>
      </c>
      <c r="S333" s="316">
        <f t="shared" si="63"/>
        <v>0</v>
      </c>
    </row>
    <row r="334" spans="1:19">
      <c r="A334" s="150"/>
      <c r="B334" s="54"/>
      <c r="C334" s="21">
        <f t="shared" si="53"/>
        <v>1</v>
      </c>
      <c r="D334" s="666"/>
      <c r="E334" s="21">
        <f t="shared" si="54"/>
        <v>1</v>
      </c>
      <c r="F334" s="666"/>
      <c r="G334" s="21">
        <f t="shared" si="55"/>
        <v>1</v>
      </c>
      <c r="H334" s="666"/>
      <c r="I334" s="21">
        <f t="shared" si="56"/>
        <v>1</v>
      </c>
      <c r="J334" s="666"/>
      <c r="K334" s="21">
        <f t="shared" si="57"/>
        <v>1</v>
      </c>
      <c r="L334" s="666"/>
      <c r="M334" s="21">
        <f t="shared" si="58"/>
        <v>1</v>
      </c>
      <c r="N334" s="666"/>
      <c r="O334" s="21">
        <f t="shared" si="59"/>
        <v>1</v>
      </c>
      <c r="P334" s="666"/>
      <c r="Q334" s="21">
        <f t="shared" si="60"/>
        <v>0</v>
      </c>
      <c r="R334" s="662">
        <f t="shared" si="61"/>
        <v>0</v>
      </c>
      <c r="S334" s="316">
        <f t="shared" si="63"/>
        <v>0</v>
      </c>
    </row>
    <row r="335" spans="1:19">
      <c r="A335" s="150"/>
      <c r="B335" s="54"/>
      <c r="C335" s="21">
        <f t="shared" si="53"/>
        <v>1</v>
      </c>
      <c r="D335" s="666"/>
      <c r="E335" s="21">
        <f t="shared" si="54"/>
        <v>1</v>
      </c>
      <c r="F335" s="666"/>
      <c r="G335" s="21">
        <f t="shared" si="55"/>
        <v>1</v>
      </c>
      <c r="H335" s="666"/>
      <c r="I335" s="21">
        <f t="shared" si="56"/>
        <v>1</v>
      </c>
      <c r="J335" s="666"/>
      <c r="K335" s="21">
        <f t="shared" si="57"/>
        <v>1</v>
      </c>
      <c r="L335" s="666"/>
      <c r="M335" s="21">
        <f t="shared" si="58"/>
        <v>1</v>
      </c>
      <c r="N335" s="666"/>
      <c r="O335" s="21">
        <f t="shared" si="59"/>
        <v>1</v>
      </c>
      <c r="P335" s="666"/>
      <c r="Q335" s="21">
        <f t="shared" si="60"/>
        <v>0</v>
      </c>
      <c r="R335" s="662">
        <f t="shared" si="61"/>
        <v>0</v>
      </c>
      <c r="S335" s="316">
        <f t="shared" si="63"/>
        <v>0</v>
      </c>
    </row>
    <row r="336" spans="1:19">
      <c r="A336" s="150"/>
      <c r="B336" s="54"/>
      <c r="C336" s="21">
        <f t="shared" si="53"/>
        <v>1</v>
      </c>
      <c r="D336" s="666"/>
      <c r="E336" s="21">
        <f t="shared" si="54"/>
        <v>1</v>
      </c>
      <c r="F336" s="666"/>
      <c r="G336" s="21">
        <f t="shared" si="55"/>
        <v>1</v>
      </c>
      <c r="H336" s="666"/>
      <c r="I336" s="21">
        <f t="shared" si="56"/>
        <v>1</v>
      </c>
      <c r="J336" s="666"/>
      <c r="K336" s="21">
        <f t="shared" si="57"/>
        <v>1</v>
      </c>
      <c r="L336" s="666"/>
      <c r="M336" s="21">
        <f t="shared" si="58"/>
        <v>1</v>
      </c>
      <c r="N336" s="666"/>
      <c r="O336" s="21">
        <f t="shared" si="59"/>
        <v>1</v>
      </c>
      <c r="P336" s="666"/>
      <c r="Q336" s="21">
        <f t="shared" si="60"/>
        <v>0</v>
      </c>
      <c r="R336" s="662">
        <f t="shared" si="61"/>
        <v>0</v>
      </c>
      <c r="S336" s="316">
        <f t="shared" si="63"/>
        <v>0</v>
      </c>
    </row>
    <row r="337" spans="1:19">
      <c r="A337" s="150"/>
      <c r="B337" s="54"/>
      <c r="C337" s="21">
        <f t="shared" si="53"/>
        <v>1</v>
      </c>
      <c r="D337" s="666"/>
      <c r="E337" s="21">
        <f t="shared" si="54"/>
        <v>1</v>
      </c>
      <c r="F337" s="666"/>
      <c r="G337" s="21">
        <f t="shared" si="55"/>
        <v>1</v>
      </c>
      <c r="H337" s="666"/>
      <c r="I337" s="21">
        <f t="shared" si="56"/>
        <v>1</v>
      </c>
      <c r="J337" s="666"/>
      <c r="K337" s="21">
        <f t="shared" si="57"/>
        <v>1</v>
      </c>
      <c r="L337" s="666"/>
      <c r="M337" s="21">
        <f t="shared" si="58"/>
        <v>1</v>
      </c>
      <c r="N337" s="666"/>
      <c r="O337" s="21">
        <f t="shared" si="59"/>
        <v>1</v>
      </c>
      <c r="P337" s="666"/>
      <c r="Q337" s="21">
        <f t="shared" si="60"/>
        <v>0</v>
      </c>
      <c r="R337" s="662">
        <f t="shared" si="61"/>
        <v>0</v>
      </c>
      <c r="S337" s="316">
        <f t="shared" si="63"/>
        <v>0</v>
      </c>
    </row>
    <row r="338" spans="1:19">
      <c r="A338" s="150"/>
      <c r="B338" s="54"/>
      <c r="C338" s="21">
        <f t="shared" si="53"/>
        <v>1</v>
      </c>
      <c r="D338" s="666"/>
      <c r="E338" s="21">
        <f t="shared" si="54"/>
        <v>1</v>
      </c>
      <c r="F338" s="666"/>
      <c r="G338" s="21">
        <f t="shared" si="55"/>
        <v>1</v>
      </c>
      <c r="H338" s="666"/>
      <c r="I338" s="21">
        <f t="shared" si="56"/>
        <v>1</v>
      </c>
      <c r="J338" s="666"/>
      <c r="K338" s="21">
        <f t="shared" si="57"/>
        <v>1</v>
      </c>
      <c r="L338" s="666"/>
      <c r="M338" s="21">
        <f t="shared" si="58"/>
        <v>1</v>
      </c>
      <c r="N338" s="666"/>
      <c r="O338" s="21">
        <f t="shared" si="59"/>
        <v>1</v>
      </c>
      <c r="P338" s="666"/>
      <c r="Q338" s="21">
        <f t="shared" si="60"/>
        <v>0</v>
      </c>
      <c r="R338" s="662">
        <f t="shared" si="61"/>
        <v>0</v>
      </c>
      <c r="S338" s="316">
        <f t="shared" si="63"/>
        <v>0</v>
      </c>
    </row>
    <row r="339" spans="1:19">
      <c r="A339" s="150"/>
      <c r="B339" s="54"/>
      <c r="C339" s="21">
        <f t="shared" si="53"/>
        <v>1</v>
      </c>
      <c r="D339" s="666"/>
      <c r="E339" s="21">
        <f t="shared" si="54"/>
        <v>1</v>
      </c>
      <c r="F339" s="666"/>
      <c r="G339" s="21">
        <f t="shared" si="55"/>
        <v>1</v>
      </c>
      <c r="H339" s="666"/>
      <c r="I339" s="21">
        <f t="shared" si="56"/>
        <v>1</v>
      </c>
      <c r="J339" s="666"/>
      <c r="K339" s="21">
        <f t="shared" si="57"/>
        <v>1</v>
      </c>
      <c r="L339" s="666"/>
      <c r="M339" s="21">
        <f t="shared" si="58"/>
        <v>1</v>
      </c>
      <c r="N339" s="666"/>
      <c r="O339" s="21">
        <f t="shared" si="59"/>
        <v>1</v>
      </c>
      <c r="P339" s="666"/>
      <c r="Q339" s="21">
        <f t="shared" si="60"/>
        <v>0</v>
      </c>
      <c r="R339" s="662">
        <f t="shared" si="61"/>
        <v>0</v>
      </c>
      <c r="S339" s="316">
        <f t="shared" si="63"/>
        <v>0</v>
      </c>
    </row>
    <row r="340" spans="1:19">
      <c r="A340" s="150"/>
      <c r="B340" s="54"/>
      <c r="C340" s="21">
        <f t="shared" si="53"/>
        <v>1</v>
      </c>
      <c r="D340" s="666"/>
      <c r="E340" s="21">
        <f t="shared" si="54"/>
        <v>1</v>
      </c>
      <c r="F340" s="666"/>
      <c r="G340" s="21">
        <f t="shared" si="55"/>
        <v>1</v>
      </c>
      <c r="H340" s="666"/>
      <c r="I340" s="21">
        <f t="shared" si="56"/>
        <v>1</v>
      </c>
      <c r="J340" s="666"/>
      <c r="K340" s="21">
        <f t="shared" si="57"/>
        <v>1</v>
      </c>
      <c r="L340" s="666"/>
      <c r="M340" s="21">
        <f t="shared" si="58"/>
        <v>1</v>
      </c>
      <c r="N340" s="666"/>
      <c r="O340" s="21">
        <f t="shared" si="59"/>
        <v>1</v>
      </c>
      <c r="P340" s="666"/>
      <c r="Q340" s="21">
        <f t="shared" si="60"/>
        <v>0</v>
      </c>
      <c r="R340" s="662">
        <f t="shared" si="61"/>
        <v>0</v>
      </c>
      <c r="S340" s="316">
        <f t="shared" si="63"/>
        <v>0</v>
      </c>
    </row>
    <row r="341" spans="1:19">
      <c r="A341" s="150"/>
      <c r="B341" s="54"/>
      <c r="C341" s="21">
        <f t="shared" si="53"/>
        <v>1</v>
      </c>
      <c r="D341" s="666"/>
      <c r="E341" s="21">
        <f t="shared" si="54"/>
        <v>1</v>
      </c>
      <c r="F341" s="666"/>
      <c r="G341" s="21">
        <f t="shared" si="55"/>
        <v>1</v>
      </c>
      <c r="H341" s="666"/>
      <c r="I341" s="21">
        <f t="shared" si="56"/>
        <v>1</v>
      </c>
      <c r="J341" s="666"/>
      <c r="K341" s="21">
        <f t="shared" si="57"/>
        <v>1</v>
      </c>
      <c r="L341" s="666"/>
      <c r="M341" s="21">
        <f t="shared" si="58"/>
        <v>1</v>
      </c>
      <c r="N341" s="666"/>
      <c r="O341" s="21">
        <f t="shared" si="59"/>
        <v>1</v>
      </c>
      <c r="P341" s="666"/>
      <c r="Q341" s="21">
        <f t="shared" si="60"/>
        <v>0</v>
      </c>
      <c r="R341" s="662">
        <f t="shared" si="61"/>
        <v>0</v>
      </c>
      <c r="S341" s="316">
        <f t="shared" si="63"/>
        <v>0</v>
      </c>
    </row>
    <row r="342" spans="1:19">
      <c r="A342" s="150"/>
      <c r="B342" s="54"/>
      <c r="C342" s="21">
        <f t="shared" si="53"/>
        <v>1</v>
      </c>
      <c r="D342" s="666"/>
      <c r="E342" s="21">
        <f t="shared" si="54"/>
        <v>1</v>
      </c>
      <c r="F342" s="666"/>
      <c r="G342" s="21">
        <f t="shared" si="55"/>
        <v>1</v>
      </c>
      <c r="H342" s="666"/>
      <c r="I342" s="21">
        <f t="shared" si="56"/>
        <v>1</v>
      </c>
      <c r="J342" s="666"/>
      <c r="K342" s="21">
        <f t="shared" si="57"/>
        <v>1</v>
      </c>
      <c r="L342" s="666"/>
      <c r="M342" s="21">
        <f t="shared" si="58"/>
        <v>1</v>
      </c>
      <c r="N342" s="666"/>
      <c r="O342" s="21">
        <f t="shared" si="59"/>
        <v>1</v>
      </c>
      <c r="P342" s="666"/>
      <c r="Q342" s="21">
        <f t="shared" si="60"/>
        <v>0</v>
      </c>
      <c r="R342" s="662">
        <f t="shared" si="61"/>
        <v>0</v>
      </c>
      <c r="S342" s="316">
        <f t="shared" si="63"/>
        <v>0</v>
      </c>
    </row>
    <row r="343" spans="1:19">
      <c r="A343" s="150"/>
      <c r="B343" s="54"/>
      <c r="C343" s="21">
        <f t="shared" si="53"/>
        <v>1</v>
      </c>
      <c r="D343" s="666"/>
      <c r="E343" s="21">
        <f t="shared" si="54"/>
        <v>1</v>
      </c>
      <c r="F343" s="666"/>
      <c r="G343" s="21">
        <f t="shared" si="55"/>
        <v>1</v>
      </c>
      <c r="H343" s="666"/>
      <c r="I343" s="21">
        <f t="shared" si="56"/>
        <v>1</v>
      </c>
      <c r="J343" s="666"/>
      <c r="K343" s="21">
        <f t="shared" si="57"/>
        <v>1</v>
      </c>
      <c r="L343" s="666"/>
      <c r="M343" s="21">
        <f t="shared" si="58"/>
        <v>1</v>
      </c>
      <c r="N343" s="666"/>
      <c r="O343" s="21">
        <f t="shared" si="59"/>
        <v>1</v>
      </c>
      <c r="P343" s="666"/>
      <c r="Q343" s="21">
        <f t="shared" si="60"/>
        <v>0</v>
      </c>
      <c r="R343" s="662">
        <f t="shared" si="61"/>
        <v>0</v>
      </c>
      <c r="S343" s="316">
        <f t="shared" si="63"/>
        <v>0</v>
      </c>
    </row>
    <row r="344" spans="1:19">
      <c r="A344" s="150"/>
      <c r="B344" s="54"/>
      <c r="C344" s="21">
        <f t="shared" si="53"/>
        <v>1</v>
      </c>
      <c r="D344" s="666"/>
      <c r="E344" s="21">
        <f t="shared" si="54"/>
        <v>1</v>
      </c>
      <c r="F344" s="666"/>
      <c r="G344" s="21">
        <f t="shared" si="55"/>
        <v>1</v>
      </c>
      <c r="H344" s="666"/>
      <c r="I344" s="21">
        <f t="shared" si="56"/>
        <v>1</v>
      </c>
      <c r="J344" s="666"/>
      <c r="K344" s="21">
        <f t="shared" si="57"/>
        <v>1</v>
      </c>
      <c r="L344" s="666"/>
      <c r="M344" s="21">
        <f t="shared" si="58"/>
        <v>1</v>
      </c>
      <c r="N344" s="666"/>
      <c r="O344" s="21">
        <f t="shared" si="59"/>
        <v>1</v>
      </c>
      <c r="P344" s="666"/>
      <c r="Q344" s="21">
        <f t="shared" si="60"/>
        <v>0</v>
      </c>
      <c r="R344" s="662">
        <f t="shared" si="61"/>
        <v>0</v>
      </c>
      <c r="S344" s="316">
        <f t="shared" si="63"/>
        <v>0</v>
      </c>
    </row>
    <row r="345" spans="1:19">
      <c r="A345" s="150"/>
      <c r="B345" s="54"/>
      <c r="C345" s="21">
        <f t="shared" si="53"/>
        <v>1</v>
      </c>
      <c r="D345" s="666"/>
      <c r="E345" s="21">
        <f t="shared" si="54"/>
        <v>1</v>
      </c>
      <c r="F345" s="666"/>
      <c r="G345" s="21">
        <f t="shared" si="55"/>
        <v>1</v>
      </c>
      <c r="H345" s="666"/>
      <c r="I345" s="21">
        <f t="shared" si="56"/>
        <v>1</v>
      </c>
      <c r="J345" s="666"/>
      <c r="K345" s="21">
        <f t="shared" si="57"/>
        <v>1</v>
      </c>
      <c r="L345" s="666"/>
      <c r="M345" s="21">
        <f t="shared" si="58"/>
        <v>1</v>
      </c>
      <c r="N345" s="666"/>
      <c r="O345" s="21">
        <f t="shared" si="59"/>
        <v>1</v>
      </c>
      <c r="P345" s="666"/>
      <c r="Q345" s="21">
        <f t="shared" si="60"/>
        <v>0</v>
      </c>
      <c r="R345" s="662">
        <f t="shared" si="61"/>
        <v>0</v>
      </c>
      <c r="S345" s="316">
        <f t="shared" si="63"/>
        <v>0</v>
      </c>
    </row>
    <row r="346" spans="1:19">
      <c r="A346" s="150"/>
      <c r="B346" s="54"/>
      <c r="C346" s="21">
        <f t="shared" ref="C346:C409" si="64">IF(B346="",1,(LOOKUP(B346,$3:$3,$4:$4)-LOOKUP($B$24,$3:$3,$4:$4)+100)/100)</f>
        <v>1</v>
      </c>
      <c r="D346" s="666"/>
      <c r="E346" s="21">
        <f t="shared" ref="E346:E409" si="65">(SUMIF($5:$5,D346,$6:$6)-SUMIF($5:$5,$D$24,$6:$6)+100)/100</f>
        <v>1</v>
      </c>
      <c r="F346" s="666"/>
      <c r="G346" s="21">
        <f t="shared" ref="G346:G409" si="66">(SUMIF($7:$7,F346,$8:$8)-SUMIF($7:$7,$F$24,$8:$8)+100)/100</f>
        <v>1</v>
      </c>
      <c r="H346" s="666"/>
      <c r="I346" s="21">
        <f t="shared" ref="I346:I409" si="67">(SUMIF($9:$9,H346,$10:$10)-SUMIF($9:$9,$H$24,$10:$10)+100)/100</f>
        <v>1</v>
      </c>
      <c r="J346" s="666"/>
      <c r="K346" s="21">
        <f t="shared" ref="K346:K409" si="68">(SUMIF($11:$11,J346,$12:$12)-SUMIF($11:$11,$J$24,$12:$12)+100)/100</f>
        <v>1</v>
      </c>
      <c r="L346" s="666"/>
      <c r="M346" s="21">
        <f t="shared" ref="M346:M409" si="69">(SUMIF($13:$13,L346,$14:$14)-SUMIF($13:$13,$L$24,$14:$14)+100)/100</f>
        <v>1</v>
      </c>
      <c r="N346" s="666"/>
      <c r="O346" s="21">
        <f t="shared" ref="O346:O409" si="70">(SUMIF($15:$15,N346,$16:$16)-SUMIF($15:$15,$N$24,$16:$16)+100)/100</f>
        <v>1</v>
      </c>
      <c r="P346" s="666"/>
      <c r="Q346" s="21">
        <f t="shared" ref="Q346:Q409" si="71">(SUMIF($17:$17,P346,$18:$18)-SUMIF($17:$17,$P$24,$18:$18)+100)/100</f>
        <v>0</v>
      </c>
      <c r="R346" s="662">
        <f t="shared" ref="R346:R409" si="72">IF(B346="",0,ROUND($R$24*C346*E346*G346*I346*K346*M346*O346*Q346,0))</f>
        <v>0</v>
      </c>
      <c r="S346" s="316">
        <f t="shared" si="63"/>
        <v>0</v>
      </c>
    </row>
    <row r="347" spans="1:19">
      <c r="A347" s="150"/>
      <c r="B347" s="54"/>
      <c r="C347" s="21">
        <f t="shared" si="64"/>
        <v>1</v>
      </c>
      <c r="D347" s="666"/>
      <c r="E347" s="21">
        <f t="shared" si="65"/>
        <v>1</v>
      </c>
      <c r="F347" s="666"/>
      <c r="G347" s="21">
        <f t="shared" si="66"/>
        <v>1</v>
      </c>
      <c r="H347" s="666"/>
      <c r="I347" s="21">
        <f t="shared" si="67"/>
        <v>1</v>
      </c>
      <c r="J347" s="666"/>
      <c r="K347" s="21">
        <f t="shared" si="68"/>
        <v>1</v>
      </c>
      <c r="L347" s="666"/>
      <c r="M347" s="21">
        <f t="shared" si="69"/>
        <v>1</v>
      </c>
      <c r="N347" s="666"/>
      <c r="O347" s="21">
        <f t="shared" si="70"/>
        <v>1</v>
      </c>
      <c r="P347" s="666"/>
      <c r="Q347" s="21">
        <f t="shared" si="71"/>
        <v>0</v>
      </c>
      <c r="R347" s="662">
        <f t="shared" si="72"/>
        <v>0</v>
      </c>
      <c r="S347" s="316">
        <f t="shared" si="63"/>
        <v>0</v>
      </c>
    </row>
    <row r="348" spans="1:19">
      <c r="A348" s="150"/>
      <c r="B348" s="54"/>
      <c r="C348" s="21">
        <f t="shared" si="64"/>
        <v>1</v>
      </c>
      <c r="D348" s="666"/>
      <c r="E348" s="21">
        <f t="shared" si="65"/>
        <v>1</v>
      </c>
      <c r="F348" s="666"/>
      <c r="G348" s="21">
        <f t="shared" si="66"/>
        <v>1</v>
      </c>
      <c r="H348" s="666"/>
      <c r="I348" s="21">
        <f t="shared" si="67"/>
        <v>1</v>
      </c>
      <c r="J348" s="666"/>
      <c r="K348" s="21">
        <f t="shared" si="68"/>
        <v>1</v>
      </c>
      <c r="L348" s="666"/>
      <c r="M348" s="21">
        <f t="shared" si="69"/>
        <v>1</v>
      </c>
      <c r="N348" s="666"/>
      <c r="O348" s="21">
        <f t="shared" si="70"/>
        <v>1</v>
      </c>
      <c r="P348" s="666"/>
      <c r="Q348" s="21">
        <f t="shared" si="71"/>
        <v>0</v>
      </c>
      <c r="R348" s="662">
        <f t="shared" si="72"/>
        <v>0</v>
      </c>
      <c r="S348" s="316">
        <f t="shared" si="63"/>
        <v>0</v>
      </c>
    </row>
    <row r="349" spans="1:19">
      <c r="A349" s="150"/>
      <c r="B349" s="54"/>
      <c r="C349" s="21">
        <f t="shared" si="64"/>
        <v>1</v>
      </c>
      <c r="D349" s="666"/>
      <c r="E349" s="21">
        <f t="shared" si="65"/>
        <v>1</v>
      </c>
      <c r="F349" s="666"/>
      <c r="G349" s="21">
        <f t="shared" si="66"/>
        <v>1</v>
      </c>
      <c r="H349" s="666"/>
      <c r="I349" s="21">
        <f t="shared" si="67"/>
        <v>1</v>
      </c>
      <c r="J349" s="666"/>
      <c r="K349" s="21">
        <f t="shared" si="68"/>
        <v>1</v>
      </c>
      <c r="L349" s="666"/>
      <c r="M349" s="21">
        <f t="shared" si="69"/>
        <v>1</v>
      </c>
      <c r="N349" s="666"/>
      <c r="O349" s="21">
        <f t="shared" si="70"/>
        <v>1</v>
      </c>
      <c r="P349" s="666"/>
      <c r="Q349" s="21">
        <f t="shared" si="71"/>
        <v>0</v>
      </c>
      <c r="R349" s="662">
        <f t="shared" si="72"/>
        <v>0</v>
      </c>
      <c r="S349" s="316">
        <f t="shared" si="63"/>
        <v>0</v>
      </c>
    </row>
    <row r="350" spans="1:19">
      <c r="A350" s="150"/>
      <c r="B350" s="54"/>
      <c r="C350" s="21">
        <f t="shared" si="64"/>
        <v>1</v>
      </c>
      <c r="D350" s="666"/>
      <c r="E350" s="21">
        <f t="shared" si="65"/>
        <v>1</v>
      </c>
      <c r="F350" s="666"/>
      <c r="G350" s="21">
        <f t="shared" si="66"/>
        <v>1</v>
      </c>
      <c r="H350" s="666"/>
      <c r="I350" s="21">
        <f t="shared" si="67"/>
        <v>1</v>
      </c>
      <c r="J350" s="666"/>
      <c r="K350" s="21">
        <f t="shared" si="68"/>
        <v>1</v>
      </c>
      <c r="L350" s="666"/>
      <c r="M350" s="21">
        <f t="shared" si="69"/>
        <v>1</v>
      </c>
      <c r="N350" s="666"/>
      <c r="O350" s="21">
        <f t="shared" si="70"/>
        <v>1</v>
      </c>
      <c r="P350" s="666"/>
      <c r="Q350" s="21">
        <f t="shared" si="71"/>
        <v>0</v>
      </c>
      <c r="R350" s="662">
        <f t="shared" si="72"/>
        <v>0</v>
      </c>
      <c r="S350" s="316">
        <f t="shared" si="63"/>
        <v>0</v>
      </c>
    </row>
    <row r="351" spans="1:19">
      <c r="A351" s="150"/>
      <c r="B351" s="54"/>
      <c r="C351" s="21">
        <f t="shared" si="64"/>
        <v>1</v>
      </c>
      <c r="D351" s="666"/>
      <c r="E351" s="21">
        <f t="shared" si="65"/>
        <v>1</v>
      </c>
      <c r="F351" s="666"/>
      <c r="G351" s="21">
        <f t="shared" si="66"/>
        <v>1</v>
      </c>
      <c r="H351" s="666"/>
      <c r="I351" s="21">
        <f t="shared" si="67"/>
        <v>1</v>
      </c>
      <c r="J351" s="666"/>
      <c r="K351" s="21">
        <f t="shared" si="68"/>
        <v>1</v>
      </c>
      <c r="L351" s="666"/>
      <c r="M351" s="21">
        <f t="shared" si="69"/>
        <v>1</v>
      </c>
      <c r="N351" s="666"/>
      <c r="O351" s="21">
        <f t="shared" si="70"/>
        <v>1</v>
      </c>
      <c r="P351" s="666"/>
      <c r="Q351" s="21">
        <f t="shared" si="71"/>
        <v>0</v>
      </c>
      <c r="R351" s="662">
        <f t="shared" si="72"/>
        <v>0</v>
      </c>
      <c r="S351" s="316">
        <f t="shared" si="63"/>
        <v>0</v>
      </c>
    </row>
    <row r="352" spans="1:19">
      <c r="A352" s="150"/>
      <c r="B352" s="54"/>
      <c r="C352" s="21">
        <f t="shared" si="64"/>
        <v>1</v>
      </c>
      <c r="D352" s="666"/>
      <c r="E352" s="21">
        <f t="shared" si="65"/>
        <v>1</v>
      </c>
      <c r="F352" s="666"/>
      <c r="G352" s="21">
        <f t="shared" si="66"/>
        <v>1</v>
      </c>
      <c r="H352" s="666"/>
      <c r="I352" s="21">
        <f t="shared" si="67"/>
        <v>1</v>
      </c>
      <c r="J352" s="666"/>
      <c r="K352" s="21">
        <f t="shared" si="68"/>
        <v>1</v>
      </c>
      <c r="L352" s="666"/>
      <c r="M352" s="21">
        <f t="shared" si="69"/>
        <v>1</v>
      </c>
      <c r="N352" s="666"/>
      <c r="O352" s="21">
        <f t="shared" si="70"/>
        <v>1</v>
      </c>
      <c r="P352" s="666"/>
      <c r="Q352" s="21">
        <f t="shared" si="71"/>
        <v>0</v>
      </c>
      <c r="R352" s="662">
        <f t="shared" si="72"/>
        <v>0</v>
      </c>
      <c r="S352" s="316">
        <f t="shared" si="63"/>
        <v>0</v>
      </c>
    </row>
    <row r="353" spans="1:19">
      <c r="A353" s="150"/>
      <c r="B353" s="54"/>
      <c r="C353" s="21">
        <f t="shared" si="64"/>
        <v>1</v>
      </c>
      <c r="D353" s="666"/>
      <c r="E353" s="21">
        <f t="shared" si="65"/>
        <v>1</v>
      </c>
      <c r="F353" s="666"/>
      <c r="G353" s="21">
        <f t="shared" si="66"/>
        <v>1</v>
      </c>
      <c r="H353" s="666"/>
      <c r="I353" s="21">
        <f t="shared" si="67"/>
        <v>1</v>
      </c>
      <c r="J353" s="666"/>
      <c r="K353" s="21">
        <f t="shared" si="68"/>
        <v>1</v>
      </c>
      <c r="L353" s="666"/>
      <c r="M353" s="21">
        <f t="shared" si="69"/>
        <v>1</v>
      </c>
      <c r="N353" s="666"/>
      <c r="O353" s="21">
        <f t="shared" si="70"/>
        <v>1</v>
      </c>
      <c r="P353" s="666"/>
      <c r="Q353" s="21">
        <f t="shared" si="71"/>
        <v>0</v>
      </c>
      <c r="R353" s="662">
        <f t="shared" si="72"/>
        <v>0</v>
      </c>
      <c r="S353" s="316">
        <f t="shared" si="63"/>
        <v>0</v>
      </c>
    </row>
    <row r="354" spans="1:19">
      <c r="A354" s="150"/>
      <c r="B354" s="54"/>
      <c r="C354" s="21">
        <f t="shared" si="64"/>
        <v>1</v>
      </c>
      <c r="D354" s="666"/>
      <c r="E354" s="21">
        <f t="shared" si="65"/>
        <v>1</v>
      </c>
      <c r="F354" s="666"/>
      <c r="G354" s="21">
        <f t="shared" si="66"/>
        <v>1</v>
      </c>
      <c r="H354" s="666"/>
      <c r="I354" s="21">
        <f t="shared" si="67"/>
        <v>1</v>
      </c>
      <c r="J354" s="666"/>
      <c r="K354" s="21">
        <f t="shared" si="68"/>
        <v>1</v>
      </c>
      <c r="L354" s="666"/>
      <c r="M354" s="21">
        <f t="shared" si="69"/>
        <v>1</v>
      </c>
      <c r="N354" s="666"/>
      <c r="O354" s="21">
        <f t="shared" si="70"/>
        <v>1</v>
      </c>
      <c r="P354" s="666"/>
      <c r="Q354" s="21">
        <f t="shared" si="71"/>
        <v>0</v>
      </c>
      <c r="R354" s="662">
        <f t="shared" si="72"/>
        <v>0</v>
      </c>
      <c r="S354" s="316">
        <f t="shared" si="63"/>
        <v>0</v>
      </c>
    </row>
    <row r="355" spans="1:19">
      <c r="A355" s="150"/>
      <c r="B355" s="54"/>
      <c r="C355" s="21">
        <f t="shared" si="64"/>
        <v>1</v>
      </c>
      <c r="D355" s="666"/>
      <c r="E355" s="21">
        <f t="shared" si="65"/>
        <v>1</v>
      </c>
      <c r="F355" s="666"/>
      <c r="G355" s="21">
        <f t="shared" si="66"/>
        <v>1</v>
      </c>
      <c r="H355" s="666"/>
      <c r="I355" s="21">
        <f t="shared" si="67"/>
        <v>1</v>
      </c>
      <c r="J355" s="666"/>
      <c r="K355" s="21">
        <f t="shared" si="68"/>
        <v>1</v>
      </c>
      <c r="L355" s="666"/>
      <c r="M355" s="21">
        <f t="shared" si="69"/>
        <v>1</v>
      </c>
      <c r="N355" s="666"/>
      <c r="O355" s="21">
        <f t="shared" si="70"/>
        <v>1</v>
      </c>
      <c r="P355" s="666"/>
      <c r="Q355" s="21">
        <f t="shared" si="71"/>
        <v>0</v>
      </c>
      <c r="R355" s="662">
        <f t="shared" si="72"/>
        <v>0</v>
      </c>
      <c r="S355" s="316">
        <f t="shared" si="63"/>
        <v>0</v>
      </c>
    </row>
    <row r="356" spans="1:19">
      <c r="A356" s="150"/>
      <c r="B356" s="54"/>
      <c r="C356" s="21">
        <f t="shared" si="64"/>
        <v>1</v>
      </c>
      <c r="D356" s="666"/>
      <c r="E356" s="21">
        <f t="shared" si="65"/>
        <v>1</v>
      </c>
      <c r="F356" s="666"/>
      <c r="G356" s="21">
        <f t="shared" si="66"/>
        <v>1</v>
      </c>
      <c r="H356" s="666"/>
      <c r="I356" s="21">
        <f t="shared" si="67"/>
        <v>1</v>
      </c>
      <c r="J356" s="666"/>
      <c r="K356" s="21">
        <f t="shared" si="68"/>
        <v>1</v>
      </c>
      <c r="L356" s="666"/>
      <c r="M356" s="21">
        <f t="shared" si="69"/>
        <v>1</v>
      </c>
      <c r="N356" s="666"/>
      <c r="O356" s="21">
        <f t="shared" si="70"/>
        <v>1</v>
      </c>
      <c r="P356" s="666"/>
      <c r="Q356" s="21">
        <f t="shared" si="71"/>
        <v>0</v>
      </c>
      <c r="R356" s="662">
        <f t="shared" si="72"/>
        <v>0</v>
      </c>
      <c r="S356" s="316">
        <f t="shared" si="63"/>
        <v>0</v>
      </c>
    </row>
    <row r="357" spans="1:19">
      <c r="A357" s="150"/>
      <c r="B357" s="54"/>
      <c r="C357" s="21">
        <f t="shared" si="64"/>
        <v>1</v>
      </c>
      <c r="D357" s="666"/>
      <c r="E357" s="21">
        <f t="shared" si="65"/>
        <v>1</v>
      </c>
      <c r="F357" s="666"/>
      <c r="G357" s="21">
        <f t="shared" si="66"/>
        <v>1</v>
      </c>
      <c r="H357" s="666"/>
      <c r="I357" s="21">
        <f t="shared" si="67"/>
        <v>1</v>
      </c>
      <c r="J357" s="666"/>
      <c r="K357" s="21">
        <f t="shared" si="68"/>
        <v>1</v>
      </c>
      <c r="L357" s="666"/>
      <c r="M357" s="21">
        <f t="shared" si="69"/>
        <v>1</v>
      </c>
      <c r="N357" s="666"/>
      <c r="O357" s="21">
        <f t="shared" si="70"/>
        <v>1</v>
      </c>
      <c r="P357" s="666"/>
      <c r="Q357" s="21">
        <f t="shared" si="71"/>
        <v>0</v>
      </c>
      <c r="R357" s="662">
        <f t="shared" si="72"/>
        <v>0</v>
      </c>
      <c r="S357" s="316">
        <f t="shared" si="63"/>
        <v>0</v>
      </c>
    </row>
    <row r="358" spans="1:19">
      <c r="A358" s="150"/>
      <c r="B358" s="54"/>
      <c r="C358" s="21">
        <f t="shared" si="64"/>
        <v>1</v>
      </c>
      <c r="D358" s="666"/>
      <c r="E358" s="21">
        <f t="shared" si="65"/>
        <v>1</v>
      </c>
      <c r="F358" s="666"/>
      <c r="G358" s="21">
        <f t="shared" si="66"/>
        <v>1</v>
      </c>
      <c r="H358" s="666"/>
      <c r="I358" s="21">
        <f t="shared" si="67"/>
        <v>1</v>
      </c>
      <c r="J358" s="666"/>
      <c r="K358" s="21">
        <f t="shared" si="68"/>
        <v>1</v>
      </c>
      <c r="L358" s="666"/>
      <c r="M358" s="21">
        <f t="shared" si="69"/>
        <v>1</v>
      </c>
      <c r="N358" s="666"/>
      <c r="O358" s="21">
        <f t="shared" si="70"/>
        <v>1</v>
      </c>
      <c r="P358" s="666"/>
      <c r="Q358" s="21">
        <f t="shared" si="71"/>
        <v>0</v>
      </c>
      <c r="R358" s="662">
        <f t="shared" si="72"/>
        <v>0</v>
      </c>
      <c r="S358" s="316">
        <f t="shared" si="63"/>
        <v>0</v>
      </c>
    </row>
    <row r="359" spans="1:19">
      <c r="A359" s="150"/>
      <c r="B359" s="54"/>
      <c r="C359" s="21">
        <f t="shared" si="64"/>
        <v>1</v>
      </c>
      <c r="D359" s="666"/>
      <c r="E359" s="21">
        <f t="shared" si="65"/>
        <v>1</v>
      </c>
      <c r="F359" s="666"/>
      <c r="G359" s="21">
        <f t="shared" si="66"/>
        <v>1</v>
      </c>
      <c r="H359" s="666"/>
      <c r="I359" s="21">
        <f t="shared" si="67"/>
        <v>1</v>
      </c>
      <c r="J359" s="666"/>
      <c r="K359" s="21">
        <f t="shared" si="68"/>
        <v>1</v>
      </c>
      <c r="L359" s="666"/>
      <c r="M359" s="21">
        <f t="shared" si="69"/>
        <v>1</v>
      </c>
      <c r="N359" s="666"/>
      <c r="O359" s="21">
        <f t="shared" si="70"/>
        <v>1</v>
      </c>
      <c r="P359" s="666"/>
      <c r="Q359" s="21">
        <f t="shared" si="71"/>
        <v>0</v>
      </c>
      <c r="R359" s="662">
        <f t="shared" si="72"/>
        <v>0</v>
      </c>
      <c r="S359" s="316">
        <f t="shared" si="63"/>
        <v>0</v>
      </c>
    </row>
    <row r="360" spans="1:19">
      <c r="A360" s="150"/>
      <c r="B360" s="54"/>
      <c r="C360" s="21">
        <f t="shared" si="64"/>
        <v>1</v>
      </c>
      <c r="D360" s="666"/>
      <c r="E360" s="21">
        <f t="shared" si="65"/>
        <v>1</v>
      </c>
      <c r="F360" s="666"/>
      <c r="G360" s="21">
        <f t="shared" si="66"/>
        <v>1</v>
      </c>
      <c r="H360" s="666"/>
      <c r="I360" s="21">
        <f t="shared" si="67"/>
        <v>1</v>
      </c>
      <c r="J360" s="666"/>
      <c r="K360" s="21">
        <f t="shared" si="68"/>
        <v>1</v>
      </c>
      <c r="L360" s="666"/>
      <c r="M360" s="21">
        <f t="shared" si="69"/>
        <v>1</v>
      </c>
      <c r="N360" s="666"/>
      <c r="O360" s="21">
        <f t="shared" si="70"/>
        <v>1</v>
      </c>
      <c r="P360" s="666"/>
      <c r="Q360" s="21">
        <f t="shared" si="71"/>
        <v>0</v>
      </c>
      <c r="R360" s="662">
        <f t="shared" si="72"/>
        <v>0</v>
      </c>
      <c r="S360" s="316">
        <f t="shared" si="63"/>
        <v>0</v>
      </c>
    </row>
    <row r="361" spans="1:19">
      <c r="A361" s="150"/>
      <c r="B361" s="54"/>
      <c r="C361" s="21">
        <f t="shared" si="64"/>
        <v>1</v>
      </c>
      <c r="D361" s="666"/>
      <c r="E361" s="21">
        <f t="shared" si="65"/>
        <v>1</v>
      </c>
      <c r="F361" s="666"/>
      <c r="G361" s="21">
        <f t="shared" si="66"/>
        <v>1</v>
      </c>
      <c r="H361" s="666"/>
      <c r="I361" s="21">
        <f t="shared" si="67"/>
        <v>1</v>
      </c>
      <c r="J361" s="666"/>
      <c r="K361" s="21">
        <f t="shared" si="68"/>
        <v>1</v>
      </c>
      <c r="L361" s="666"/>
      <c r="M361" s="21">
        <f t="shared" si="69"/>
        <v>1</v>
      </c>
      <c r="N361" s="666"/>
      <c r="O361" s="21">
        <f t="shared" si="70"/>
        <v>1</v>
      </c>
      <c r="P361" s="666"/>
      <c r="Q361" s="21">
        <f t="shared" si="71"/>
        <v>0</v>
      </c>
      <c r="R361" s="662">
        <f t="shared" si="72"/>
        <v>0</v>
      </c>
      <c r="S361" s="316">
        <f t="shared" si="63"/>
        <v>0</v>
      </c>
    </row>
    <row r="362" spans="1:19">
      <c r="A362" s="150"/>
      <c r="B362" s="54"/>
      <c r="C362" s="21">
        <f t="shared" si="64"/>
        <v>1</v>
      </c>
      <c r="D362" s="666"/>
      <c r="E362" s="21">
        <f t="shared" si="65"/>
        <v>1</v>
      </c>
      <c r="F362" s="666"/>
      <c r="G362" s="21">
        <f t="shared" si="66"/>
        <v>1</v>
      </c>
      <c r="H362" s="666"/>
      <c r="I362" s="21">
        <f t="shared" si="67"/>
        <v>1</v>
      </c>
      <c r="J362" s="666"/>
      <c r="K362" s="21">
        <f t="shared" si="68"/>
        <v>1</v>
      </c>
      <c r="L362" s="666"/>
      <c r="M362" s="21">
        <f t="shared" si="69"/>
        <v>1</v>
      </c>
      <c r="N362" s="666"/>
      <c r="O362" s="21">
        <f t="shared" si="70"/>
        <v>1</v>
      </c>
      <c r="P362" s="666"/>
      <c r="Q362" s="21">
        <f t="shared" si="71"/>
        <v>0</v>
      </c>
      <c r="R362" s="662">
        <f t="shared" si="72"/>
        <v>0</v>
      </c>
      <c r="S362" s="316">
        <f t="shared" si="63"/>
        <v>0</v>
      </c>
    </row>
    <row r="363" spans="1:19">
      <c r="A363" s="150"/>
      <c r="B363" s="54"/>
      <c r="C363" s="21">
        <f t="shared" si="64"/>
        <v>1</v>
      </c>
      <c r="D363" s="666"/>
      <c r="E363" s="21">
        <f t="shared" si="65"/>
        <v>1</v>
      </c>
      <c r="F363" s="666"/>
      <c r="G363" s="21">
        <f t="shared" si="66"/>
        <v>1</v>
      </c>
      <c r="H363" s="666"/>
      <c r="I363" s="21">
        <f t="shared" si="67"/>
        <v>1</v>
      </c>
      <c r="J363" s="666"/>
      <c r="K363" s="21">
        <f t="shared" si="68"/>
        <v>1</v>
      </c>
      <c r="L363" s="666"/>
      <c r="M363" s="21">
        <f t="shared" si="69"/>
        <v>1</v>
      </c>
      <c r="N363" s="666"/>
      <c r="O363" s="21">
        <f t="shared" si="70"/>
        <v>1</v>
      </c>
      <c r="P363" s="666"/>
      <c r="Q363" s="21">
        <f t="shared" si="71"/>
        <v>0</v>
      </c>
      <c r="R363" s="662">
        <f t="shared" si="72"/>
        <v>0</v>
      </c>
      <c r="S363" s="316">
        <f t="shared" si="63"/>
        <v>0</v>
      </c>
    </row>
    <row r="364" spans="1:19">
      <c r="A364" s="150"/>
      <c r="B364" s="54"/>
      <c r="C364" s="21">
        <f t="shared" si="64"/>
        <v>1</v>
      </c>
      <c r="D364" s="666"/>
      <c r="E364" s="21">
        <f t="shared" si="65"/>
        <v>1</v>
      </c>
      <c r="F364" s="666"/>
      <c r="G364" s="21">
        <f t="shared" si="66"/>
        <v>1</v>
      </c>
      <c r="H364" s="666"/>
      <c r="I364" s="21">
        <f t="shared" si="67"/>
        <v>1</v>
      </c>
      <c r="J364" s="666"/>
      <c r="K364" s="21">
        <f t="shared" si="68"/>
        <v>1</v>
      </c>
      <c r="L364" s="666"/>
      <c r="M364" s="21">
        <f t="shared" si="69"/>
        <v>1</v>
      </c>
      <c r="N364" s="666"/>
      <c r="O364" s="21">
        <f t="shared" si="70"/>
        <v>1</v>
      </c>
      <c r="P364" s="666"/>
      <c r="Q364" s="21">
        <f t="shared" si="71"/>
        <v>0</v>
      </c>
      <c r="R364" s="662">
        <f t="shared" si="72"/>
        <v>0</v>
      </c>
      <c r="S364" s="316">
        <f t="shared" si="63"/>
        <v>0</v>
      </c>
    </row>
    <row r="365" spans="1:19">
      <c r="A365" s="150"/>
      <c r="B365" s="54"/>
      <c r="C365" s="21">
        <f t="shared" si="64"/>
        <v>1</v>
      </c>
      <c r="D365" s="666"/>
      <c r="E365" s="21">
        <f t="shared" si="65"/>
        <v>1</v>
      </c>
      <c r="F365" s="666"/>
      <c r="G365" s="21">
        <f t="shared" si="66"/>
        <v>1</v>
      </c>
      <c r="H365" s="666"/>
      <c r="I365" s="21">
        <f t="shared" si="67"/>
        <v>1</v>
      </c>
      <c r="J365" s="666"/>
      <c r="K365" s="21">
        <f t="shared" si="68"/>
        <v>1</v>
      </c>
      <c r="L365" s="666"/>
      <c r="M365" s="21">
        <f t="shared" si="69"/>
        <v>1</v>
      </c>
      <c r="N365" s="666"/>
      <c r="O365" s="21">
        <f t="shared" si="70"/>
        <v>1</v>
      </c>
      <c r="P365" s="666"/>
      <c r="Q365" s="21">
        <f t="shared" si="71"/>
        <v>0</v>
      </c>
      <c r="R365" s="662">
        <f t="shared" si="72"/>
        <v>0</v>
      </c>
      <c r="S365" s="316">
        <f t="shared" si="63"/>
        <v>0</v>
      </c>
    </row>
    <row r="366" spans="1:19">
      <c r="A366" s="150"/>
      <c r="B366" s="54"/>
      <c r="C366" s="21">
        <f t="shared" si="64"/>
        <v>1</v>
      </c>
      <c r="D366" s="666"/>
      <c r="E366" s="21">
        <f t="shared" si="65"/>
        <v>1</v>
      </c>
      <c r="F366" s="666"/>
      <c r="G366" s="21">
        <f t="shared" si="66"/>
        <v>1</v>
      </c>
      <c r="H366" s="666"/>
      <c r="I366" s="21">
        <f t="shared" si="67"/>
        <v>1</v>
      </c>
      <c r="J366" s="666"/>
      <c r="K366" s="21">
        <f t="shared" si="68"/>
        <v>1</v>
      </c>
      <c r="L366" s="666"/>
      <c r="M366" s="21">
        <f t="shared" si="69"/>
        <v>1</v>
      </c>
      <c r="N366" s="666"/>
      <c r="O366" s="21">
        <f t="shared" si="70"/>
        <v>1</v>
      </c>
      <c r="P366" s="666"/>
      <c r="Q366" s="21">
        <f t="shared" si="71"/>
        <v>0</v>
      </c>
      <c r="R366" s="662">
        <f t="shared" si="72"/>
        <v>0</v>
      </c>
      <c r="S366" s="316">
        <f t="shared" si="63"/>
        <v>0</v>
      </c>
    </row>
    <row r="367" spans="1:19">
      <c r="A367" s="150"/>
      <c r="B367" s="54"/>
      <c r="C367" s="21">
        <f t="shared" si="64"/>
        <v>1</v>
      </c>
      <c r="D367" s="666"/>
      <c r="E367" s="21">
        <f t="shared" si="65"/>
        <v>1</v>
      </c>
      <c r="F367" s="666"/>
      <c r="G367" s="21">
        <f t="shared" si="66"/>
        <v>1</v>
      </c>
      <c r="H367" s="666"/>
      <c r="I367" s="21">
        <f t="shared" si="67"/>
        <v>1</v>
      </c>
      <c r="J367" s="666"/>
      <c r="K367" s="21">
        <f t="shared" si="68"/>
        <v>1</v>
      </c>
      <c r="L367" s="666"/>
      <c r="M367" s="21">
        <f t="shared" si="69"/>
        <v>1</v>
      </c>
      <c r="N367" s="666"/>
      <c r="O367" s="21">
        <f t="shared" si="70"/>
        <v>1</v>
      </c>
      <c r="P367" s="666"/>
      <c r="Q367" s="21">
        <f t="shared" si="71"/>
        <v>0</v>
      </c>
      <c r="R367" s="662">
        <f t="shared" si="72"/>
        <v>0</v>
      </c>
      <c r="S367" s="316">
        <f t="shared" si="63"/>
        <v>0</v>
      </c>
    </row>
    <row r="368" spans="1:19">
      <c r="A368" s="150"/>
      <c r="B368" s="54"/>
      <c r="C368" s="21">
        <f t="shared" si="64"/>
        <v>1</v>
      </c>
      <c r="D368" s="666"/>
      <c r="E368" s="21">
        <f t="shared" si="65"/>
        <v>1</v>
      </c>
      <c r="F368" s="666"/>
      <c r="G368" s="21">
        <f t="shared" si="66"/>
        <v>1</v>
      </c>
      <c r="H368" s="666"/>
      <c r="I368" s="21">
        <f t="shared" si="67"/>
        <v>1</v>
      </c>
      <c r="J368" s="666"/>
      <c r="K368" s="21">
        <f t="shared" si="68"/>
        <v>1</v>
      </c>
      <c r="L368" s="666"/>
      <c r="M368" s="21">
        <f t="shared" si="69"/>
        <v>1</v>
      </c>
      <c r="N368" s="666"/>
      <c r="O368" s="21">
        <f t="shared" si="70"/>
        <v>1</v>
      </c>
      <c r="P368" s="666"/>
      <c r="Q368" s="21">
        <f t="shared" si="71"/>
        <v>0</v>
      </c>
      <c r="R368" s="662">
        <f t="shared" si="72"/>
        <v>0</v>
      </c>
      <c r="S368" s="316">
        <f t="shared" si="63"/>
        <v>0</v>
      </c>
    </row>
    <row r="369" spans="1:19">
      <c r="A369" s="150"/>
      <c r="B369" s="54"/>
      <c r="C369" s="21">
        <f t="shared" si="64"/>
        <v>1</v>
      </c>
      <c r="D369" s="666"/>
      <c r="E369" s="21">
        <f t="shared" si="65"/>
        <v>1</v>
      </c>
      <c r="F369" s="666"/>
      <c r="G369" s="21">
        <f t="shared" si="66"/>
        <v>1</v>
      </c>
      <c r="H369" s="666"/>
      <c r="I369" s="21">
        <f t="shared" si="67"/>
        <v>1</v>
      </c>
      <c r="J369" s="666"/>
      <c r="K369" s="21">
        <f t="shared" si="68"/>
        <v>1</v>
      </c>
      <c r="L369" s="666"/>
      <c r="M369" s="21">
        <f t="shared" si="69"/>
        <v>1</v>
      </c>
      <c r="N369" s="666"/>
      <c r="O369" s="21">
        <f t="shared" si="70"/>
        <v>1</v>
      </c>
      <c r="P369" s="666"/>
      <c r="Q369" s="21">
        <f t="shared" si="71"/>
        <v>0</v>
      </c>
      <c r="R369" s="662">
        <f t="shared" si="72"/>
        <v>0</v>
      </c>
      <c r="S369" s="316">
        <f t="shared" si="63"/>
        <v>0</v>
      </c>
    </row>
    <row r="370" spans="1:19">
      <c r="A370" s="150"/>
      <c r="B370" s="54"/>
      <c r="C370" s="21">
        <f t="shared" si="64"/>
        <v>1</v>
      </c>
      <c r="D370" s="666"/>
      <c r="E370" s="21">
        <f t="shared" si="65"/>
        <v>1</v>
      </c>
      <c r="F370" s="666"/>
      <c r="G370" s="21">
        <f t="shared" si="66"/>
        <v>1</v>
      </c>
      <c r="H370" s="666"/>
      <c r="I370" s="21">
        <f t="shared" si="67"/>
        <v>1</v>
      </c>
      <c r="J370" s="666"/>
      <c r="K370" s="21">
        <f t="shared" si="68"/>
        <v>1</v>
      </c>
      <c r="L370" s="666"/>
      <c r="M370" s="21">
        <f t="shared" si="69"/>
        <v>1</v>
      </c>
      <c r="N370" s="666"/>
      <c r="O370" s="21">
        <f t="shared" si="70"/>
        <v>1</v>
      </c>
      <c r="P370" s="666"/>
      <c r="Q370" s="21">
        <f t="shared" si="71"/>
        <v>0</v>
      </c>
      <c r="R370" s="662">
        <f t="shared" si="72"/>
        <v>0</v>
      </c>
      <c r="S370" s="316">
        <f t="shared" si="63"/>
        <v>0</v>
      </c>
    </row>
    <row r="371" spans="1:19">
      <c r="A371" s="150"/>
      <c r="B371" s="54"/>
      <c r="C371" s="21">
        <f t="shared" si="64"/>
        <v>1</v>
      </c>
      <c r="D371" s="666"/>
      <c r="E371" s="21">
        <f t="shared" si="65"/>
        <v>1</v>
      </c>
      <c r="F371" s="666"/>
      <c r="G371" s="21">
        <f t="shared" si="66"/>
        <v>1</v>
      </c>
      <c r="H371" s="666"/>
      <c r="I371" s="21">
        <f t="shared" si="67"/>
        <v>1</v>
      </c>
      <c r="J371" s="666"/>
      <c r="K371" s="21">
        <f t="shared" si="68"/>
        <v>1</v>
      </c>
      <c r="L371" s="666"/>
      <c r="M371" s="21">
        <f t="shared" si="69"/>
        <v>1</v>
      </c>
      <c r="N371" s="666"/>
      <c r="O371" s="21">
        <f t="shared" si="70"/>
        <v>1</v>
      </c>
      <c r="P371" s="666"/>
      <c r="Q371" s="21">
        <f t="shared" si="71"/>
        <v>0</v>
      </c>
      <c r="R371" s="662">
        <f t="shared" si="72"/>
        <v>0</v>
      </c>
      <c r="S371" s="316">
        <f t="shared" si="63"/>
        <v>0</v>
      </c>
    </row>
    <row r="372" spans="1:19">
      <c r="A372" s="150"/>
      <c r="B372" s="54"/>
      <c r="C372" s="21">
        <f t="shared" si="64"/>
        <v>1</v>
      </c>
      <c r="D372" s="666"/>
      <c r="E372" s="21">
        <f t="shared" si="65"/>
        <v>1</v>
      </c>
      <c r="F372" s="666"/>
      <c r="G372" s="21">
        <f t="shared" si="66"/>
        <v>1</v>
      </c>
      <c r="H372" s="666"/>
      <c r="I372" s="21">
        <f t="shared" si="67"/>
        <v>1</v>
      </c>
      <c r="J372" s="666"/>
      <c r="K372" s="21">
        <f t="shared" si="68"/>
        <v>1</v>
      </c>
      <c r="L372" s="666"/>
      <c r="M372" s="21">
        <f t="shared" si="69"/>
        <v>1</v>
      </c>
      <c r="N372" s="666"/>
      <c r="O372" s="21">
        <f t="shared" si="70"/>
        <v>1</v>
      </c>
      <c r="P372" s="666"/>
      <c r="Q372" s="21">
        <f t="shared" si="71"/>
        <v>0</v>
      </c>
      <c r="R372" s="662">
        <f t="shared" si="72"/>
        <v>0</v>
      </c>
      <c r="S372" s="316">
        <f t="shared" si="63"/>
        <v>0</v>
      </c>
    </row>
    <row r="373" spans="1:19">
      <c r="A373" s="150"/>
      <c r="B373" s="54"/>
      <c r="C373" s="21">
        <f t="shared" si="64"/>
        <v>1</v>
      </c>
      <c r="D373" s="666"/>
      <c r="E373" s="21">
        <f t="shared" si="65"/>
        <v>1</v>
      </c>
      <c r="F373" s="666"/>
      <c r="G373" s="21">
        <f t="shared" si="66"/>
        <v>1</v>
      </c>
      <c r="H373" s="666"/>
      <c r="I373" s="21">
        <f t="shared" si="67"/>
        <v>1</v>
      </c>
      <c r="J373" s="666"/>
      <c r="K373" s="21">
        <f t="shared" si="68"/>
        <v>1</v>
      </c>
      <c r="L373" s="666"/>
      <c r="M373" s="21">
        <f t="shared" si="69"/>
        <v>1</v>
      </c>
      <c r="N373" s="666"/>
      <c r="O373" s="21">
        <f t="shared" si="70"/>
        <v>1</v>
      </c>
      <c r="P373" s="666"/>
      <c r="Q373" s="21">
        <f t="shared" si="71"/>
        <v>0</v>
      </c>
      <c r="R373" s="662">
        <f t="shared" si="72"/>
        <v>0</v>
      </c>
      <c r="S373" s="316">
        <f t="shared" si="63"/>
        <v>0</v>
      </c>
    </row>
    <row r="374" spans="1:19">
      <c r="A374" s="150"/>
      <c r="B374" s="54"/>
      <c r="C374" s="21">
        <f t="shared" si="64"/>
        <v>1</v>
      </c>
      <c r="D374" s="666"/>
      <c r="E374" s="21">
        <f t="shared" si="65"/>
        <v>1</v>
      </c>
      <c r="F374" s="666"/>
      <c r="G374" s="21">
        <f t="shared" si="66"/>
        <v>1</v>
      </c>
      <c r="H374" s="666"/>
      <c r="I374" s="21">
        <f t="shared" si="67"/>
        <v>1</v>
      </c>
      <c r="J374" s="666"/>
      <c r="K374" s="21">
        <f t="shared" si="68"/>
        <v>1</v>
      </c>
      <c r="L374" s="666"/>
      <c r="M374" s="21">
        <f t="shared" si="69"/>
        <v>1</v>
      </c>
      <c r="N374" s="666"/>
      <c r="O374" s="21">
        <f t="shared" si="70"/>
        <v>1</v>
      </c>
      <c r="P374" s="666"/>
      <c r="Q374" s="21">
        <f t="shared" si="71"/>
        <v>0</v>
      </c>
      <c r="R374" s="662">
        <f t="shared" si="72"/>
        <v>0</v>
      </c>
      <c r="S374" s="316">
        <f t="shared" si="63"/>
        <v>0</v>
      </c>
    </row>
    <row r="375" spans="1:19">
      <c r="A375" s="150"/>
      <c r="B375" s="54"/>
      <c r="C375" s="21">
        <f t="shared" si="64"/>
        <v>1</v>
      </c>
      <c r="D375" s="666"/>
      <c r="E375" s="21">
        <f t="shared" si="65"/>
        <v>1</v>
      </c>
      <c r="F375" s="666"/>
      <c r="G375" s="21">
        <f t="shared" si="66"/>
        <v>1</v>
      </c>
      <c r="H375" s="666"/>
      <c r="I375" s="21">
        <f t="shared" si="67"/>
        <v>1</v>
      </c>
      <c r="J375" s="666"/>
      <c r="K375" s="21">
        <f t="shared" si="68"/>
        <v>1</v>
      </c>
      <c r="L375" s="666"/>
      <c r="M375" s="21">
        <f t="shared" si="69"/>
        <v>1</v>
      </c>
      <c r="N375" s="666"/>
      <c r="O375" s="21">
        <f t="shared" si="70"/>
        <v>1</v>
      </c>
      <c r="P375" s="666"/>
      <c r="Q375" s="21">
        <f t="shared" si="71"/>
        <v>0</v>
      </c>
      <c r="R375" s="662">
        <f t="shared" si="72"/>
        <v>0</v>
      </c>
      <c r="S375" s="316">
        <f t="shared" si="63"/>
        <v>0</v>
      </c>
    </row>
    <row r="376" spans="1:19">
      <c r="A376" s="150"/>
      <c r="B376" s="54"/>
      <c r="C376" s="21">
        <f t="shared" si="64"/>
        <v>1</v>
      </c>
      <c r="D376" s="666"/>
      <c r="E376" s="21">
        <f t="shared" si="65"/>
        <v>1</v>
      </c>
      <c r="F376" s="666"/>
      <c r="G376" s="21">
        <f t="shared" si="66"/>
        <v>1</v>
      </c>
      <c r="H376" s="666"/>
      <c r="I376" s="21">
        <f t="shared" si="67"/>
        <v>1</v>
      </c>
      <c r="J376" s="666"/>
      <c r="K376" s="21">
        <f t="shared" si="68"/>
        <v>1</v>
      </c>
      <c r="L376" s="666"/>
      <c r="M376" s="21">
        <f t="shared" si="69"/>
        <v>1</v>
      </c>
      <c r="N376" s="666"/>
      <c r="O376" s="21">
        <f t="shared" si="70"/>
        <v>1</v>
      </c>
      <c r="P376" s="666"/>
      <c r="Q376" s="21">
        <f t="shared" si="71"/>
        <v>0</v>
      </c>
      <c r="R376" s="662">
        <f t="shared" si="72"/>
        <v>0</v>
      </c>
      <c r="S376" s="316">
        <f t="shared" si="63"/>
        <v>0</v>
      </c>
    </row>
    <row r="377" spans="1:19">
      <c r="A377" s="150"/>
      <c r="B377" s="54"/>
      <c r="C377" s="21">
        <f t="shared" si="64"/>
        <v>1</v>
      </c>
      <c r="D377" s="666"/>
      <c r="E377" s="21">
        <f t="shared" si="65"/>
        <v>1</v>
      </c>
      <c r="F377" s="666"/>
      <c r="G377" s="21">
        <f t="shared" si="66"/>
        <v>1</v>
      </c>
      <c r="H377" s="666"/>
      <c r="I377" s="21">
        <f t="shared" si="67"/>
        <v>1</v>
      </c>
      <c r="J377" s="666"/>
      <c r="K377" s="21">
        <f t="shared" si="68"/>
        <v>1</v>
      </c>
      <c r="L377" s="666"/>
      <c r="M377" s="21">
        <f t="shared" si="69"/>
        <v>1</v>
      </c>
      <c r="N377" s="666"/>
      <c r="O377" s="21">
        <f t="shared" si="70"/>
        <v>1</v>
      </c>
      <c r="P377" s="666"/>
      <c r="Q377" s="21">
        <f t="shared" si="71"/>
        <v>0</v>
      </c>
      <c r="R377" s="662">
        <f t="shared" si="72"/>
        <v>0</v>
      </c>
      <c r="S377" s="316">
        <f t="shared" si="63"/>
        <v>0</v>
      </c>
    </row>
    <row r="378" spans="1:19">
      <c r="A378" s="150"/>
      <c r="B378" s="54"/>
      <c r="C378" s="21">
        <f t="shared" si="64"/>
        <v>1</v>
      </c>
      <c r="D378" s="666"/>
      <c r="E378" s="21">
        <f t="shared" si="65"/>
        <v>1</v>
      </c>
      <c r="F378" s="666"/>
      <c r="G378" s="21">
        <f t="shared" si="66"/>
        <v>1</v>
      </c>
      <c r="H378" s="666"/>
      <c r="I378" s="21">
        <f t="shared" si="67"/>
        <v>1</v>
      </c>
      <c r="J378" s="666"/>
      <c r="K378" s="21">
        <f t="shared" si="68"/>
        <v>1</v>
      </c>
      <c r="L378" s="666"/>
      <c r="M378" s="21">
        <f t="shared" si="69"/>
        <v>1</v>
      </c>
      <c r="N378" s="666"/>
      <c r="O378" s="21">
        <f t="shared" si="70"/>
        <v>1</v>
      </c>
      <c r="P378" s="666"/>
      <c r="Q378" s="21">
        <f t="shared" si="71"/>
        <v>0</v>
      </c>
      <c r="R378" s="662">
        <f t="shared" si="72"/>
        <v>0</v>
      </c>
      <c r="S378" s="316">
        <f t="shared" si="63"/>
        <v>0</v>
      </c>
    </row>
    <row r="379" spans="1:19">
      <c r="A379" s="150"/>
      <c r="B379" s="54"/>
      <c r="C379" s="21">
        <f t="shared" si="64"/>
        <v>1</v>
      </c>
      <c r="D379" s="666"/>
      <c r="E379" s="21">
        <f t="shared" si="65"/>
        <v>1</v>
      </c>
      <c r="F379" s="666"/>
      <c r="G379" s="21">
        <f t="shared" si="66"/>
        <v>1</v>
      </c>
      <c r="H379" s="666"/>
      <c r="I379" s="21">
        <f t="shared" si="67"/>
        <v>1</v>
      </c>
      <c r="J379" s="666"/>
      <c r="K379" s="21">
        <f t="shared" si="68"/>
        <v>1</v>
      </c>
      <c r="L379" s="666"/>
      <c r="M379" s="21">
        <f t="shared" si="69"/>
        <v>1</v>
      </c>
      <c r="N379" s="666"/>
      <c r="O379" s="21">
        <f t="shared" si="70"/>
        <v>1</v>
      </c>
      <c r="P379" s="666"/>
      <c r="Q379" s="21">
        <f t="shared" si="71"/>
        <v>0</v>
      </c>
      <c r="R379" s="662">
        <f t="shared" si="72"/>
        <v>0</v>
      </c>
      <c r="S379" s="316">
        <f t="shared" si="63"/>
        <v>0</v>
      </c>
    </row>
    <row r="380" spans="1:19">
      <c r="A380" s="150"/>
      <c r="B380" s="54"/>
      <c r="C380" s="21">
        <f t="shared" si="64"/>
        <v>1</v>
      </c>
      <c r="D380" s="666"/>
      <c r="E380" s="21">
        <f t="shared" si="65"/>
        <v>1</v>
      </c>
      <c r="F380" s="666"/>
      <c r="G380" s="21">
        <f t="shared" si="66"/>
        <v>1</v>
      </c>
      <c r="H380" s="666"/>
      <c r="I380" s="21">
        <f t="shared" si="67"/>
        <v>1</v>
      </c>
      <c r="J380" s="666"/>
      <c r="K380" s="21">
        <f t="shared" si="68"/>
        <v>1</v>
      </c>
      <c r="L380" s="666"/>
      <c r="M380" s="21">
        <f t="shared" si="69"/>
        <v>1</v>
      </c>
      <c r="N380" s="666"/>
      <c r="O380" s="21">
        <f t="shared" si="70"/>
        <v>1</v>
      </c>
      <c r="P380" s="666"/>
      <c r="Q380" s="21">
        <f t="shared" si="71"/>
        <v>0</v>
      </c>
      <c r="R380" s="662">
        <f t="shared" si="72"/>
        <v>0</v>
      </c>
      <c r="S380" s="316">
        <f t="shared" si="63"/>
        <v>0</v>
      </c>
    </row>
    <row r="381" spans="1:19">
      <c r="A381" s="150"/>
      <c r="B381" s="54"/>
      <c r="C381" s="21">
        <f t="shared" si="64"/>
        <v>1</v>
      </c>
      <c r="D381" s="666"/>
      <c r="E381" s="21">
        <f t="shared" si="65"/>
        <v>1</v>
      </c>
      <c r="F381" s="666"/>
      <c r="G381" s="21">
        <f t="shared" si="66"/>
        <v>1</v>
      </c>
      <c r="H381" s="666"/>
      <c r="I381" s="21">
        <f t="shared" si="67"/>
        <v>1</v>
      </c>
      <c r="J381" s="666"/>
      <c r="K381" s="21">
        <f t="shared" si="68"/>
        <v>1</v>
      </c>
      <c r="L381" s="666"/>
      <c r="M381" s="21">
        <f t="shared" si="69"/>
        <v>1</v>
      </c>
      <c r="N381" s="666"/>
      <c r="O381" s="21">
        <f t="shared" si="70"/>
        <v>1</v>
      </c>
      <c r="P381" s="666"/>
      <c r="Q381" s="21">
        <f t="shared" si="71"/>
        <v>0</v>
      </c>
      <c r="R381" s="662">
        <f t="shared" si="72"/>
        <v>0</v>
      </c>
      <c r="S381" s="316">
        <f t="shared" si="63"/>
        <v>0</v>
      </c>
    </row>
    <row r="382" spans="1:19">
      <c r="A382" s="150"/>
      <c r="B382" s="54"/>
      <c r="C382" s="21">
        <f t="shared" si="64"/>
        <v>1</v>
      </c>
      <c r="D382" s="666"/>
      <c r="E382" s="21">
        <f t="shared" si="65"/>
        <v>1</v>
      </c>
      <c r="F382" s="666"/>
      <c r="G382" s="21">
        <f t="shared" si="66"/>
        <v>1</v>
      </c>
      <c r="H382" s="666"/>
      <c r="I382" s="21">
        <f t="shared" si="67"/>
        <v>1</v>
      </c>
      <c r="J382" s="666"/>
      <c r="K382" s="21">
        <f t="shared" si="68"/>
        <v>1</v>
      </c>
      <c r="L382" s="666"/>
      <c r="M382" s="21">
        <f t="shared" si="69"/>
        <v>1</v>
      </c>
      <c r="N382" s="666"/>
      <c r="O382" s="21">
        <f t="shared" si="70"/>
        <v>1</v>
      </c>
      <c r="P382" s="666"/>
      <c r="Q382" s="21">
        <f t="shared" si="71"/>
        <v>0</v>
      </c>
      <c r="R382" s="662">
        <f t="shared" si="72"/>
        <v>0</v>
      </c>
      <c r="S382" s="316">
        <f t="shared" si="63"/>
        <v>0</v>
      </c>
    </row>
    <row r="383" spans="1:19">
      <c r="A383" s="150"/>
      <c r="B383" s="54"/>
      <c r="C383" s="21">
        <f t="shared" si="64"/>
        <v>1</v>
      </c>
      <c r="D383" s="666"/>
      <c r="E383" s="21">
        <f t="shared" si="65"/>
        <v>1</v>
      </c>
      <c r="F383" s="666"/>
      <c r="G383" s="21">
        <f t="shared" si="66"/>
        <v>1</v>
      </c>
      <c r="H383" s="666"/>
      <c r="I383" s="21">
        <f t="shared" si="67"/>
        <v>1</v>
      </c>
      <c r="J383" s="666"/>
      <c r="K383" s="21">
        <f t="shared" si="68"/>
        <v>1</v>
      </c>
      <c r="L383" s="666"/>
      <c r="M383" s="21">
        <f t="shared" si="69"/>
        <v>1</v>
      </c>
      <c r="N383" s="666"/>
      <c r="O383" s="21">
        <f t="shared" si="70"/>
        <v>1</v>
      </c>
      <c r="P383" s="666"/>
      <c r="Q383" s="21">
        <f t="shared" si="71"/>
        <v>0</v>
      </c>
      <c r="R383" s="662">
        <f t="shared" si="72"/>
        <v>0</v>
      </c>
      <c r="S383" s="316">
        <f t="shared" si="63"/>
        <v>0</v>
      </c>
    </row>
    <row r="384" spans="1:19">
      <c r="A384" s="150"/>
      <c r="B384" s="54"/>
      <c r="C384" s="21">
        <f t="shared" si="64"/>
        <v>1</v>
      </c>
      <c r="D384" s="666"/>
      <c r="E384" s="21">
        <f t="shared" si="65"/>
        <v>1</v>
      </c>
      <c r="F384" s="666"/>
      <c r="G384" s="21">
        <f t="shared" si="66"/>
        <v>1</v>
      </c>
      <c r="H384" s="666"/>
      <c r="I384" s="21">
        <f t="shared" si="67"/>
        <v>1</v>
      </c>
      <c r="J384" s="666"/>
      <c r="K384" s="21">
        <f t="shared" si="68"/>
        <v>1</v>
      </c>
      <c r="L384" s="666"/>
      <c r="M384" s="21">
        <f t="shared" si="69"/>
        <v>1</v>
      </c>
      <c r="N384" s="666"/>
      <c r="O384" s="21">
        <f t="shared" si="70"/>
        <v>1</v>
      </c>
      <c r="P384" s="666"/>
      <c r="Q384" s="21">
        <f t="shared" si="71"/>
        <v>0</v>
      </c>
      <c r="R384" s="662">
        <f t="shared" si="72"/>
        <v>0</v>
      </c>
      <c r="S384" s="316">
        <f t="shared" si="63"/>
        <v>0</v>
      </c>
    </row>
    <row r="385" spans="1:19">
      <c r="A385" s="150"/>
      <c r="B385" s="54"/>
      <c r="C385" s="21">
        <f t="shared" si="64"/>
        <v>1</v>
      </c>
      <c r="D385" s="666"/>
      <c r="E385" s="21">
        <f t="shared" si="65"/>
        <v>1</v>
      </c>
      <c r="F385" s="666"/>
      <c r="G385" s="21">
        <f t="shared" si="66"/>
        <v>1</v>
      </c>
      <c r="H385" s="666"/>
      <c r="I385" s="21">
        <f t="shared" si="67"/>
        <v>1</v>
      </c>
      <c r="J385" s="666"/>
      <c r="K385" s="21">
        <f t="shared" si="68"/>
        <v>1</v>
      </c>
      <c r="L385" s="666"/>
      <c r="M385" s="21">
        <f t="shared" si="69"/>
        <v>1</v>
      </c>
      <c r="N385" s="666"/>
      <c r="O385" s="21">
        <f t="shared" si="70"/>
        <v>1</v>
      </c>
      <c r="P385" s="666"/>
      <c r="Q385" s="21">
        <f t="shared" si="71"/>
        <v>0</v>
      </c>
      <c r="R385" s="662">
        <f t="shared" si="72"/>
        <v>0</v>
      </c>
      <c r="S385" s="316">
        <f t="shared" ref="S385:S422" si="73">ROUND(R385*B385/10000,0)</f>
        <v>0</v>
      </c>
    </row>
    <row r="386" spans="1:19">
      <c r="A386" s="150"/>
      <c r="B386" s="54"/>
      <c r="C386" s="21">
        <f t="shared" si="64"/>
        <v>1</v>
      </c>
      <c r="D386" s="666"/>
      <c r="E386" s="21">
        <f t="shared" si="65"/>
        <v>1</v>
      </c>
      <c r="F386" s="666"/>
      <c r="G386" s="21">
        <f t="shared" si="66"/>
        <v>1</v>
      </c>
      <c r="H386" s="666"/>
      <c r="I386" s="21">
        <f t="shared" si="67"/>
        <v>1</v>
      </c>
      <c r="J386" s="666"/>
      <c r="K386" s="21">
        <f t="shared" si="68"/>
        <v>1</v>
      </c>
      <c r="L386" s="666"/>
      <c r="M386" s="21">
        <f t="shared" si="69"/>
        <v>1</v>
      </c>
      <c r="N386" s="666"/>
      <c r="O386" s="21">
        <f t="shared" si="70"/>
        <v>1</v>
      </c>
      <c r="P386" s="666"/>
      <c r="Q386" s="21">
        <f t="shared" si="71"/>
        <v>0</v>
      </c>
      <c r="R386" s="662">
        <f t="shared" si="72"/>
        <v>0</v>
      </c>
      <c r="S386" s="316">
        <f t="shared" si="73"/>
        <v>0</v>
      </c>
    </row>
    <row r="387" spans="1:19">
      <c r="A387" s="150"/>
      <c r="B387" s="54"/>
      <c r="C387" s="21">
        <f t="shared" si="64"/>
        <v>1</v>
      </c>
      <c r="D387" s="666"/>
      <c r="E387" s="21">
        <f t="shared" si="65"/>
        <v>1</v>
      </c>
      <c r="F387" s="666"/>
      <c r="G387" s="21">
        <f t="shared" si="66"/>
        <v>1</v>
      </c>
      <c r="H387" s="666"/>
      <c r="I387" s="21">
        <f t="shared" si="67"/>
        <v>1</v>
      </c>
      <c r="J387" s="666"/>
      <c r="K387" s="21">
        <f t="shared" si="68"/>
        <v>1</v>
      </c>
      <c r="L387" s="666"/>
      <c r="M387" s="21">
        <f t="shared" si="69"/>
        <v>1</v>
      </c>
      <c r="N387" s="666"/>
      <c r="O387" s="21">
        <f t="shared" si="70"/>
        <v>1</v>
      </c>
      <c r="P387" s="666"/>
      <c r="Q387" s="21">
        <f t="shared" si="71"/>
        <v>0</v>
      </c>
      <c r="R387" s="662">
        <f t="shared" si="72"/>
        <v>0</v>
      </c>
      <c r="S387" s="316">
        <f t="shared" si="73"/>
        <v>0</v>
      </c>
    </row>
    <row r="388" spans="1:19">
      <c r="A388" s="150"/>
      <c r="B388" s="54"/>
      <c r="C388" s="21">
        <f t="shared" si="64"/>
        <v>1</v>
      </c>
      <c r="D388" s="666"/>
      <c r="E388" s="21">
        <f t="shared" si="65"/>
        <v>1</v>
      </c>
      <c r="F388" s="666"/>
      <c r="G388" s="21">
        <f t="shared" si="66"/>
        <v>1</v>
      </c>
      <c r="H388" s="666"/>
      <c r="I388" s="21">
        <f t="shared" si="67"/>
        <v>1</v>
      </c>
      <c r="J388" s="666"/>
      <c r="K388" s="21">
        <f t="shared" si="68"/>
        <v>1</v>
      </c>
      <c r="L388" s="666"/>
      <c r="M388" s="21">
        <f t="shared" si="69"/>
        <v>1</v>
      </c>
      <c r="N388" s="666"/>
      <c r="O388" s="21">
        <f t="shared" si="70"/>
        <v>1</v>
      </c>
      <c r="P388" s="666"/>
      <c r="Q388" s="21">
        <f t="shared" si="71"/>
        <v>0</v>
      </c>
      <c r="R388" s="662">
        <f t="shared" si="72"/>
        <v>0</v>
      </c>
      <c r="S388" s="316">
        <f t="shared" si="73"/>
        <v>0</v>
      </c>
    </row>
    <row r="389" spans="1:19">
      <c r="A389" s="150"/>
      <c r="B389" s="54"/>
      <c r="C389" s="21">
        <f t="shared" si="64"/>
        <v>1</v>
      </c>
      <c r="D389" s="666"/>
      <c r="E389" s="21">
        <f t="shared" si="65"/>
        <v>1</v>
      </c>
      <c r="F389" s="666"/>
      <c r="G389" s="21">
        <f t="shared" si="66"/>
        <v>1</v>
      </c>
      <c r="H389" s="666"/>
      <c r="I389" s="21">
        <f t="shared" si="67"/>
        <v>1</v>
      </c>
      <c r="J389" s="666"/>
      <c r="K389" s="21">
        <f t="shared" si="68"/>
        <v>1</v>
      </c>
      <c r="L389" s="666"/>
      <c r="M389" s="21">
        <f t="shared" si="69"/>
        <v>1</v>
      </c>
      <c r="N389" s="666"/>
      <c r="O389" s="21">
        <f t="shared" si="70"/>
        <v>1</v>
      </c>
      <c r="P389" s="666"/>
      <c r="Q389" s="21">
        <f t="shared" si="71"/>
        <v>0</v>
      </c>
      <c r="R389" s="662">
        <f t="shared" si="72"/>
        <v>0</v>
      </c>
      <c r="S389" s="316">
        <f t="shared" si="73"/>
        <v>0</v>
      </c>
    </row>
    <row r="390" spans="1:19">
      <c r="A390" s="150"/>
      <c r="B390" s="54"/>
      <c r="C390" s="21">
        <f t="shared" si="64"/>
        <v>1</v>
      </c>
      <c r="D390" s="666"/>
      <c r="E390" s="21">
        <f t="shared" si="65"/>
        <v>1</v>
      </c>
      <c r="F390" s="666"/>
      <c r="G390" s="21">
        <f t="shared" si="66"/>
        <v>1</v>
      </c>
      <c r="H390" s="666"/>
      <c r="I390" s="21">
        <f t="shared" si="67"/>
        <v>1</v>
      </c>
      <c r="J390" s="666"/>
      <c r="K390" s="21">
        <f t="shared" si="68"/>
        <v>1</v>
      </c>
      <c r="L390" s="666"/>
      <c r="M390" s="21">
        <f t="shared" si="69"/>
        <v>1</v>
      </c>
      <c r="N390" s="666"/>
      <c r="O390" s="21">
        <f t="shared" si="70"/>
        <v>1</v>
      </c>
      <c r="P390" s="666"/>
      <c r="Q390" s="21">
        <f t="shared" si="71"/>
        <v>0</v>
      </c>
      <c r="R390" s="662">
        <f t="shared" si="72"/>
        <v>0</v>
      </c>
      <c r="S390" s="316">
        <f t="shared" si="73"/>
        <v>0</v>
      </c>
    </row>
    <row r="391" spans="1:19">
      <c r="A391" s="150"/>
      <c r="B391" s="54"/>
      <c r="C391" s="21">
        <f t="shared" si="64"/>
        <v>1</v>
      </c>
      <c r="D391" s="666"/>
      <c r="E391" s="21">
        <f t="shared" si="65"/>
        <v>1</v>
      </c>
      <c r="F391" s="666"/>
      <c r="G391" s="21">
        <f t="shared" si="66"/>
        <v>1</v>
      </c>
      <c r="H391" s="666"/>
      <c r="I391" s="21">
        <f t="shared" si="67"/>
        <v>1</v>
      </c>
      <c r="J391" s="666"/>
      <c r="K391" s="21">
        <f t="shared" si="68"/>
        <v>1</v>
      </c>
      <c r="L391" s="666"/>
      <c r="M391" s="21">
        <f t="shared" si="69"/>
        <v>1</v>
      </c>
      <c r="N391" s="666"/>
      <c r="O391" s="21">
        <f t="shared" si="70"/>
        <v>1</v>
      </c>
      <c r="P391" s="666"/>
      <c r="Q391" s="21">
        <f t="shared" si="71"/>
        <v>0</v>
      </c>
      <c r="R391" s="662">
        <f t="shared" si="72"/>
        <v>0</v>
      </c>
      <c r="S391" s="316">
        <f t="shared" si="73"/>
        <v>0</v>
      </c>
    </row>
    <row r="392" spans="1:19">
      <c r="A392" s="150"/>
      <c r="B392" s="54"/>
      <c r="C392" s="21">
        <f t="shared" si="64"/>
        <v>1</v>
      </c>
      <c r="D392" s="666"/>
      <c r="E392" s="21">
        <f t="shared" si="65"/>
        <v>1</v>
      </c>
      <c r="F392" s="666"/>
      <c r="G392" s="21">
        <f t="shared" si="66"/>
        <v>1</v>
      </c>
      <c r="H392" s="666"/>
      <c r="I392" s="21">
        <f t="shared" si="67"/>
        <v>1</v>
      </c>
      <c r="J392" s="666"/>
      <c r="K392" s="21">
        <f t="shared" si="68"/>
        <v>1</v>
      </c>
      <c r="L392" s="666"/>
      <c r="M392" s="21">
        <f t="shared" si="69"/>
        <v>1</v>
      </c>
      <c r="N392" s="666"/>
      <c r="O392" s="21">
        <f t="shared" si="70"/>
        <v>1</v>
      </c>
      <c r="P392" s="666"/>
      <c r="Q392" s="21">
        <f t="shared" si="71"/>
        <v>0</v>
      </c>
      <c r="R392" s="662">
        <f t="shared" si="72"/>
        <v>0</v>
      </c>
      <c r="S392" s="316">
        <f t="shared" si="73"/>
        <v>0</v>
      </c>
    </row>
    <row r="393" spans="1:19">
      <c r="A393" s="150"/>
      <c r="B393" s="54"/>
      <c r="C393" s="21">
        <f t="shared" si="64"/>
        <v>1</v>
      </c>
      <c r="D393" s="666"/>
      <c r="E393" s="21">
        <f t="shared" si="65"/>
        <v>1</v>
      </c>
      <c r="F393" s="666"/>
      <c r="G393" s="21">
        <f t="shared" si="66"/>
        <v>1</v>
      </c>
      <c r="H393" s="666"/>
      <c r="I393" s="21">
        <f t="shared" si="67"/>
        <v>1</v>
      </c>
      <c r="J393" s="666"/>
      <c r="K393" s="21">
        <f t="shared" si="68"/>
        <v>1</v>
      </c>
      <c r="L393" s="666"/>
      <c r="M393" s="21">
        <f t="shared" si="69"/>
        <v>1</v>
      </c>
      <c r="N393" s="666"/>
      <c r="O393" s="21">
        <f t="shared" si="70"/>
        <v>1</v>
      </c>
      <c r="P393" s="666"/>
      <c r="Q393" s="21">
        <f t="shared" si="71"/>
        <v>0</v>
      </c>
      <c r="R393" s="662">
        <f t="shared" si="72"/>
        <v>0</v>
      </c>
      <c r="S393" s="316">
        <f t="shared" si="73"/>
        <v>0</v>
      </c>
    </row>
    <row r="394" spans="1:19">
      <c r="A394" s="150"/>
      <c r="B394" s="54"/>
      <c r="C394" s="21">
        <f t="shared" si="64"/>
        <v>1</v>
      </c>
      <c r="D394" s="666"/>
      <c r="E394" s="21">
        <f t="shared" si="65"/>
        <v>1</v>
      </c>
      <c r="F394" s="666"/>
      <c r="G394" s="21">
        <f t="shared" si="66"/>
        <v>1</v>
      </c>
      <c r="H394" s="666"/>
      <c r="I394" s="21">
        <f t="shared" si="67"/>
        <v>1</v>
      </c>
      <c r="J394" s="666"/>
      <c r="K394" s="21">
        <f t="shared" si="68"/>
        <v>1</v>
      </c>
      <c r="L394" s="666"/>
      <c r="M394" s="21">
        <f t="shared" si="69"/>
        <v>1</v>
      </c>
      <c r="N394" s="666"/>
      <c r="O394" s="21">
        <f t="shared" si="70"/>
        <v>1</v>
      </c>
      <c r="P394" s="666"/>
      <c r="Q394" s="21">
        <f t="shared" si="71"/>
        <v>0</v>
      </c>
      <c r="R394" s="662">
        <f t="shared" si="72"/>
        <v>0</v>
      </c>
      <c r="S394" s="316">
        <f t="shared" si="73"/>
        <v>0</v>
      </c>
    </row>
    <row r="395" spans="1:19">
      <c r="A395" s="150"/>
      <c r="B395" s="54"/>
      <c r="C395" s="21">
        <f t="shared" si="64"/>
        <v>1</v>
      </c>
      <c r="D395" s="666"/>
      <c r="E395" s="21">
        <f t="shared" si="65"/>
        <v>1</v>
      </c>
      <c r="F395" s="666"/>
      <c r="G395" s="21">
        <f t="shared" si="66"/>
        <v>1</v>
      </c>
      <c r="H395" s="666"/>
      <c r="I395" s="21">
        <f t="shared" si="67"/>
        <v>1</v>
      </c>
      <c r="J395" s="666"/>
      <c r="K395" s="21">
        <f t="shared" si="68"/>
        <v>1</v>
      </c>
      <c r="L395" s="666"/>
      <c r="M395" s="21">
        <f t="shared" si="69"/>
        <v>1</v>
      </c>
      <c r="N395" s="666"/>
      <c r="O395" s="21">
        <f t="shared" si="70"/>
        <v>1</v>
      </c>
      <c r="P395" s="666"/>
      <c r="Q395" s="21">
        <f t="shared" si="71"/>
        <v>0</v>
      </c>
      <c r="R395" s="662">
        <f t="shared" si="72"/>
        <v>0</v>
      </c>
      <c r="S395" s="316">
        <f t="shared" si="73"/>
        <v>0</v>
      </c>
    </row>
    <row r="396" spans="1:19">
      <c r="A396" s="150"/>
      <c r="B396" s="54"/>
      <c r="C396" s="21">
        <f t="shared" si="64"/>
        <v>1</v>
      </c>
      <c r="D396" s="666"/>
      <c r="E396" s="21">
        <f t="shared" si="65"/>
        <v>1</v>
      </c>
      <c r="F396" s="666"/>
      <c r="G396" s="21">
        <f t="shared" si="66"/>
        <v>1</v>
      </c>
      <c r="H396" s="666"/>
      <c r="I396" s="21">
        <f t="shared" si="67"/>
        <v>1</v>
      </c>
      <c r="J396" s="666"/>
      <c r="K396" s="21">
        <f t="shared" si="68"/>
        <v>1</v>
      </c>
      <c r="L396" s="666"/>
      <c r="M396" s="21">
        <f t="shared" si="69"/>
        <v>1</v>
      </c>
      <c r="N396" s="666"/>
      <c r="O396" s="21">
        <f t="shared" si="70"/>
        <v>1</v>
      </c>
      <c r="P396" s="666"/>
      <c r="Q396" s="21">
        <f t="shared" si="71"/>
        <v>0</v>
      </c>
      <c r="R396" s="662">
        <f t="shared" si="72"/>
        <v>0</v>
      </c>
      <c r="S396" s="316">
        <f t="shared" si="73"/>
        <v>0</v>
      </c>
    </row>
    <row r="397" spans="1:19">
      <c r="A397" s="150"/>
      <c r="B397" s="54"/>
      <c r="C397" s="21">
        <f t="shared" si="64"/>
        <v>1</v>
      </c>
      <c r="D397" s="666"/>
      <c r="E397" s="21">
        <f t="shared" si="65"/>
        <v>1</v>
      </c>
      <c r="F397" s="666"/>
      <c r="G397" s="21">
        <f t="shared" si="66"/>
        <v>1</v>
      </c>
      <c r="H397" s="666"/>
      <c r="I397" s="21">
        <f t="shared" si="67"/>
        <v>1</v>
      </c>
      <c r="J397" s="666"/>
      <c r="K397" s="21">
        <f t="shared" si="68"/>
        <v>1</v>
      </c>
      <c r="L397" s="666"/>
      <c r="M397" s="21">
        <f t="shared" si="69"/>
        <v>1</v>
      </c>
      <c r="N397" s="666"/>
      <c r="O397" s="21">
        <f t="shared" si="70"/>
        <v>1</v>
      </c>
      <c r="P397" s="666"/>
      <c r="Q397" s="21">
        <f t="shared" si="71"/>
        <v>0</v>
      </c>
      <c r="R397" s="662">
        <f t="shared" si="72"/>
        <v>0</v>
      </c>
      <c r="S397" s="316">
        <f t="shared" si="73"/>
        <v>0</v>
      </c>
    </row>
    <row r="398" spans="1:19">
      <c r="A398" s="150"/>
      <c r="B398" s="54"/>
      <c r="C398" s="21">
        <f t="shared" si="64"/>
        <v>1</v>
      </c>
      <c r="D398" s="666"/>
      <c r="E398" s="21">
        <f t="shared" si="65"/>
        <v>1</v>
      </c>
      <c r="F398" s="666"/>
      <c r="G398" s="21">
        <f t="shared" si="66"/>
        <v>1</v>
      </c>
      <c r="H398" s="666"/>
      <c r="I398" s="21">
        <f t="shared" si="67"/>
        <v>1</v>
      </c>
      <c r="J398" s="666"/>
      <c r="K398" s="21">
        <f t="shared" si="68"/>
        <v>1</v>
      </c>
      <c r="L398" s="666"/>
      <c r="M398" s="21">
        <f t="shared" si="69"/>
        <v>1</v>
      </c>
      <c r="N398" s="666"/>
      <c r="O398" s="21">
        <f t="shared" si="70"/>
        <v>1</v>
      </c>
      <c r="P398" s="666"/>
      <c r="Q398" s="21">
        <f t="shared" si="71"/>
        <v>0</v>
      </c>
      <c r="R398" s="662">
        <f t="shared" si="72"/>
        <v>0</v>
      </c>
      <c r="S398" s="316">
        <f t="shared" si="73"/>
        <v>0</v>
      </c>
    </row>
    <row r="399" spans="1:19">
      <c r="A399" s="150"/>
      <c r="B399" s="54"/>
      <c r="C399" s="21">
        <f t="shared" si="64"/>
        <v>1</v>
      </c>
      <c r="D399" s="666"/>
      <c r="E399" s="21">
        <f t="shared" si="65"/>
        <v>1</v>
      </c>
      <c r="F399" s="666"/>
      <c r="G399" s="21">
        <f t="shared" si="66"/>
        <v>1</v>
      </c>
      <c r="H399" s="666"/>
      <c r="I399" s="21">
        <f t="shared" si="67"/>
        <v>1</v>
      </c>
      <c r="J399" s="666"/>
      <c r="K399" s="21">
        <f t="shared" si="68"/>
        <v>1</v>
      </c>
      <c r="L399" s="666"/>
      <c r="M399" s="21">
        <f t="shared" si="69"/>
        <v>1</v>
      </c>
      <c r="N399" s="666"/>
      <c r="O399" s="21">
        <f t="shared" si="70"/>
        <v>1</v>
      </c>
      <c r="P399" s="666"/>
      <c r="Q399" s="21">
        <f t="shared" si="71"/>
        <v>0</v>
      </c>
      <c r="R399" s="662">
        <f t="shared" si="72"/>
        <v>0</v>
      </c>
      <c r="S399" s="316">
        <f t="shared" si="73"/>
        <v>0</v>
      </c>
    </row>
    <row r="400" spans="1:19">
      <c r="A400" s="150"/>
      <c r="B400" s="54"/>
      <c r="C400" s="21">
        <f t="shared" si="64"/>
        <v>1</v>
      </c>
      <c r="D400" s="666"/>
      <c r="E400" s="21">
        <f t="shared" si="65"/>
        <v>1</v>
      </c>
      <c r="F400" s="666"/>
      <c r="G400" s="21">
        <f t="shared" si="66"/>
        <v>1</v>
      </c>
      <c r="H400" s="666"/>
      <c r="I400" s="21">
        <f t="shared" si="67"/>
        <v>1</v>
      </c>
      <c r="J400" s="666"/>
      <c r="K400" s="21">
        <f t="shared" si="68"/>
        <v>1</v>
      </c>
      <c r="L400" s="666"/>
      <c r="M400" s="21">
        <f t="shared" si="69"/>
        <v>1</v>
      </c>
      <c r="N400" s="666"/>
      <c r="O400" s="21">
        <f t="shared" si="70"/>
        <v>1</v>
      </c>
      <c r="P400" s="666"/>
      <c r="Q400" s="21">
        <f t="shared" si="71"/>
        <v>0</v>
      </c>
      <c r="R400" s="662">
        <f t="shared" si="72"/>
        <v>0</v>
      </c>
      <c r="S400" s="316">
        <f t="shared" si="73"/>
        <v>0</v>
      </c>
    </row>
    <row r="401" spans="1:19">
      <c r="A401" s="150"/>
      <c r="B401" s="54"/>
      <c r="C401" s="21">
        <f t="shared" si="64"/>
        <v>1</v>
      </c>
      <c r="D401" s="666"/>
      <c r="E401" s="21">
        <f t="shared" si="65"/>
        <v>1</v>
      </c>
      <c r="F401" s="666"/>
      <c r="G401" s="21">
        <f t="shared" si="66"/>
        <v>1</v>
      </c>
      <c r="H401" s="666"/>
      <c r="I401" s="21">
        <f t="shared" si="67"/>
        <v>1</v>
      </c>
      <c r="J401" s="666"/>
      <c r="K401" s="21">
        <f t="shared" si="68"/>
        <v>1</v>
      </c>
      <c r="L401" s="666"/>
      <c r="M401" s="21">
        <f t="shared" si="69"/>
        <v>1</v>
      </c>
      <c r="N401" s="666"/>
      <c r="O401" s="21">
        <f t="shared" si="70"/>
        <v>1</v>
      </c>
      <c r="P401" s="666"/>
      <c r="Q401" s="21">
        <f t="shared" si="71"/>
        <v>0</v>
      </c>
      <c r="R401" s="662">
        <f t="shared" si="72"/>
        <v>0</v>
      </c>
      <c r="S401" s="316">
        <f t="shared" si="73"/>
        <v>0</v>
      </c>
    </row>
    <row r="402" spans="1:19">
      <c r="A402" s="150"/>
      <c r="B402" s="54"/>
      <c r="C402" s="21">
        <f t="shared" si="64"/>
        <v>1</v>
      </c>
      <c r="D402" s="666"/>
      <c r="E402" s="21">
        <f t="shared" si="65"/>
        <v>1</v>
      </c>
      <c r="F402" s="666"/>
      <c r="G402" s="21">
        <f t="shared" si="66"/>
        <v>1</v>
      </c>
      <c r="H402" s="666"/>
      <c r="I402" s="21">
        <f t="shared" si="67"/>
        <v>1</v>
      </c>
      <c r="J402" s="666"/>
      <c r="K402" s="21">
        <f t="shared" si="68"/>
        <v>1</v>
      </c>
      <c r="L402" s="666"/>
      <c r="M402" s="21">
        <f t="shared" si="69"/>
        <v>1</v>
      </c>
      <c r="N402" s="666"/>
      <c r="O402" s="21">
        <f t="shared" si="70"/>
        <v>1</v>
      </c>
      <c r="P402" s="666"/>
      <c r="Q402" s="21">
        <f t="shared" si="71"/>
        <v>0</v>
      </c>
      <c r="R402" s="662">
        <f t="shared" si="72"/>
        <v>0</v>
      </c>
      <c r="S402" s="316">
        <f t="shared" si="73"/>
        <v>0</v>
      </c>
    </row>
    <row r="403" spans="1:19">
      <c r="A403" s="150"/>
      <c r="B403" s="54"/>
      <c r="C403" s="21">
        <f t="shared" si="64"/>
        <v>1</v>
      </c>
      <c r="D403" s="666"/>
      <c r="E403" s="21">
        <f t="shared" si="65"/>
        <v>1</v>
      </c>
      <c r="F403" s="666"/>
      <c r="G403" s="21">
        <f t="shared" si="66"/>
        <v>1</v>
      </c>
      <c r="H403" s="666"/>
      <c r="I403" s="21">
        <f t="shared" si="67"/>
        <v>1</v>
      </c>
      <c r="J403" s="666"/>
      <c r="K403" s="21">
        <f t="shared" si="68"/>
        <v>1</v>
      </c>
      <c r="L403" s="666"/>
      <c r="M403" s="21">
        <f t="shared" si="69"/>
        <v>1</v>
      </c>
      <c r="N403" s="666"/>
      <c r="O403" s="21">
        <f t="shared" si="70"/>
        <v>1</v>
      </c>
      <c r="P403" s="666"/>
      <c r="Q403" s="21">
        <f t="shared" si="71"/>
        <v>0</v>
      </c>
      <c r="R403" s="662">
        <f t="shared" si="72"/>
        <v>0</v>
      </c>
      <c r="S403" s="316">
        <f t="shared" si="73"/>
        <v>0</v>
      </c>
    </row>
    <row r="404" spans="1:19">
      <c r="A404" s="150"/>
      <c r="B404" s="54"/>
      <c r="C404" s="21">
        <f t="shared" si="64"/>
        <v>1</v>
      </c>
      <c r="D404" s="666"/>
      <c r="E404" s="21">
        <f t="shared" si="65"/>
        <v>1</v>
      </c>
      <c r="F404" s="666"/>
      <c r="G404" s="21">
        <f t="shared" si="66"/>
        <v>1</v>
      </c>
      <c r="H404" s="666"/>
      <c r="I404" s="21">
        <f t="shared" si="67"/>
        <v>1</v>
      </c>
      <c r="J404" s="666"/>
      <c r="K404" s="21">
        <f t="shared" si="68"/>
        <v>1</v>
      </c>
      <c r="L404" s="666"/>
      <c r="M404" s="21">
        <f t="shared" si="69"/>
        <v>1</v>
      </c>
      <c r="N404" s="666"/>
      <c r="O404" s="21">
        <f t="shared" si="70"/>
        <v>1</v>
      </c>
      <c r="P404" s="666"/>
      <c r="Q404" s="21">
        <f t="shared" si="71"/>
        <v>0</v>
      </c>
      <c r="R404" s="662">
        <f t="shared" si="72"/>
        <v>0</v>
      </c>
      <c r="S404" s="316">
        <f t="shared" si="73"/>
        <v>0</v>
      </c>
    </row>
    <row r="405" spans="1:19">
      <c r="A405" s="150"/>
      <c r="B405" s="54"/>
      <c r="C405" s="21">
        <f t="shared" si="64"/>
        <v>1</v>
      </c>
      <c r="D405" s="666"/>
      <c r="E405" s="21">
        <f t="shared" si="65"/>
        <v>1</v>
      </c>
      <c r="F405" s="666"/>
      <c r="G405" s="21">
        <f t="shared" si="66"/>
        <v>1</v>
      </c>
      <c r="H405" s="666"/>
      <c r="I405" s="21">
        <f t="shared" si="67"/>
        <v>1</v>
      </c>
      <c r="J405" s="666"/>
      <c r="K405" s="21">
        <f t="shared" si="68"/>
        <v>1</v>
      </c>
      <c r="L405" s="666"/>
      <c r="M405" s="21">
        <f t="shared" si="69"/>
        <v>1</v>
      </c>
      <c r="N405" s="666"/>
      <c r="O405" s="21">
        <f t="shared" si="70"/>
        <v>1</v>
      </c>
      <c r="P405" s="666"/>
      <c r="Q405" s="21">
        <f t="shared" si="71"/>
        <v>0</v>
      </c>
      <c r="R405" s="662">
        <f t="shared" si="72"/>
        <v>0</v>
      </c>
      <c r="S405" s="316">
        <f t="shared" si="73"/>
        <v>0</v>
      </c>
    </row>
    <row r="406" spans="1:19">
      <c r="A406" s="150"/>
      <c r="B406" s="54"/>
      <c r="C406" s="21">
        <f t="shared" si="64"/>
        <v>1</v>
      </c>
      <c r="D406" s="666"/>
      <c r="E406" s="21">
        <f t="shared" si="65"/>
        <v>1</v>
      </c>
      <c r="F406" s="666"/>
      <c r="G406" s="21">
        <f t="shared" si="66"/>
        <v>1</v>
      </c>
      <c r="H406" s="666"/>
      <c r="I406" s="21">
        <f t="shared" si="67"/>
        <v>1</v>
      </c>
      <c r="J406" s="666"/>
      <c r="K406" s="21">
        <f t="shared" si="68"/>
        <v>1</v>
      </c>
      <c r="L406" s="666"/>
      <c r="M406" s="21">
        <f t="shared" si="69"/>
        <v>1</v>
      </c>
      <c r="N406" s="666"/>
      <c r="O406" s="21">
        <f t="shared" si="70"/>
        <v>1</v>
      </c>
      <c r="P406" s="666"/>
      <c r="Q406" s="21">
        <f t="shared" si="71"/>
        <v>0</v>
      </c>
      <c r="R406" s="662">
        <f t="shared" si="72"/>
        <v>0</v>
      </c>
      <c r="S406" s="316">
        <f t="shared" si="73"/>
        <v>0</v>
      </c>
    </row>
    <row r="407" spans="1:19">
      <c r="A407" s="150"/>
      <c r="B407" s="54"/>
      <c r="C407" s="21">
        <f t="shared" si="64"/>
        <v>1</v>
      </c>
      <c r="D407" s="666"/>
      <c r="E407" s="21">
        <f t="shared" si="65"/>
        <v>1</v>
      </c>
      <c r="F407" s="666"/>
      <c r="G407" s="21">
        <f t="shared" si="66"/>
        <v>1</v>
      </c>
      <c r="H407" s="666"/>
      <c r="I407" s="21">
        <f t="shared" si="67"/>
        <v>1</v>
      </c>
      <c r="J407" s="666"/>
      <c r="K407" s="21">
        <f t="shared" si="68"/>
        <v>1</v>
      </c>
      <c r="L407" s="666"/>
      <c r="M407" s="21">
        <f t="shared" si="69"/>
        <v>1</v>
      </c>
      <c r="N407" s="666"/>
      <c r="O407" s="21">
        <f t="shared" si="70"/>
        <v>1</v>
      </c>
      <c r="P407" s="666"/>
      <c r="Q407" s="21">
        <f t="shared" si="71"/>
        <v>0</v>
      </c>
      <c r="R407" s="662">
        <f t="shared" si="72"/>
        <v>0</v>
      </c>
      <c r="S407" s="316">
        <f t="shared" si="73"/>
        <v>0</v>
      </c>
    </row>
    <row r="408" spans="1:19">
      <c r="A408" s="150"/>
      <c r="B408" s="54"/>
      <c r="C408" s="21">
        <f t="shared" si="64"/>
        <v>1</v>
      </c>
      <c r="D408" s="666"/>
      <c r="E408" s="21">
        <f t="shared" si="65"/>
        <v>1</v>
      </c>
      <c r="F408" s="666"/>
      <c r="G408" s="21">
        <f t="shared" si="66"/>
        <v>1</v>
      </c>
      <c r="H408" s="666"/>
      <c r="I408" s="21">
        <f t="shared" si="67"/>
        <v>1</v>
      </c>
      <c r="J408" s="666"/>
      <c r="K408" s="21">
        <f t="shared" si="68"/>
        <v>1</v>
      </c>
      <c r="L408" s="666"/>
      <c r="M408" s="21">
        <f t="shared" si="69"/>
        <v>1</v>
      </c>
      <c r="N408" s="666"/>
      <c r="O408" s="21">
        <f t="shared" si="70"/>
        <v>1</v>
      </c>
      <c r="P408" s="666"/>
      <c r="Q408" s="21">
        <f t="shared" si="71"/>
        <v>0</v>
      </c>
      <c r="R408" s="662">
        <f t="shared" si="72"/>
        <v>0</v>
      </c>
      <c r="S408" s="316">
        <f t="shared" si="73"/>
        <v>0</v>
      </c>
    </row>
    <row r="409" spans="1:19">
      <c r="A409" s="150"/>
      <c r="B409" s="54"/>
      <c r="C409" s="21">
        <f t="shared" si="64"/>
        <v>1</v>
      </c>
      <c r="D409" s="666"/>
      <c r="E409" s="21">
        <f t="shared" si="65"/>
        <v>1</v>
      </c>
      <c r="F409" s="666"/>
      <c r="G409" s="21">
        <f t="shared" si="66"/>
        <v>1</v>
      </c>
      <c r="H409" s="666"/>
      <c r="I409" s="21">
        <f t="shared" si="67"/>
        <v>1</v>
      </c>
      <c r="J409" s="666"/>
      <c r="K409" s="21">
        <f t="shared" si="68"/>
        <v>1</v>
      </c>
      <c r="L409" s="666"/>
      <c r="M409" s="21">
        <f t="shared" si="69"/>
        <v>1</v>
      </c>
      <c r="N409" s="666"/>
      <c r="O409" s="21">
        <f t="shared" si="70"/>
        <v>1</v>
      </c>
      <c r="P409" s="666"/>
      <c r="Q409" s="21">
        <f t="shared" si="71"/>
        <v>0</v>
      </c>
      <c r="R409" s="662">
        <f t="shared" si="72"/>
        <v>0</v>
      </c>
      <c r="S409" s="316">
        <f t="shared" si="73"/>
        <v>0</v>
      </c>
    </row>
    <row r="410" spans="1:19">
      <c r="A410" s="150"/>
      <c r="B410" s="54"/>
      <c r="C410" s="21">
        <f t="shared" ref="C410:C473" si="74">IF(B410="",1,(LOOKUP(B410,$3:$3,$4:$4)-LOOKUP($B$24,$3:$3,$4:$4)+100)/100)</f>
        <v>1</v>
      </c>
      <c r="D410" s="666"/>
      <c r="E410" s="21">
        <f t="shared" ref="E410:E473" si="75">(SUMIF($5:$5,D410,$6:$6)-SUMIF($5:$5,$D$24,$6:$6)+100)/100</f>
        <v>1</v>
      </c>
      <c r="F410" s="666"/>
      <c r="G410" s="21">
        <f t="shared" ref="G410:G473" si="76">(SUMIF($7:$7,F410,$8:$8)-SUMIF($7:$7,$F$24,$8:$8)+100)/100</f>
        <v>1</v>
      </c>
      <c r="H410" s="666"/>
      <c r="I410" s="21">
        <f t="shared" ref="I410:I473" si="77">(SUMIF($9:$9,H410,$10:$10)-SUMIF($9:$9,$H$24,$10:$10)+100)/100</f>
        <v>1</v>
      </c>
      <c r="J410" s="666"/>
      <c r="K410" s="21">
        <f t="shared" ref="K410:K473" si="78">(SUMIF($11:$11,J410,$12:$12)-SUMIF($11:$11,$J$24,$12:$12)+100)/100</f>
        <v>1</v>
      </c>
      <c r="L410" s="666"/>
      <c r="M410" s="21">
        <f t="shared" ref="M410:M473" si="79">(SUMIF($13:$13,L410,$14:$14)-SUMIF($13:$13,$L$24,$14:$14)+100)/100</f>
        <v>1</v>
      </c>
      <c r="N410" s="666"/>
      <c r="O410" s="21">
        <f t="shared" ref="O410:O473" si="80">(SUMIF($15:$15,N410,$16:$16)-SUMIF($15:$15,$N$24,$16:$16)+100)/100</f>
        <v>1</v>
      </c>
      <c r="P410" s="666"/>
      <c r="Q410" s="21">
        <f t="shared" ref="Q410:Q473" si="81">(SUMIF($17:$17,P410,$18:$18)-SUMIF($17:$17,$P$24,$18:$18)+100)/100</f>
        <v>0</v>
      </c>
      <c r="R410" s="662">
        <f t="shared" ref="R410:R473" si="82">IF(B410="",0,ROUND($R$24*C410*E410*G410*I410*K410*M410*O410*Q410,0))</f>
        <v>0</v>
      </c>
      <c r="S410" s="316">
        <f t="shared" si="73"/>
        <v>0</v>
      </c>
    </row>
    <row r="411" spans="1:19">
      <c r="A411" s="150"/>
      <c r="B411" s="54"/>
      <c r="C411" s="21">
        <f t="shared" si="74"/>
        <v>1</v>
      </c>
      <c r="D411" s="666"/>
      <c r="E411" s="21">
        <f t="shared" si="75"/>
        <v>1</v>
      </c>
      <c r="F411" s="666"/>
      <c r="G411" s="21">
        <f t="shared" si="76"/>
        <v>1</v>
      </c>
      <c r="H411" s="666"/>
      <c r="I411" s="21">
        <f t="shared" si="77"/>
        <v>1</v>
      </c>
      <c r="J411" s="666"/>
      <c r="K411" s="21">
        <f t="shared" si="78"/>
        <v>1</v>
      </c>
      <c r="L411" s="666"/>
      <c r="M411" s="21">
        <f t="shared" si="79"/>
        <v>1</v>
      </c>
      <c r="N411" s="666"/>
      <c r="O411" s="21">
        <f t="shared" si="80"/>
        <v>1</v>
      </c>
      <c r="P411" s="666"/>
      <c r="Q411" s="21">
        <f t="shared" si="81"/>
        <v>0</v>
      </c>
      <c r="R411" s="662">
        <f t="shared" si="82"/>
        <v>0</v>
      </c>
      <c r="S411" s="316">
        <f t="shared" si="73"/>
        <v>0</v>
      </c>
    </row>
    <row r="412" spans="1:19">
      <c r="A412" s="150"/>
      <c r="B412" s="54"/>
      <c r="C412" s="21">
        <f t="shared" si="74"/>
        <v>1</v>
      </c>
      <c r="D412" s="666"/>
      <c r="E412" s="21">
        <f t="shared" si="75"/>
        <v>1</v>
      </c>
      <c r="F412" s="666"/>
      <c r="G412" s="21">
        <f t="shared" si="76"/>
        <v>1</v>
      </c>
      <c r="H412" s="666"/>
      <c r="I412" s="21">
        <f t="shared" si="77"/>
        <v>1</v>
      </c>
      <c r="J412" s="666"/>
      <c r="K412" s="21">
        <f t="shared" si="78"/>
        <v>1</v>
      </c>
      <c r="L412" s="666"/>
      <c r="M412" s="21">
        <f t="shared" si="79"/>
        <v>1</v>
      </c>
      <c r="N412" s="666"/>
      <c r="O412" s="21">
        <f t="shared" si="80"/>
        <v>1</v>
      </c>
      <c r="P412" s="666"/>
      <c r="Q412" s="21">
        <f t="shared" si="81"/>
        <v>0</v>
      </c>
      <c r="R412" s="662">
        <f t="shared" si="82"/>
        <v>0</v>
      </c>
      <c r="S412" s="316">
        <f t="shared" si="73"/>
        <v>0</v>
      </c>
    </row>
    <row r="413" spans="1:19">
      <c r="A413" s="150"/>
      <c r="B413" s="54"/>
      <c r="C413" s="21">
        <f t="shared" si="74"/>
        <v>1</v>
      </c>
      <c r="D413" s="666"/>
      <c r="E413" s="21">
        <f t="shared" si="75"/>
        <v>1</v>
      </c>
      <c r="F413" s="666"/>
      <c r="G413" s="21">
        <f t="shared" si="76"/>
        <v>1</v>
      </c>
      <c r="H413" s="666"/>
      <c r="I413" s="21">
        <f t="shared" si="77"/>
        <v>1</v>
      </c>
      <c r="J413" s="666"/>
      <c r="K413" s="21">
        <f t="shared" si="78"/>
        <v>1</v>
      </c>
      <c r="L413" s="666"/>
      <c r="M413" s="21">
        <f t="shared" si="79"/>
        <v>1</v>
      </c>
      <c r="N413" s="666"/>
      <c r="O413" s="21">
        <f t="shared" si="80"/>
        <v>1</v>
      </c>
      <c r="P413" s="666"/>
      <c r="Q413" s="21">
        <f t="shared" si="81"/>
        <v>0</v>
      </c>
      <c r="R413" s="662">
        <f t="shared" si="82"/>
        <v>0</v>
      </c>
      <c r="S413" s="316">
        <f t="shared" si="73"/>
        <v>0</v>
      </c>
    </row>
    <row r="414" spans="1:19">
      <c r="A414" s="150"/>
      <c r="B414" s="54"/>
      <c r="C414" s="21">
        <f t="shared" si="74"/>
        <v>1</v>
      </c>
      <c r="D414" s="666"/>
      <c r="E414" s="21">
        <f t="shared" si="75"/>
        <v>1</v>
      </c>
      <c r="F414" s="666"/>
      <c r="G414" s="21">
        <f t="shared" si="76"/>
        <v>1</v>
      </c>
      <c r="H414" s="666"/>
      <c r="I414" s="21">
        <f t="shared" si="77"/>
        <v>1</v>
      </c>
      <c r="J414" s="666"/>
      <c r="K414" s="21">
        <f t="shared" si="78"/>
        <v>1</v>
      </c>
      <c r="L414" s="666"/>
      <c r="M414" s="21">
        <f t="shared" si="79"/>
        <v>1</v>
      </c>
      <c r="N414" s="666"/>
      <c r="O414" s="21">
        <f t="shared" si="80"/>
        <v>1</v>
      </c>
      <c r="P414" s="666"/>
      <c r="Q414" s="21">
        <f t="shared" si="81"/>
        <v>0</v>
      </c>
      <c r="R414" s="662">
        <f t="shared" si="82"/>
        <v>0</v>
      </c>
      <c r="S414" s="316">
        <f t="shared" si="73"/>
        <v>0</v>
      </c>
    </row>
    <row r="415" spans="1:19">
      <c r="A415" s="150"/>
      <c r="B415" s="54"/>
      <c r="C415" s="21">
        <f t="shared" si="74"/>
        <v>1</v>
      </c>
      <c r="D415" s="666"/>
      <c r="E415" s="21">
        <f t="shared" si="75"/>
        <v>1</v>
      </c>
      <c r="F415" s="666"/>
      <c r="G415" s="21">
        <f t="shared" si="76"/>
        <v>1</v>
      </c>
      <c r="H415" s="666"/>
      <c r="I415" s="21">
        <f t="shared" si="77"/>
        <v>1</v>
      </c>
      <c r="J415" s="666"/>
      <c r="K415" s="21">
        <f t="shared" si="78"/>
        <v>1</v>
      </c>
      <c r="L415" s="666"/>
      <c r="M415" s="21">
        <f t="shared" si="79"/>
        <v>1</v>
      </c>
      <c r="N415" s="666"/>
      <c r="O415" s="21">
        <f t="shared" si="80"/>
        <v>1</v>
      </c>
      <c r="P415" s="666"/>
      <c r="Q415" s="21">
        <f t="shared" si="81"/>
        <v>0</v>
      </c>
      <c r="R415" s="662">
        <f t="shared" si="82"/>
        <v>0</v>
      </c>
      <c r="S415" s="316">
        <f t="shared" si="73"/>
        <v>0</v>
      </c>
    </row>
    <row r="416" spans="1:19">
      <c r="A416" s="150"/>
      <c r="B416" s="54"/>
      <c r="C416" s="21">
        <f t="shared" si="74"/>
        <v>1</v>
      </c>
      <c r="D416" s="666"/>
      <c r="E416" s="21">
        <f t="shared" si="75"/>
        <v>1</v>
      </c>
      <c r="F416" s="666"/>
      <c r="G416" s="21">
        <f t="shared" si="76"/>
        <v>1</v>
      </c>
      <c r="H416" s="666"/>
      <c r="I416" s="21">
        <f t="shared" si="77"/>
        <v>1</v>
      </c>
      <c r="J416" s="666"/>
      <c r="K416" s="21">
        <f t="shared" si="78"/>
        <v>1</v>
      </c>
      <c r="L416" s="666"/>
      <c r="M416" s="21">
        <f t="shared" si="79"/>
        <v>1</v>
      </c>
      <c r="N416" s="666"/>
      <c r="O416" s="21">
        <f t="shared" si="80"/>
        <v>1</v>
      </c>
      <c r="P416" s="666"/>
      <c r="Q416" s="21">
        <f t="shared" si="81"/>
        <v>0</v>
      </c>
      <c r="R416" s="662">
        <f t="shared" si="82"/>
        <v>0</v>
      </c>
      <c r="S416" s="316">
        <f t="shared" si="73"/>
        <v>0</v>
      </c>
    </row>
    <row r="417" spans="1:19">
      <c r="A417" s="150"/>
      <c r="B417" s="54"/>
      <c r="C417" s="21">
        <f t="shared" si="74"/>
        <v>1</v>
      </c>
      <c r="D417" s="666"/>
      <c r="E417" s="21">
        <f t="shared" si="75"/>
        <v>1</v>
      </c>
      <c r="F417" s="666"/>
      <c r="G417" s="21">
        <f t="shared" si="76"/>
        <v>1</v>
      </c>
      <c r="H417" s="666"/>
      <c r="I417" s="21">
        <f t="shared" si="77"/>
        <v>1</v>
      </c>
      <c r="J417" s="666"/>
      <c r="K417" s="21">
        <f t="shared" si="78"/>
        <v>1</v>
      </c>
      <c r="L417" s="666"/>
      <c r="M417" s="21">
        <f t="shared" si="79"/>
        <v>1</v>
      </c>
      <c r="N417" s="666"/>
      <c r="O417" s="21">
        <f t="shared" si="80"/>
        <v>1</v>
      </c>
      <c r="P417" s="666"/>
      <c r="Q417" s="21">
        <f t="shared" si="81"/>
        <v>0</v>
      </c>
      <c r="R417" s="662">
        <f t="shared" si="82"/>
        <v>0</v>
      </c>
      <c r="S417" s="316">
        <f t="shared" si="73"/>
        <v>0</v>
      </c>
    </row>
    <row r="418" spans="1:19">
      <c r="A418" s="150"/>
      <c r="B418" s="54"/>
      <c r="C418" s="21">
        <f t="shared" si="74"/>
        <v>1</v>
      </c>
      <c r="D418" s="666"/>
      <c r="E418" s="21">
        <f t="shared" si="75"/>
        <v>1</v>
      </c>
      <c r="F418" s="666"/>
      <c r="G418" s="21">
        <f t="shared" si="76"/>
        <v>1</v>
      </c>
      <c r="H418" s="666"/>
      <c r="I418" s="21">
        <f t="shared" si="77"/>
        <v>1</v>
      </c>
      <c r="J418" s="666"/>
      <c r="K418" s="21">
        <f t="shared" si="78"/>
        <v>1</v>
      </c>
      <c r="L418" s="666"/>
      <c r="M418" s="21">
        <f t="shared" si="79"/>
        <v>1</v>
      </c>
      <c r="N418" s="666"/>
      <c r="O418" s="21">
        <f t="shared" si="80"/>
        <v>1</v>
      </c>
      <c r="P418" s="666"/>
      <c r="Q418" s="21">
        <f t="shared" si="81"/>
        <v>0</v>
      </c>
      <c r="R418" s="662">
        <f t="shared" si="82"/>
        <v>0</v>
      </c>
      <c r="S418" s="316">
        <f t="shared" si="73"/>
        <v>0</v>
      </c>
    </row>
    <row r="419" spans="1:19">
      <c r="A419" s="150"/>
      <c r="B419" s="54"/>
      <c r="C419" s="21">
        <f t="shared" si="74"/>
        <v>1</v>
      </c>
      <c r="D419" s="666"/>
      <c r="E419" s="21">
        <f t="shared" si="75"/>
        <v>1</v>
      </c>
      <c r="F419" s="666"/>
      <c r="G419" s="21">
        <f t="shared" si="76"/>
        <v>1</v>
      </c>
      <c r="H419" s="666"/>
      <c r="I419" s="21">
        <f t="shared" si="77"/>
        <v>1</v>
      </c>
      <c r="J419" s="666"/>
      <c r="K419" s="21">
        <f t="shared" si="78"/>
        <v>1</v>
      </c>
      <c r="L419" s="666"/>
      <c r="M419" s="21">
        <f t="shared" si="79"/>
        <v>1</v>
      </c>
      <c r="N419" s="666"/>
      <c r="O419" s="21">
        <f t="shared" si="80"/>
        <v>1</v>
      </c>
      <c r="P419" s="666"/>
      <c r="Q419" s="21">
        <f t="shared" si="81"/>
        <v>0</v>
      </c>
      <c r="R419" s="662">
        <f t="shared" si="82"/>
        <v>0</v>
      </c>
      <c r="S419" s="316">
        <f t="shared" si="73"/>
        <v>0</v>
      </c>
    </row>
    <row r="420" spans="1:19">
      <c r="A420" s="150"/>
      <c r="B420" s="54"/>
      <c r="C420" s="21">
        <f t="shared" si="74"/>
        <v>1</v>
      </c>
      <c r="D420" s="666"/>
      <c r="E420" s="21">
        <f t="shared" si="75"/>
        <v>1</v>
      </c>
      <c r="F420" s="666"/>
      <c r="G420" s="21">
        <f t="shared" si="76"/>
        <v>1</v>
      </c>
      <c r="H420" s="666"/>
      <c r="I420" s="21">
        <f t="shared" si="77"/>
        <v>1</v>
      </c>
      <c r="J420" s="666"/>
      <c r="K420" s="21">
        <f t="shared" si="78"/>
        <v>1</v>
      </c>
      <c r="L420" s="666"/>
      <c r="M420" s="21">
        <f t="shared" si="79"/>
        <v>1</v>
      </c>
      <c r="N420" s="666"/>
      <c r="O420" s="21">
        <f t="shared" si="80"/>
        <v>1</v>
      </c>
      <c r="P420" s="666"/>
      <c r="Q420" s="21">
        <f t="shared" si="81"/>
        <v>0</v>
      </c>
      <c r="R420" s="662">
        <f t="shared" si="82"/>
        <v>0</v>
      </c>
      <c r="S420" s="316">
        <f t="shared" si="73"/>
        <v>0</v>
      </c>
    </row>
    <row r="421" spans="1:19">
      <c r="A421" s="150"/>
      <c r="B421" s="54"/>
      <c r="C421" s="21">
        <f t="shared" si="74"/>
        <v>1</v>
      </c>
      <c r="D421" s="666"/>
      <c r="E421" s="21">
        <f t="shared" si="75"/>
        <v>1</v>
      </c>
      <c r="F421" s="666"/>
      <c r="G421" s="21">
        <f t="shared" si="76"/>
        <v>1</v>
      </c>
      <c r="H421" s="666"/>
      <c r="I421" s="21">
        <f t="shared" si="77"/>
        <v>1</v>
      </c>
      <c r="J421" s="666"/>
      <c r="K421" s="21">
        <f t="shared" si="78"/>
        <v>1</v>
      </c>
      <c r="L421" s="666"/>
      <c r="M421" s="21">
        <f t="shared" si="79"/>
        <v>1</v>
      </c>
      <c r="N421" s="666"/>
      <c r="O421" s="21">
        <f t="shared" si="80"/>
        <v>1</v>
      </c>
      <c r="P421" s="666"/>
      <c r="Q421" s="21">
        <f t="shared" si="81"/>
        <v>0</v>
      </c>
      <c r="R421" s="662">
        <f t="shared" si="82"/>
        <v>0</v>
      </c>
      <c r="S421" s="316">
        <f t="shared" si="73"/>
        <v>0</v>
      </c>
    </row>
    <row r="422" spans="1:19">
      <c r="A422" s="150"/>
      <c r="B422" s="54"/>
      <c r="C422" s="21">
        <f t="shared" si="74"/>
        <v>1</v>
      </c>
      <c r="D422" s="666"/>
      <c r="E422" s="21">
        <f t="shared" si="75"/>
        <v>1</v>
      </c>
      <c r="F422" s="666"/>
      <c r="G422" s="21">
        <f t="shared" si="76"/>
        <v>1</v>
      </c>
      <c r="H422" s="666"/>
      <c r="I422" s="21">
        <f t="shared" si="77"/>
        <v>1</v>
      </c>
      <c r="J422" s="666"/>
      <c r="K422" s="21">
        <f t="shared" si="78"/>
        <v>1</v>
      </c>
      <c r="L422" s="666"/>
      <c r="M422" s="21">
        <f t="shared" si="79"/>
        <v>1</v>
      </c>
      <c r="N422" s="666"/>
      <c r="O422" s="21">
        <f t="shared" si="80"/>
        <v>1</v>
      </c>
      <c r="P422" s="666"/>
      <c r="Q422" s="21">
        <f t="shared" si="81"/>
        <v>0</v>
      </c>
      <c r="R422" s="662">
        <f t="shared" si="82"/>
        <v>0</v>
      </c>
      <c r="S422" s="316">
        <f t="shared" si="73"/>
        <v>0</v>
      </c>
    </row>
    <row r="423" spans="1:19">
      <c r="A423" s="150"/>
      <c r="B423" s="54"/>
      <c r="C423" s="21">
        <f t="shared" si="74"/>
        <v>1</v>
      </c>
      <c r="D423" s="666"/>
      <c r="E423" s="21">
        <f t="shared" si="75"/>
        <v>1</v>
      </c>
      <c r="F423" s="666"/>
      <c r="G423" s="21">
        <f t="shared" si="76"/>
        <v>1</v>
      </c>
      <c r="H423" s="666"/>
      <c r="I423" s="21">
        <f t="shared" si="77"/>
        <v>1</v>
      </c>
      <c r="J423" s="666"/>
      <c r="K423" s="21">
        <f t="shared" si="78"/>
        <v>1</v>
      </c>
      <c r="L423" s="666"/>
      <c r="M423" s="21">
        <f t="shared" si="79"/>
        <v>1</v>
      </c>
      <c r="N423" s="666"/>
      <c r="O423" s="21">
        <f t="shared" si="80"/>
        <v>1</v>
      </c>
      <c r="P423" s="666"/>
      <c r="Q423" s="21">
        <f t="shared" si="81"/>
        <v>0</v>
      </c>
      <c r="R423" s="662">
        <f t="shared" si="82"/>
        <v>0</v>
      </c>
      <c r="S423" s="316">
        <f t="shared" ref="S423:S467" si="83">ROUND(R423*B423/10000,0)</f>
        <v>0</v>
      </c>
    </row>
    <row r="424" spans="1:19">
      <c r="A424" s="150"/>
      <c r="B424" s="54"/>
      <c r="C424" s="21">
        <f t="shared" si="74"/>
        <v>1</v>
      </c>
      <c r="D424" s="666"/>
      <c r="E424" s="21">
        <f t="shared" si="75"/>
        <v>1</v>
      </c>
      <c r="F424" s="666"/>
      <c r="G424" s="21">
        <f t="shared" si="76"/>
        <v>1</v>
      </c>
      <c r="H424" s="666"/>
      <c r="I424" s="21">
        <f t="shared" si="77"/>
        <v>1</v>
      </c>
      <c r="J424" s="666"/>
      <c r="K424" s="21">
        <f t="shared" si="78"/>
        <v>1</v>
      </c>
      <c r="L424" s="666"/>
      <c r="M424" s="21">
        <f t="shared" si="79"/>
        <v>1</v>
      </c>
      <c r="N424" s="666"/>
      <c r="O424" s="21">
        <f t="shared" si="80"/>
        <v>1</v>
      </c>
      <c r="P424" s="666"/>
      <c r="Q424" s="21">
        <f t="shared" si="81"/>
        <v>0</v>
      </c>
      <c r="R424" s="662">
        <f t="shared" si="82"/>
        <v>0</v>
      </c>
      <c r="S424" s="316">
        <f t="shared" si="83"/>
        <v>0</v>
      </c>
    </row>
    <row r="425" spans="1:19">
      <c r="A425" s="150"/>
      <c r="B425" s="54"/>
      <c r="C425" s="21">
        <f t="shared" si="74"/>
        <v>1</v>
      </c>
      <c r="D425" s="666"/>
      <c r="E425" s="21">
        <f t="shared" si="75"/>
        <v>1</v>
      </c>
      <c r="F425" s="666"/>
      <c r="G425" s="21">
        <f t="shared" si="76"/>
        <v>1</v>
      </c>
      <c r="H425" s="666"/>
      <c r="I425" s="21">
        <f t="shared" si="77"/>
        <v>1</v>
      </c>
      <c r="J425" s="666"/>
      <c r="K425" s="21">
        <f t="shared" si="78"/>
        <v>1</v>
      </c>
      <c r="L425" s="666"/>
      <c r="M425" s="21">
        <f t="shared" si="79"/>
        <v>1</v>
      </c>
      <c r="N425" s="666"/>
      <c r="O425" s="21">
        <f t="shared" si="80"/>
        <v>1</v>
      </c>
      <c r="P425" s="666"/>
      <c r="Q425" s="21">
        <f t="shared" si="81"/>
        <v>0</v>
      </c>
      <c r="R425" s="662">
        <f t="shared" si="82"/>
        <v>0</v>
      </c>
      <c r="S425" s="316">
        <f t="shared" si="83"/>
        <v>0</v>
      </c>
    </row>
    <row r="426" spans="1:19">
      <c r="A426" s="150"/>
      <c r="B426" s="54"/>
      <c r="C426" s="21">
        <f t="shared" si="74"/>
        <v>1</v>
      </c>
      <c r="D426" s="666"/>
      <c r="E426" s="21">
        <f t="shared" si="75"/>
        <v>1</v>
      </c>
      <c r="F426" s="666"/>
      <c r="G426" s="21">
        <f t="shared" si="76"/>
        <v>1</v>
      </c>
      <c r="H426" s="666"/>
      <c r="I426" s="21">
        <f t="shared" si="77"/>
        <v>1</v>
      </c>
      <c r="J426" s="666"/>
      <c r="K426" s="21">
        <f t="shared" si="78"/>
        <v>1</v>
      </c>
      <c r="L426" s="666"/>
      <c r="M426" s="21">
        <f t="shared" si="79"/>
        <v>1</v>
      </c>
      <c r="N426" s="666"/>
      <c r="O426" s="21">
        <f t="shared" si="80"/>
        <v>1</v>
      </c>
      <c r="P426" s="666"/>
      <c r="Q426" s="21">
        <f t="shared" si="81"/>
        <v>0</v>
      </c>
      <c r="R426" s="662">
        <f t="shared" si="82"/>
        <v>0</v>
      </c>
      <c r="S426" s="316">
        <f t="shared" si="83"/>
        <v>0</v>
      </c>
    </row>
    <row r="427" spans="1:19">
      <c r="A427" s="150"/>
      <c r="B427" s="54"/>
      <c r="C427" s="21">
        <f t="shared" si="74"/>
        <v>1</v>
      </c>
      <c r="D427" s="666"/>
      <c r="E427" s="21">
        <f t="shared" si="75"/>
        <v>1</v>
      </c>
      <c r="F427" s="666"/>
      <c r="G427" s="21">
        <f t="shared" si="76"/>
        <v>1</v>
      </c>
      <c r="H427" s="666"/>
      <c r="I427" s="21">
        <f t="shared" si="77"/>
        <v>1</v>
      </c>
      <c r="J427" s="666"/>
      <c r="K427" s="21">
        <f t="shared" si="78"/>
        <v>1</v>
      </c>
      <c r="L427" s="666"/>
      <c r="M427" s="21">
        <f t="shared" si="79"/>
        <v>1</v>
      </c>
      <c r="N427" s="666"/>
      <c r="O427" s="21">
        <f t="shared" si="80"/>
        <v>1</v>
      </c>
      <c r="P427" s="666"/>
      <c r="Q427" s="21">
        <f t="shared" si="81"/>
        <v>0</v>
      </c>
      <c r="R427" s="662">
        <f t="shared" si="82"/>
        <v>0</v>
      </c>
      <c r="S427" s="316">
        <f t="shared" si="83"/>
        <v>0</v>
      </c>
    </row>
    <row r="428" spans="1:19">
      <c r="A428" s="150"/>
      <c r="B428" s="54"/>
      <c r="C428" s="21">
        <f t="shared" si="74"/>
        <v>1</v>
      </c>
      <c r="D428" s="666"/>
      <c r="E428" s="21">
        <f t="shared" si="75"/>
        <v>1</v>
      </c>
      <c r="F428" s="666"/>
      <c r="G428" s="21">
        <f t="shared" si="76"/>
        <v>1</v>
      </c>
      <c r="H428" s="666"/>
      <c r="I428" s="21">
        <f t="shared" si="77"/>
        <v>1</v>
      </c>
      <c r="J428" s="666"/>
      <c r="K428" s="21">
        <f t="shared" si="78"/>
        <v>1</v>
      </c>
      <c r="L428" s="666"/>
      <c r="M428" s="21">
        <f t="shared" si="79"/>
        <v>1</v>
      </c>
      <c r="N428" s="666"/>
      <c r="O428" s="21">
        <f t="shared" si="80"/>
        <v>1</v>
      </c>
      <c r="P428" s="666"/>
      <c r="Q428" s="21">
        <f t="shared" si="81"/>
        <v>0</v>
      </c>
      <c r="R428" s="662">
        <f t="shared" si="82"/>
        <v>0</v>
      </c>
      <c r="S428" s="316">
        <f t="shared" si="83"/>
        <v>0</v>
      </c>
    </row>
    <row r="429" spans="1:19">
      <c r="A429" s="150"/>
      <c r="B429" s="54"/>
      <c r="C429" s="21">
        <f t="shared" si="74"/>
        <v>1</v>
      </c>
      <c r="D429" s="666"/>
      <c r="E429" s="21">
        <f t="shared" si="75"/>
        <v>1</v>
      </c>
      <c r="F429" s="666"/>
      <c r="G429" s="21">
        <f t="shared" si="76"/>
        <v>1</v>
      </c>
      <c r="H429" s="666"/>
      <c r="I429" s="21">
        <f t="shared" si="77"/>
        <v>1</v>
      </c>
      <c r="J429" s="666"/>
      <c r="K429" s="21">
        <f t="shared" si="78"/>
        <v>1</v>
      </c>
      <c r="L429" s="666"/>
      <c r="M429" s="21">
        <f t="shared" si="79"/>
        <v>1</v>
      </c>
      <c r="N429" s="666"/>
      <c r="O429" s="21">
        <f t="shared" si="80"/>
        <v>1</v>
      </c>
      <c r="P429" s="666"/>
      <c r="Q429" s="21">
        <f t="shared" si="81"/>
        <v>0</v>
      </c>
      <c r="R429" s="662">
        <f t="shared" si="82"/>
        <v>0</v>
      </c>
      <c r="S429" s="316">
        <f t="shared" si="83"/>
        <v>0</v>
      </c>
    </row>
    <row r="430" spans="1:19">
      <c r="A430" s="150"/>
      <c r="B430" s="54"/>
      <c r="C430" s="21">
        <f t="shared" si="74"/>
        <v>1</v>
      </c>
      <c r="D430" s="666"/>
      <c r="E430" s="21">
        <f t="shared" si="75"/>
        <v>1</v>
      </c>
      <c r="F430" s="666"/>
      <c r="G430" s="21">
        <f t="shared" si="76"/>
        <v>1</v>
      </c>
      <c r="H430" s="666"/>
      <c r="I430" s="21">
        <f t="shared" si="77"/>
        <v>1</v>
      </c>
      <c r="J430" s="666"/>
      <c r="K430" s="21">
        <f t="shared" si="78"/>
        <v>1</v>
      </c>
      <c r="L430" s="666"/>
      <c r="M430" s="21">
        <f t="shared" si="79"/>
        <v>1</v>
      </c>
      <c r="N430" s="666"/>
      <c r="O430" s="21">
        <f t="shared" si="80"/>
        <v>1</v>
      </c>
      <c r="P430" s="666"/>
      <c r="Q430" s="21">
        <f t="shared" si="81"/>
        <v>0</v>
      </c>
      <c r="R430" s="662">
        <f t="shared" si="82"/>
        <v>0</v>
      </c>
      <c r="S430" s="316">
        <f t="shared" si="83"/>
        <v>0</v>
      </c>
    </row>
    <row r="431" spans="1:19">
      <c r="A431" s="150"/>
      <c r="B431" s="54"/>
      <c r="C431" s="21">
        <f t="shared" si="74"/>
        <v>1</v>
      </c>
      <c r="D431" s="666"/>
      <c r="E431" s="21">
        <f t="shared" si="75"/>
        <v>1</v>
      </c>
      <c r="F431" s="666"/>
      <c r="G431" s="21">
        <f t="shared" si="76"/>
        <v>1</v>
      </c>
      <c r="H431" s="666"/>
      <c r="I431" s="21">
        <f t="shared" si="77"/>
        <v>1</v>
      </c>
      <c r="J431" s="666"/>
      <c r="K431" s="21">
        <f t="shared" si="78"/>
        <v>1</v>
      </c>
      <c r="L431" s="666"/>
      <c r="M431" s="21">
        <f t="shared" si="79"/>
        <v>1</v>
      </c>
      <c r="N431" s="666"/>
      <c r="O431" s="21">
        <f t="shared" si="80"/>
        <v>1</v>
      </c>
      <c r="P431" s="666"/>
      <c r="Q431" s="21">
        <f t="shared" si="81"/>
        <v>0</v>
      </c>
      <c r="R431" s="662">
        <f t="shared" si="82"/>
        <v>0</v>
      </c>
      <c r="S431" s="316">
        <f t="shared" si="83"/>
        <v>0</v>
      </c>
    </row>
    <row r="432" spans="1:19">
      <c r="A432" s="150"/>
      <c r="B432" s="54"/>
      <c r="C432" s="21">
        <f t="shared" si="74"/>
        <v>1</v>
      </c>
      <c r="D432" s="666"/>
      <c r="E432" s="21">
        <f t="shared" si="75"/>
        <v>1</v>
      </c>
      <c r="F432" s="666"/>
      <c r="G432" s="21">
        <f t="shared" si="76"/>
        <v>1</v>
      </c>
      <c r="H432" s="666"/>
      <c r="I432" s="21">
        <f t="shared" si="77"/>
        <v>1</v>
      </c>
      <c r="J432" s="666"/>
      <c r="K432" s="21">
        <f t="shared" si="78"/>
        <v>1</v>
      </c>
      <c r="L432" s="666"/>
      <c r="M432" s="21">
        <f t="shared" si="79"/>
        <v>1</v>
      </c>
      <c r="N432" s="666"/>
      <c r="O432" s="21">
        <f t="shared" si="80"/>
        <v>1</v>
      </c>
      <c r="P432" s="666"/>
      <c r="Q432" s="21">
        <f t="shared" si="81"/>
        <v>0</v>
      </c>
      <c r="R432" s="662">
        <f t="shared" si="82"/>
        <v>0</v>
      </c>
      <c r="S432" s="316">
        <f t="shared" si="83"/>
        <v>0</v>
      </c>
    </row>
    <row r="433" spans="1:19">
      <c r="A433" s="150"/>
      <c r="B433" s="54"/>
      <c r="C433" s="21">
        <f t="shared" si="74"/>
        <v>1</v>
      </c>
      <c r="D433" s="666"/>
      <c r="E433" s="21">
        <f t="shared" si="75"/>
        <v>1</v>
      </c>
      <c r="F433" s="666"/>
      <c r="G433" s="21">
        <f t="shared" si="76"/>
        <v>1</v>
      </c>
      <c r="H433" s="666"/>
      <c r="I433" s="21">
        <f t="shared" si="77"/>
        <v>1</v>
      </c>
      <c r="J433" s="666"/>
      <c r="K433" s="21">
        <f t="shared" si="78"/>
        <v>1</v>
      </c>
      <c r="L433" s="666"/>
      <c r="M433" s="21">
        <f t="shared" si="79"/>
        <v>1</v>
      </c>
      <c r="N433" s="666"/>
      <c r="O433" s="21">
        <f t="shared" si="80"/>
        <v>1</v>
      </c>
      <c r="P433" s="666"/>
      <c r="Q433" s="21">
        <f t="shared" si="81"/>
        <v>0</v>
      </c>
      <c r="R433" s="662">
        <f t="shared" si="82"/>
        <v>0</v>
      </c>
      <c r="S433" s="316">
        <f t="shared" si="83"/>
        <v>0</v>
      </c>
    </row>
    <row r="434" spans="1:19">
      <c r="A434" s="150"/>
      <c r="B434" s="54"/>
      <c r="C434" s="21">
        <f t="shared" si="74"/>
        <v>1</v>
      </c>
      <c r="D434" s="666"/>
      <c r="E434" s="21">
        <f t="shared" si="75"/>
        <v>1</v>
      </c>
      <c r="F434" s="666"/>
      <c r="G434" s="21">
        <f t="shared" si="76"/>
        <v>1</v>
      </c>
      <c r="H434" s="666"/>
      <c r="I434" s="21">
        <f t="shared" si="77"/>
        <v>1</v>
      </c>
      <c r="J434" s="666"/>
      <c r="K434" s="21">
        <f t="shared" si="78"/>
        <v>1</v>
      </c>
      <c r="L434" s="666"/>
      <c r="M434" s="21">
        <f t="shared" si="79"/>
        <v>1</v>
      </c>
      <c r="N434" s="666"/>
      <c r="O434" s="21">
        <f t="shared" si="80"/>
        <v>1</v>
      </c>
      <c r="P434" s="666"/>
      <c r="Q434" s="21">
        <f t="shared" si="81"/>
        <v>0</v>
      </c>
      <c r="R434" s="662">
        <f t="shared" si="82"/>
        <v>0</v>
      </c>
      <c r="S434" s="316">
        <f t="shared" si="83"/>
        <v>0</v>
      </c>
    </row>
    <row r="435" spans="1:19">
      <c r="A435" s="150"/>
      <c r="B435" s="54"/>
      <c r="C435" s="21">
        <f t="shared" si="74"/>
        <v>1</v>
      </c>
      <c r="D435" s="666"/>
      <c r="E435" s="21">
        <f t="shared" si="75"/>
        <v>1</v>
      </c>
      <c r="F435" s="666"/>
      <c r="G435" s="21">
        <f t="shared" si="76"/>
        <v>1</v>
      </c>
      <c r="H435" s="666"/>
      <c r="I435" s="21">
        <f t="shared" si="77"/>
        <v>1</v>
      </c>
      <c r="J435" s="666"/>
      <c r="K435" s="21">
        <f t="shared" si="78"/>
        <v>1</v>
      </c>
      <c r="L435" s="666"/>
      <c r="M435" s="21">
        <f t="shared" si="79"/>
        <v>1</v>
      </c>
      <c r="N435" s="666"/>
      <c r="O435" s="21">
        <f t="shared" si="80"/>
        <v>1</v>
      </c>
      <c r="P435" s="666"/>
      <c r="Q435" s="21">
        <f t="shared" si="81"/>
        <v>0</v>
      </c>
      <c r="R435" s="662">
        <f t="shared" si="82"/>
        <v>0</v>
      </c>
      <c r="S435" s="316">
        <f t="shared" si="83"/>
        <v>0</v>
      </c>
    </row>
    <row r="436" spans="1:19">
      <c r="A436" s="150"/>
      <c r="B436" s="54"/>
      <c r="C436" s="21">
        <f t="shared" si="74"/>
        <v>1</v>
      </c>
      <c r="D436" s="666"/>
      <c r="E436" s="21">
        <f t="shared" si="75"/>
        <v>1</v>
      </c>
      <c r="F436" s="666"/>
      <c r="G436" s="21">
        <f t="shared" si="76"/>
        <v>1</v>
      </c>
      <c r="H436" s="666"/>
      <c r="I436" s="21">
        <f t="shared" si="77"/>
        <v>1</v>
      </c>
      <c r="J436" s="666"/>
      <c r="K436" s="21">
        <f t="shared" si="78"/>
        <v>1</v>
      </c>
      <c r="L436" s="666"/>
      <c r="M436" s="21">
        <f t="shared" si="79"/>
        <v>1</v>
      </c>
      <c r="N436" s="666"/>
      <c r="O436" s="21">
        <f t="shared" si="80"/>
        <v>1</v>
      </c>
      <c r="P436" s="666"/>
      <c r="Q436" s="21">
        <f t="shared" si="81"/>
        <v>0</v>
      </c>
      <c r="R436" s="662">
        <f t="shared" si="82"/>
        <v>0</v>
      </c>
      <c r="S436" s="316">
        <f t="shared" si="83"/>
        <v>0</v>
      </c>
    </row>
    <row r="437" spans="1:19">
      <c r="A437" s="150"/>
      <c r="B437" s="54"/>
      <c r="C437" s="21">
        <f t="shared" si="74"/>
        <v>1</v>
      </c>
      <c r="D437" s="666"/>
      <c r="E437" s="21">
        <f t="shared" si="75"/>
        <v>1</v>
      </c>
      <c r="F437" s="666"/>
      <c r="G437" s="21">
        <f t="shared" si="76"/>
        <v>1</v>
      </c>
      <c r="H437" s="666"/>
      <c r="I437" s="21">
        <f t="shared" si="77"/>
        <v>1</v>
      </c>
      <c r="J437" s="666"/>
      <c r="K437" s="21">
        <f t="shared" si="78"/>
        <v>1</v>
      </c>
      <c r="L437" s="666"/>
      <c r="M437" s="21">
        <f t="shared" si="79"/>
        <v>1</v>
      </c>
      <c r="N437" s="666"/>
      <c r="O437" s="21">
        <f t="shared" si="80"/>
        <v>1</v>
      </c>
      <c r="P437" s="666"/>
      <c r="Q437" s="21">
        <f t="shared" si="81"/>
        <v>0</v>
      </c>
      <c r="R437" s="662">
        <f t="shared" si="82"/>
        <v>0</v>
      </c>
      <c r="S437" s="316">
        <f t="shared" si="83"/>
        <v>0</v>
      </c>
    </row>
    <row r="438" spans="1:19">
      <c r="A438" s="150"/>
      <c r="B438" s="54"/>
      <c r="C438" s="21">
        <f t="shared" si="74"/>
        <v>1</v>
      </c>
      <c r="D438" s="666"/>
      <c r="E438" s="21">
        <f t="shared" si="75"/>
        <v>1</v>
      </c>
      <c r="F438" s="666"/>
      <c r="G438" s="21">
        <f t="shared" si="76"/>
        <v>1</v>
      </c>
      <c r="H438" s="666"/>
      <c r="I438" s="21">
        <f t="shared" si="77"/>
        <v>1</v>
      </c>
      <c r="J438" s="666"/>
      <c r="K438" s="21">
        <f t="shared" si="78"/>
        <v>1</v>
      </c>
      <c r="L438" s="666"/>
      <c r="M438" s="21">
        <f t="shared" si="79"/>
        <v>1</v>
      </c>
      <c r="N438" s="666"/>
      <c r="O438" s="21">
        <f t="shared" si="80"/>
        <v>1</v>
      </c>
      <c r="P438" s="666"/>
      <c r="Q438" s="21">
        <f t="shared" si="81"/>
        <v>0</v>
      </c>
      <c r="R438" s="662">
        <f t="shared" si="82"/>
        <v>0</v>
      </c>
      <c r="S438" s="316">
        <f t="shared" si="83"/>
        <v>0</v>
      </c>
    </row>
    <row r="439" spans="1:19">
      <c r="A439" s="150"/>
      <c r="B439" s="54"/>
      <c r="C439" s="21">
        <f t="shared" si="74"/>
        <v>1</v>
      </c>
      <c r="D439" s="666"/>
      <c r="E439" s="21">
        <f t="shared" si="75"/>
        <v>1</v>
      </c>
      <c r="F439" s="666"/>
      <c r="G439" s="21">
        <f t="shared" si="76"/>
        <v>1</v>
      </c>
      <c r="H439" s="666"/>
      <c r="I439" s="21">
        <f t="shared" si="77"/>
        <v>1</v>
      </c>
      <c r="J439" s="666"/>
      <c r="K439" s="21">
        <f t="shared" si="78"/>
        <v>1</v>
      </c>
      <c r="L439" s="666"/>
      <c r="M439" s="21">
        <f t="shared" si="79"/>
        <v>1</v>
      </c>
      <c r="N439" s="666"/>
      <c r="O439" s="21">
        <f t="shared" si="80"/>
        <v>1</v>
      </c>
      <c r="P439" s="666"/>
      <c r="Q439" s="21">
        <f t="shared" si="81"/>
        <v>0</v>
      </c>
      <c r="R439" s="662">
        <f t="shared" si="82"/>
        <v>0</v>
      </c>
      <c r="S439" s="316">
        <f t="shared" si="83"/>
        <v>0</v>
      </c>
    </row>
    <row r="440" spans="1:19">
      <c r="A440" s="150"/>
      <c r="B440" s="54"/>
      <c r="C440" s="21">
        <f t="shared" si="74"/>
        <v>1</v>
      </c>
      <c r="D440" s="666"/>
      <c r="E440" s="21">
        <f t="shared" si="75"/>
        <v>1</v>
      </c>
      <c r="F440" s="666"/>
      <c r="G440" s="21">
        <f t="shared" si="76"/>
        <v>1</v>
      </c>
      <c r="H440" s="666"/>
      <c r="I440" s="21">
        <f t="shared" si="77"/>
        <v>1</v>
      </c>
      <c r="J440" s="666"/>
      <c r="K440" s="21">
        <f t="shared" si="78"/>
        <v>1</v>
      </c>
      <c r="L440" s="666"/>
      <c r="M440" s="21">
        <f t="shared" si="79"/>
        <v>1</v>
      </c>
      <c r="N440" s="666"/>
      <c r="O440" s="21">
        <f t="shared" si="80"/>
        <v>1</v>
      </c>
      <c r="P440" s="666"/>
      <c r="Q440" s="21">
        <f t="shared" si="81"/>
        <v>0</v>
      </c>
      <c r="R440" s="662">
        <f t="shared" si="82"/>
        <v>0</v>
      </c>
      <c r="S440" s="316">
        <f t="shared" si="83"/>
        <v>0</v>
      </c>
    </row>
    <row r="441" spans="1:19">
      <c r="A441" s="150"/>
      <c r="B441" s="54"/>
      <c r="C441" s="21">
        <f t="shared" si="74"/>
        <v>1</v>
      </c>
      <c r="D441" s="666"/>
      <c r="E441" s="21">
        <f t="shared" si="75"/>
        <v>1</v>
      </c>
      <c r="F441" s="666"/>
      <c r="G441" s="21">
        <f t="shared" si="76"/>
        <v>1</v>
      </c>
      <c r="H441" s="666"/>
      <c r="I441" s="21">
        <f t="shared" si="77"/>
        <v>1</v>
      </c>
      <c r="J441" s="666"/>
      <c r="K441" s="21">
        <f t="shared" si="78"/>
        <v>1</v>
      </c>
      <c r="L441" s="666"/>
      <c r="M441" s="21">
        <f t="shared" si="79"/>
        <v>1</v>
      </c>
      <c r="N441" s="666"/>
      <c r="O441" s="21">
        <f t="shared" si="80"/>
        <v>1</v>
      </c>
      <c r="P441" s="666"/>
      <c r="Q441" s="21">
        <f t="shared" si="81"/>
        <v>0</v>
      </c>
      <c r="R441" s="662">
        <f t="shared" si="82"/>
        <v>0</v>
      </c>
      <c r="S441" s="316">
        <f t="shared" si="83"/>
        <v>0</v>
      </c>
    </row>
    <row r="442" spans="1:19">
      <c r="A442" s="150"/>
      <c r="B442" s="54"/>
      <c r="C442" s="21">
        <f t="shared" si="74"/>
        <v>1</v>
      </c>
      <c r="D442" s="666"/>
      <c r="E442" s="21">
        <f t="shared" si="75"/>
        <v>1</v>
      </c>
      <c r="F442" s="666"/>
      <c r="G442" s="21">
        <f t="shared" si="76"/>
        <v>1</v>
      </c>
      <c r="H442" s="666"/>
      <c r="I442" s="21">
        <f t="shared" si="77"/>
        <v>1</v>
      </c>
      <c r="J442" s="666"/>
      <c r="K442" s="21">
        <f t="shared" si="78"/>
        <v>1</v>
      </c>
      <c r="L442" s="666"/>
      <c r="M442" s="21">
        <f t="shared" si="79"/>
        <v>1</v>
      </c>
      <c r="N442" s="666"/>
      <c r="O442" s="21">
        <f t="shared" si="80"/>
        <v>1</v>
      </c>
      <c r="P442" s="666"/>
      <c r="Q442" s="21">
        <f t="shared" si="81"/>
        <v>0</v>
      </c>
      <c r="R442" s="662">
        <f t="shared" si="82"/>
        <v>0</v>
      </c>
      <c r="S442" s="316">
        <f t="shared" si="83"/>
        <v>0</v>
      </c>
    </row>
    <row r="443" spans="1:19">
      <c r="A443" s="150"/>
      <c r="B443" s="54"/>
      <c r="C443" s="21">
        <f t="shared" si="74"/>
        <v>1</v>
      </c>
      <c r="D443" s="666"/>
      <c r="E443" s="21">
        <f t="shared" si="75"/>
        <v>1</v>
      </c>
      <c r="F443" s="666"/>
      <c r="G443" s="21">
        <f t="shared" si="76"/>
        <v>1</v>
      </c>
      <c r="H443" s="666"/>
      <c r="I443" s="21">
        <f t="shared" si="77"/>
        <v>1</v>
      </c>
      <c r="J443" s="666"/>
      <c r="K443" s="21">
        <f t="shared" si="78"/>
        <v>1</v>
      </c>
      <c r="L443" s="666"/>
      <c r="M443" s="21">
        <f t="shared" si="79"/>
        <v>1</v>
      </c>
      <c r="N443" s="666"/>
      <c r="O443" s="21">
        <f t="shared" si="80"/>
        <v>1</v>
      </c>
      <c r="P443" s="666"/>
      <c r="Q443" s="21">
        <f t="shared" si="81"/>
        <v>0</v>
      </c>
      <c r="R443" s="662">
        <f t="shared" si="82"/>
        <v>0</v>
      </c>
      <c r="S443" s="316">
        <f t="shared" si="83"/>
        <v>0</v>
      </c>
    </row>
    <row r="444" spans="1:19">
      <c r="A444" s="150"/>
      <c r="B444" s="54"/>
      <c r="C444" s="21">
        <f t="shared" si="74"/>
        <v>1</v>
      </c>
      <c r="D444" s="666"/>
      <c r="E444" s="21">
        <f t="shared" si="75"/>
        <v>1</v>
      </c>
      <c r="F444" s="666"/>
      <c r="G444" s="21">
        <f t="shared" si="76"/>
        <v>1</v>
      </c>
      <c r="H444" s="666"/>
      <c r="I444" s="21">
        <f t="shared" si="77"/>
        <v>1</v>
      </c>
      <c r="J444" s="666"/>
      <c r="K444" s="21">
        <f t="shared" si="78"/>
        <v>1</v>
      </c>
      <c r="L444" s="666"/>
      <c r="M444" s="21">
        <f t="shared" si="79"/>
        <v>1</v>
      </c>
      <c r="N444" s="666"/>
      <c r="O444" s="21">
        <f t="shared" si="80"/>
        <v>1</v>
      </c>
      <c r="P444" s="666"/>
      <c r="Q444" s="21">
        <f t="shared" si="81"/>
        <v>0</v>
      </c>
      <c r="R444" s="662">
        <f t="shared" si="82"/>
        <v>0</v>
      </c>
      <c r="S444" s="316">
        <f t="shared" si="83"/>
        <v>0</v>
      </c>
    </row>
    <row r="445" spans="1:19">
      <c r="A445" s="150"/>
      <c r="B445" s="54"/>
      <c r="C445" s="21">
        <f t="shared" si="74"/>
        <v>1</v>
      </c>
      <c r="D445" s="666"/>
      <c r="E445" s="21">
        <f t="shared" si="75"/>
        <v>1</v>
      </c>
      <c r="F445" s="666"/>
      <c r="G445" s="21">
        <f t="shared" si="76"/>
        <v>1</v>
      </c>
      <c r="H445" s="666"/>
      <c r="I445" s="21">
        <f t="shared" si="77"/>
        <v>1</v>
      </c>
      <c r="J445" s="666"/>
      <c r="K445" s="21">
        <f t="shared" si="78"/>
        <v>1</v>
      </c>
      <c r="L445" s="666"/>
      <c r="M445" s="21">
        <f t="shared" si="79"/>
        <v>1</v>
      </c>
      <c r="N445" s="666"/>
      <c r="O445" s="21">
        <f t="shared" si="80"/>
        <v>1</v>
      </c>
      <c r="P445" s="666"/>
      <c r="Q445" s="21">
        <f t="shared" si="81"/>
        <v>0</v>
      </c>
      <c r="R445" s="662">
        <f t="shared" si="82"/>
        <v>0</v>
      </c>
      <c r="S445" s="316">
        <f t="shared" si="83"/>
        <v>0</v>
      </c>
    </row>
    <row r="446" spans="1:19">
      <c r="A446" s="150"/>
      <c r="B446" s="54"/>
      <c r="C446" s="21">
        <f t="shared" si="74"/>
        <v>1</v>
      </c>
      <c r="D446" s="666"/>
      <c r="E446" s="21">
        <f t="shared" si="75"/>
        <v>1</v>
      </c>
      <c r="F446" s="666"/>
      <c r="G446" s="21">
        <f t="shared" si="76"/>
        <v>1</v>
      </c>
      <c r="H446" s="666"/>
      <c r="I446" s="21">
        <f t="shared" si="77"/>
        <v>1</v>
      </c>
      <c r="J446" s="666"/>
      <c r="K446" s="21">
        <f t="shared" si="78"/>
        <v>1</v>
      </c>
      <c r="L446" s="666"/>
      <c r="M446" s="21">
        <f t="shared" si="79"/>
        <v>1</v>
      </c>
      <c r="N446" s="666"/>
      <c r="O446" s="21">
        <f t="shared" si="80"/>
        <v>1</v>
      </c>
      <c r="P446" s="666"/>
      <c r="Q446" s="21">
        <f t="shared" si="81"/>
        <v>0</v>
      </c>
      <c r="R446" s="662">
        <f t="shared" si="82"/>
        <v>0</v>
      </c>
      <c r="S446" s="316">
        <f t="shared" si="83"/>
        <v>0</v>
      </c>
    </row>
    <row r="447" spans="1:19">
      <c r="A447" s="150"/>
      <c r="B447" s="54"/>
      <c r="C447" s="21">
        <f t="shared" si="74"/>
        <v>1</v>
      </c>
      <c r="D447" s="666"/>
      <c r="E447" s="21">
        <f t="shared" si="75"/>
        <v>1</v>
      </c>
      <c r="F447" s="666"/>
      <c r="G447" s="21">
        <f t="shared" si="76"/>
        <v>1</v>
      </c>
      <c r="H447" s="666"/>
      <c r="I447" s="21">
        <f t="shared" si="77"/>
        <v>1</v>
      </c>
      <c r="J447" s="666"/>
      <c r="K447" s="21">
        <f t="shared" si="78"/>
        <v>1</v>
      </c>
      <c r="L447" s="666"/>
      <c r="M447" s="21">
        <f t="shared" si="79"/>
        <v>1</v>
      </c>
      <c r="N447" s="666"/>
      <c r="O447" s="21">
        <f t="shared" si="80"/>
        <v>1</v>
      </c>
      <c r="P447" s="666"/>
      <c r="Q447" s="21">
        <f t="shared" si="81"/>
        <v>0</v>
      </c>
      <c r="R447" s="662">
        <f t="shared" si="82"/>
        <v>0</v>
      </c>
      <c r="S447" s="316">
        <f t="shared" si="83"/>
        <v>0</v>
      </c>
    </row>
    <row r="448" spans="1:19">
      <c r="A448" s="150"/>
      <c r="B448" s="54"/>
      <c r="C448" s="21">
        <f t="shared" si="74"/>
        <v>1</v>
      </c>
      <c r="D448" s="666"/>
      <c r="E448" s="21">
        <f t="shared" si="75"/>
        <v>1</v>
      </c>
      <c r="F448" s="666"/>
      <c r="G448" s="21">
        <f t="shared" si="76"/>
        <v>1</v>
      </c>
      <c r="H448" s="666"/>
      <c r="I448" s="21">
        <f t="shared" si="77"/>
        <v>1</v>
      </c>
      <c r="J448" s="666"/>
      <c r="K448" s="21">
        <f t="shared" si="78"/>
        <v>1</v>
      </c>
      <c r="L448" s="666"/>
      <c r="M448" s="21">
        <f t="shared" si="79"/>
        <v>1</v>
      </c>
      <c r="N448" s="666"/>
      <c r="O448" s="21">
        <f t="shared" si="80"/>
        <v>1</v>
      </c>
      <c r="P448" s="666"/>
      <c r="Q448" s="21">
        <f t="shared" si="81"/>
        <v>0</v>
      </c>
      <c r="R448" s="662">
        <f t="shared" si="82"/>
        <v>0</v>
      </c>
      <c r="S448" s="316">
        <f t="shared" si="83"/>
        <v>0</v>
      </c>
    </row>
    <row r="449" spans="1:19">
      <c r="A449" s="150"/>
      <c r="B449" s="54"/>
      <c r="C449" s="21">
        <f t="shared" si="74"/>
        <v>1</v>
      </c>
      <c r="D449" s="666"/>
      <c r="E449" s="21">
        <f t="shared" si="75"/>
        <v>1</v>
      </c>
      <c r="F449" s="666"/>
      <c r="G449" s="21">
        <f t="shared" si="76"/>
        <v>1</v>
      </c>
      <c r="H449" s="666"/>
      <c r="I449" s="21">
        <f t="shared" si="77"/>
        <v>1</v>
      </c>
      <c r="J449" s="666"/>
      <c r="K449" s="21">
        <f t="shared" si="78"/>
        <v>1</v>
      </c>
      <c r="L449" s="666"/>
      <c r="M449" s="21">
        <f t="shared" si="79"/>
        <v>1</v>
      </c>
      <c r="N449" s="666"/>
      <c r="O449" s="21">
        <f t="shared" si="80"/>
        <v>1</v>
      </c>
      <c r="P449" s="666"/>
      <c r="Q449" s="21">
        <f t="shared" si="81"/>
        <v>0</v>
      </c>
      <c r="R449" s="662">
        <f t="shared" si="82"/>
        <v>0</v>
      </c>
      <c r="S449" s="316">
        <f t="shared" si="83"/>
        <v>0</v>
      </c>
    </row>
    <row r="450" spans="1:19">
      <c r="A450" s="150"/>
      <c r="B450" s="54"/>
      <c r="C450" s="21">
        <f t="shared" si="74"/>
        <v>1</v>
      </c>
      <c r="D450" s="666"/>
      <c r="E450" s="21">
        <f t="shared" si="75"/>
        <v>1</v>
      </c>
      <c r="F450" s="666"/>
      <c r="G450" s="21">
        <f t="shared" si="76"/>
        <v>1</v>
      </c>
      <c r="H450" s="666"/>
      <c r="I450" s="21">
        <f t="shared" si="77"/>
        <v>1</v>
      </c>
      <c r="J450" s="666"/>
      <c r="K450" s="21">
        <f t="shared" si="78"/>
        <v>1</v>
      </c>
      <c r="L450" s="666"/>
      <c r="M450" s="21">
        <f t="shared" si="79"/>
        <v>1</v>
      </c>
      <c r="N450" s="666"/>
      <c r="O450" s="21">
        <f t="shared" si="80"/>
        <v>1</v>
      </c>
      <c r="P450" s="666"/>
      <c r="Q450" s="21">
        <f t="shared" si="81"/>
        <v>0</v>
      </c>
      <c r="R450" s="662">
        <f t="shared" si="82"/>
        <v>0</v>
      </c>
      <c r="S450" s="316">
        <f t="shared" si="83"/>
        <v>0</v>
      </c>
    </row>
    <row r="451" spans="1:19">
      <c r="A451" s="150"/>
      <c r="B451" s="54"/>
      <c r="C451" s="21">
        <f t="shared" si="74"/>
        <v>1</v>
      </c>
      <c r="D451" s="666"/>
      <c r="E451" s="21">
        <f t="shared" si="75"/>
        <v>1</v>
      </c>
      <c r="F451" s="666"/>
      <c r="G451" s="21">
        <f t="shared" si="76"/>
        <v>1</v>
      </c>
      <c r="H451" s="666"/>
      <c r="I451" s="21">
        <f t="shared" si="77"/>
        <v>1</v>
      </c>
      <c r="J451" s="666"/>
      <c r="K451" s="21">
        <f t="shared" si="78"/>
        <v>1</v>
      </c>
      <c r="L451" s="666"/>
      <c r="M451" s="21">
        <f t="shared" si="79"/>
        <v>1</v>
      </c>
      <c r="N451" s="666"/>
      <c r="O451" s="21">
        <f t="shared" si="80"/>
        <v>1</v>
      </c>
      <c r="P451" s="666"/>
      <c r="Q451" s="21">
        <f t="shared" si="81"/>
        <v>0</v>
      </c>
      <c r="R451" s="662">
        <f t="shared" si="82"/>
        <v>0</v>
      </c>
      <c r="S451" s="316">
        <f t="shared" si="83"/>
        <v>0</v>
      </c>
    </row>
    <row r="452" spans="1:19">
      <c r="A452" s="150"/>
      <c r="B452" s="54"/>
      <c r="C452" s="21">
        <f t="shared" si="74"/>
        <v>1</v>
      </c>
      <c r="D452" s="666"/>
      <c r="E452" s="21">
        <f t="shared" si="75"/>
        <v>1</v>
      </c>
      <c r="F452" s="666"/>
      <c r="G452" s="21">
        <f t="shared" si="76"/>
        <v>1</v>
      </c>
      <c r="H452" s="666"/>
      <c r="I452" s="21">
        <f t="shared" si="77"/>
        <v>1</v>
      </c>
      <c r="J452" s="666"/>
      <c r="K452" s="21">
        <f t="shared" si="78"/>
        <v>1</v>
      </c>
      <c r="L452" s="666"/>
      <c r="M452" s="21">
        <f t="shared" si="79"/>
        <v>1</v>
      </c>
      <c r="N452" s="666"/>
      <c r="O452" s="21">
        <f t="shared" si="80"/>
        <v>1</v>
      </c>
      <c r="P452" s="666"/>
      <c r="Q452" s="21">
        <f t="shared" si="81"/>
        <v>0</v>
      </c>
      <c r="R452" s="662">
        <f t="shared" si="82"/>
        <v>0</v>
      </c>
      <c r="S452" s="316">
        <f t="shared" si="83"/>
        <v>0</v>
      </c>
    </row>
    <row r="453" spans="1:19">
      <c r="A453" s="150"/>
      <c r="B453" s="54"/>
      <c r="C453" s="21">
        <f t="shared" si="74"/>
        <v>1</v>
      </c>
      <c r="D453" s="666"/>
      <c r="E453" s="21">
        <f t="shared" si="75"/>
        <v>1</v>
      </c>
      <c r="F453" s="666"/>
      <c r="G453" s="21">
        <f t="shared" si="76"/>
        <v>1</v>
      </c>
      <c r="H453" s="666"/>
      <c r="I453" s="21">
        <f t="shared" si="77"/>
        <v>1</v>
      </c>
      <c r="J453" s="666"/>
      <c r="K453" s="21">
        <f t="shared" si="78"/>
        <v>1</v>
      </c>
      <c r="L453" s="666"/>
      <c r="M453" s="21">
        <f t="shared" si="79"/>
        <v>1</v>
      </c>
      <c r="N453" s="666"/>
      <c r="O453" s="21">
        <f t="shared" si="80"/>
        <v>1</v>
      </c>
      <c r="P453" s="666"/>
      <c r="Q453" s="21">
        <f t="shared" si="81"/>
        <v>0</v>
      </c>
      <c r="R453" s="662">
        <f t="shared" si="82"/>
        <v>0</v>
      </c>
      <c r="S453" s="316">
        <f t="shared" si="83"/>
        <v>0</v>
      </c>
    </row>
    <row r="454" spans="1:19">
      <c r="A454" s="150"/>
      <c r="B454" s="54"/>
      <c r="C454" s="21">
        <f t="shared" si="74"/>
        <v>1</v>
      </c>
      <c r="D454" s="666"/>
      <c r="E454" s="21">
        <f t="shared" si="75"/>
        <v>1</v>
      </c>
      <c r="F454" s="666"/>
      <c r="G454" s="21">
        <f t="shared" si="76"/>
        <v>1</v>
      </c>
      <c r="H454" s="666"/>
      <c r="I454" s="21">
        <f t="shared" si="77"/>
        <v>1</v>
      </c>
      <c r="J454" s="666"/>
      <c r="K454" s="21">
        <f t="shared" si="78"/>
        <v>1</v>
      </c>
      <c r="L454" s="666"/>
      <c r="M454" s="21">
        <f t="shared" si="79"/>
        <v>1</v>
      </c>
      <c r="N454" s="666"/>
      <c r="O454" s="21">
        <f t="shared" si="80"/>
        <v>1</v>
      </c>
      <c r="P454" s="666"/>
      <c r="Q454" s="21">
        <f t="shared" si="81"/>
        <v>0</v>
      </c>
      <c r="R454" s="662">
        <f t="shared" si="82"/>
        <v>0</v>
      </c>
      <c r="S454" s="316">
        <f t="shared" si="83"/>
        <v>0</v>
      </c>
    </row>
    <row r="455" spans="1:19">
      <c r="A455" s="150"/>
      <c r="B455" s="54"/>
      <c r="C455" s="21">
        <f t="shared" si="74"/>
        <v>1</v>
      </c>
      <c r="D455" s="666"/>
      <c r="E455" s="21">
        <f t="shared" si="75"/>
        <v>1</v>
      </c>
      <c r="F455" s="666"/>
      <c r="G455" s="21">
        <f t="shared" si="76"/>
        <v>1</v>
      </c>
      <c r="H455" s="666"/>
      <c r="I455" s="21">
        <f t="shared" si="77"/>
        <v>1</v>
      </c>
      <c r="J455" s="666"/>
      <c r="K455" s="21">
        <f t="shared" si="78"/>
        <v>1</v>
      </c>
      <c r="L455" s="666"/>
      <c r="M455" s="21">
        <f t="shared" si="79"/>
        <v>1</v>
      </c>
      <c r="N455" s="666"/>
      <c r="O455" s="21">
        <f t="shared" si="80"/>
        <v>1</v>
      </c>
      <c r="P455" s="666"/>
      <c r="Q455" s="21">
        <f t="shared" si="81"/>
        <v>0</v>
      </c>
      <c r="R455" s="662">
        <f t="shared" si="82"/>
        <v>0</v>
      </c>
      <c r="S455" s="316">
        <f t="shared" si="83"/>
        <v>0</v>
      </c>
    </row>
    <row r="456" spans="1:19">
      <c r="A456" s="150"/>
      <c r="B456" s="54"/>
      <c r="C456" s="21">
        <f t="shared" si="74"/>
        <v>1</v>
      </c>
      <c r="D456" s="666"/>
      <c r="E456" s="21">
        <f t="shared" si="75"/>
        <v>1</v>
      </c>
      <c r="F456" s="666"/>
      <c r="G456" s="21">
        <f t="shared" si="76"/>
        <v>1</v>
      </c>
      <c r="H456" s="666"/>
      <c r="I456" s="21">
        <f t="shared" si="77"/>
        <v>1</v>
      </c>
      <c r="J456" s="666"/>
      <c r="K456" s="21">
        <f t="shared" si="78"/>
        <v>1</v>
      </c>
      <c r="L456" s="666"/>
      <c r="M456" s="21">
        <f t="shared" si="79"/>
        <v>1</v>
      </c>
      <c r="N456" s="666"/>
      <c r="O456" s="21">
        <f t="shared" si="80"/>
        <v>1</v>
      </c>
      <c r="P456" s="666"/>
      <c r="Q456" s="21">
        <f t="shared" si="81"/>
        <v>0</v>
      </c>
      <c r="R456" s="662">
        <f t="shared" si="82"/>
        <v>0</v>
      </c>
      <c r="S456" s="316">
        <f t="shared" si="83"/>
        <v>0</v>
      </c>
    </row>
    <row r="457" spans="1:19">
      <c r="A457" s="150"/>
      <c r="B457" s="54"/>
      <c r="C457" s="21">
        <f t="shared" si="74"/>
        <v>1</v>
      </c>
      <c r="D457" s="666"/>
      <c r="E457" s="21">
        <f t="shared" si="75"/>
        <v>1</v>
      </c>
      <c r="F457" s="666"/>
      <c r="G457" s="21">
        <f t="shared" si="76"/>
        <v>1</v>
      </c>
      <c r="H457" s="666"/>
      <c r="I457" s="21">
        <f t="shared" si="77"/>
        <v>1</v>
      </c>
      <c r="J457" s="666"/>
      <c r="K457" s="21">
        <f t="shared" si="78"/>
        <v>1</v>
      </c>
      <c r="L457" s="666"/>
      <c r="M457" s="21">
        <f t="shared" si="79"/>
        <v>1</v>
      </c>
      <c r="N457" s="666"/>
      <c r="O457" s="21">
        <f t="shared" si="80"/>
        <v>1</v>
      </c>
      <c r="P457" s="666"/>
      <c r="Q457" s="21">
        <f t="shared" si="81"/>
        <v>0</v>
      </c>
      <c r="R457" s="662">
        <f t="shared" si="82"/>
        <v>0</v>
      </c>
      <c r="S457" s="316">
        <f t="shared" si="83"/>
        <v>0</v>
      </c>
    </row>
    <row r="458" spans="1:19">
      <c r="A458" s="150"/>
      <c r="B458" s="54"/>
      <c r="C458" s="21">
        <f t="shared" si="74"/>
        <v>1</v>
      </c>
      <c r="D458" s="666"/>
      <c r="E458" s="21">
        <f t="shared" si="75"/>
        <v>1</v>
      </c>
      <c r="F458" s="666"/>
      <c r="G458" s="21">
        <f t="shared" si="76"/>
        <v>1</v>
      </c>
      <c r="H458" s="666"/>
      <c r="I458" s="21">
        <f t="shared" si="77"/>
        <v>1</v>
      </c>
      <c r="J458" s="666"/>
      <c r="K458" s="21">
        <f t="shared" si="78"/>
        <v>1</v>
      </c>
      <c r="L458" s="666"/>
      <c r="M458" s="21">
        <f t="shared" si="79"/>
        <v>1</v>
      </c>
      <c r="N458" s="666"/>
      <c r="O458" s="21">
        <f t="shared" si="80"/>
        <v>1</v>
      </c>
      <c r="P458" s="666"/>
      <c r="Q458" s="21">
        <f t="shared" si="81"/>
        <v>0</v>
      </c>
      <c r="R458" s="662">
        <f t="shared" si="82"/>
        <v>0</v>
      </c>
      <c r="S458" s="316">
        <f t="shared" si="83"/>
        <v>0</v>
      </c>
    </row>
    <row r="459" spans="1:19">
      <c r="A459" s="150"/>
      <c r="B459" s="54"/>
      <c r="C459" s="21">
        <f t="shared" si="74"/>
        <v>1</v>
      </c>
      <c r="D459" s="666"/>
      <c r="E459" s="21">
        <f t="shared" si="75"/>
        <v>1</v>
      </c>
      <c r="F459" s="666"/>
      <c r="G459" s="21">
        <f t="shared" si="76"/>
        <v>1</v>
      </c>
      <c r="H459" s="666"/>
      <c r="I459" s="21">
        <f t="shared" si="77"/>
        <v>1</v>
      </c>
      <c r="J459" s="666"/>
      <c r="K459" s="21">
        <f t="shared" si="78"/>
        <v>1</v>
      </c>
      <c r="L459" s="666"/>
      <c r="M459" s="21">
        <f t="shared" si="79"/>
        <v>1</v>
      </c>
      <c r="N459" s="666"/>
      <c r="O459" s="21">
        <f t="shared" si="80"/>
        <v>1</v>
      </c>
      <c r="P459" s="666"/>
      <c r="Q459" s="21">
        <f t="shared" si="81"/>
        <v>0</v>
      </c>
      <c r="R459" s="662">
        <f t="shared" si="82"/>
        <v>0</v>
      </c>
      <c r="S459" s="316">
        <f t="shared" si="83"/>
        <v>0</v>
      </c>
    </row>
    <row r="460" spans="1:19">
      <c r="A460" s="150"/>
      <c r="B460" s="54"/>
      <c r="C460" s="21">
        <f t="shared" si="74"/>
        <v>1</v>
      </c>
      <c r="D460" s="666"/>
      <c r="E460" s="21">
        <f t="shared" si="75"/>
        <v>1</v>
      </c>
      <c r="F460" s="666"/>
      <c r="G460" s="21">
        <f t="shared" si="76"/>
        <v>1</v>
      </c>
      <c r="H460" s="666"/>
      <c r="I460" s="21">
        <f t="shared" si="77"/>
        <v>1</v>
      </c>
      <c r="J460" s="666"/>
      <c r="K460" s="21">
        <f t="shared" si="78"/>
        <v>1</v>
      </c>
      <c r="L460" s="666"/>
      <c r="M460" s="21">
        <f t="shared" si="79"/>
        <v>1</v>
      </c>
      <c r="N460" s="666"/>
      <c r="O460" s="21">
        <f t="shared" si="80"/>
        <v>1</v>
      </c>
      <c r="P460" s="666"/>
      <c r="Q460" s="21">
        <f t="shared" si="81"/>
        <v>0</v>
      </c>
      <c r="R460" s="662">
        <f t="shared" si="82"/>
        <v>0</v>
      </c>
      <c r="S460" s="316">
        <f t="shared" si="83"/>
        <v>0</v>
      </c>
    </row>
    <row r="461" spans="1:19">
      <c r="A461" s="150"/>
      <c r="B461" s="54"/>
      <c r="C461" s="21">
        <f t="shared" si="74"/>
        <v>1</v>
      </c>
      <c r="D461" s="666"/>
      <c r="E461" s="21">
        <f t="shared" si="75"/>
        <v>1</v>
      </c>
      <c r="F461" s="666"/>
      <c r="G461" s="21">
        <f t="shared" si="76"/>
        <v>1</v>
      </c>
      <c r="H461" s="666"/>
      <c r="I461" s="21">
        <f t="shared" si="77"/>
        <v>1</v>
      </c>
      <c r="J461" s="666"/>
      <c r="K461" s="21">
        <f t="shared" si="78"/>
        <v>1</v>
      </c>
      <c r="L461" s="666"/>
      <c r="M461" s="21">
        <f t="shared" si="79"/>
        <v>1</v>
      </c>
      <c r="N461" s="666"/>
      <c r="O461" s="21">
        <f t="shared" si="80"/>
        <v>1</v>
      </c>
      <c r="P461" s="666"/>
      <c r="Q461" s="21">
        <f t="shared" si="81"/>
        <v>0</v>
      </c>
      <c r="R461" s="662">
        <f t="shared" si="82"/>
        <v>0</v>
      </c>
      <c r="S461" s="316">
        <f t="shared" si="83"/>
        <v>0</v>
      </c>
    </row>
    <row r="462" spans="1:19">
      <c r="A462" s="150"/>
      <c r="B462" s="54"/>
      <c r="C462" s="21">
        <f t="shared" si="74"/>
        <v>1</v>
      </c>
      <c r="D462" s="666"/>
      <c r="E462" s="21">
        <f t="shared" si="75"/>
        <v>1</v>
      </c>
      <c r="F462" s="666"/>
      <c r="G462" s="21">
        <f t="shared" si="76"/>
        <v>1</v>
      </c>
      <c r="H462" s="666"/>
      <c r="I462" s="21">
        <f t="shared" si="77"/>
        <v>1</v>
      </c>
      <c r="J462" s="666"/>
      <c r="K462" s="21">
        <f t="shared" si="78"/>
        <v>1</v>
      </c>
      <c r="L462" s="666"/>
      <c r="M462" s="21">
        <f t="shared" si="79"/>
        <v>1</v>
      </c>
      <c r="N462" s="666"/>
      <c r="O462" s="21">
        <f t="shared" si="80"/>
        <v>1</v>
      </c>
      <c r="P462" s="666"/>
      <c r="Q462" s="21">
        <f t="shared" si="81"/>
        <v>0</v>
      </c>
      <c r="R462" s="662">
        <f t="shared" si="82"/>
        <v>0</v>
      </c>
      <c r="S462" s="316">
        <f t="shared" si="83"/>
        <v>0</v>
      </c>
    </row>
    <row r="463" spans="1:19">
      <c r="A463" s="150"/>
      <c r="B463" s="54"/>
      <c r="C463" s="21">
        <f t="shared" si="74"/>
        <v>1</v>
      </c>
      <c r="D463" s="666"/>
      <c r="E463" s="21">
        <f t="shared" si="75"/>
        <v>1</v>
      </c>
      <c r="F463" s="666"/>
      <c r="G463" s="21">
        <f t="shared" si="76"/>
        <v>1</v>
      </c>
      <c r="H463" s="666"/>
      <c r="I463" s="21">
        <f t="shared" si="77"/>
        <v>1</v>
      </c>
      <c r="J463" s="666"/>
      <c r="K463" s="21">
        <f t="shared" si="78"/>
        <v>1</v>
      </c>
      <c r="L463" s="666"/>
      <c r="M463" s="21">
        <f t="shared" si="79"/>
        <v>1</v>
      </c>
      <c r="N463" s="666"/>
      <c r="O463" s="21">
        <f t="shared" si="80"/>
        <v>1</v>
      </c>
      <c r="P463" s="666"/>
      <c r="Q463" s="21">
        <f t="shared" si="81"/>
        <v>0</v>
      </c>
      <c r="R463" s="662">
        <f t="shared" si="82"/>
        <v>0</v>
      </c>
      <c r="S463" s="316">
        <f t="shared" si="83"/>
        <v>0</v>
      </c>
    </row>
    <row r="464" spans="1:19">
      <c r="A464" s="150"/>
      <c r="B464" s="54"/>
      <c r="C464" s="21">
        <f t="shared" si="74"/>
        <v>1</v>
      </c>
      <c r="D464" s="666"/>
      <c r="E464" s="21">
        <f t="shared" si="75"/>
        <v>1</v>
      </c>
      <c r="F464" s="666"/>
      <c r="G464" s="21">
        <f t="shared" si="76"/>
        <v>1</v>
      </c>
      <c r="H464" s="666"/>
      <c r="I464" s="21">
        <f t="shared" si="77"/>
        <v>1</v>
      </c>
      <c r="J464" s="666"/>
      <c r="K464" s="21">
        <f t="shared" si="78"/>
        <v>1</v>
      </c>
      <c r="L464" s="666"/>
      <c r="M464" s="21">
        <f t="shared" si="79"/>
        <v>1</v>
      </c>
      <c r="N464" s="666"/>
      <c r="O464" s="21">
        <f t="shared" si="80"/>
        <v>1</v>
      </c>
      <c r="P464" s="666"/>
      <c r="Q464" s="21">
        <f t="shared" si="81"/>
        <v>0</v>
      </c>
      <c r="R464" s="662">
        <f t="shared" si="82"/>
        <v>0</v>
      </c>
      <c r="S464" s="316">
        <f t="shared" si="83"/>
        <v>0</v>
      </c>
    </row>
    <row r="465" spans="1:19">
      <c r="A465" s="150"/>
      <c r="B465" s="54"/>
      <c r="C465" s="21">
        <f t="shared" si="74"/>
        <v>1</v>
      </c>
      <c r="D465" s="666"/>
      <c r="E465" s="21">
        <f t="shared" si="75"/>
        <v>1</v>
      </c>
      <c r="F465" s="666"/>
      <c r="G465" s="21">
        <f t="shared" si="76"/>
        <v>1</v>
      </c>
      <c r="H465" s="666"/>
      <c r="I465" s="21">
        <f t="shared" si="77"/>
        <v>1</v>
      </c>
      <c r="J465" s="666"/>
      <c r="K465" s="21">
        <f t="shared" si="78"/>
        <v>1</v>
      </c>
      <c r="L465" s="666"/>
      <c r="M465" s="21">
        <f t="shared" si="79"/>
        <v>1</v>
      </c>
      <c r="N465" s="666"/>
      <c r="O465" s="21">
        <f t="shared" si="80"/>
        <v>1</v>
      </c>
      <c r="P465" s="666"/>
      <c r="Q465" s="21">
        <f t="shared" si="81"/>
        <v>0</v>
      </c>
      <c r="R465" s="662">
        <f t="shared" si="82"/>
        <v>0</v>
      </c>
      <c r="S465" s="316">
        <f t="shared" si="83"/>
        <v>0</v>
      </c>
    </row>
    <row r="466" spans="1:19">
      <c r="A466" s="150"/>
      <c r="B466" s="54"/>
      <c r="C466" s="21">
        <f t="shared" si="74"/>
        <v>1</v>
      </c>
      <c r="D466" s="666"/>
      <c r="E466" s="21">
        <f t="shared" si="75"/>
        <v>1</v>
      </c>
      <c r="F466" s="666"/>
      <c r="G466" s="21">
        <f t="shared" si="76"/>
        <v>1</v>
      </c>
      <c r="H466" s="666"/>
      <c r="I466" s="21">
        <f t="shared" si="77"/>
        <v>1</v>
      </c>
      <c r="J466" s="666"/>
      <c r="K466" s="21">
        <f t="shared" si="78"/>
        <v>1</v>
      </c>
      <c r="L466" s="666"/>
      <c r="M466" s="21">
        <f t="shared" si="79"/>
        <v>1</v>
      </c>
      <c r="N466" s="666"/>
      <c r="O466" s="21">
        <f t="shared" si="80"/>
        <v>1</v>
      </c>
      <c r="P466" s="666"/>
      <c r="Q466" s="21">
        <f t="shared" si="81"/>
        <v>0</v>
      </c>
      <c r="R466" s="662">
        <f t="shared" si="82"/>
        <v>0</v>
      </c>
      <c r="S466" s="316">
        <f t="shared" si="83"/>
        <v>0</v>
      </c>
    </row>
    <row r="467" spans="1:19">
      <c r="A467" s="150"/>
      <c r="B467" s="54"/>
      <c r="C467" s="21">
        <f t="shared" si="74"/>
        <v>1</v>
      </c>
      <c r="D467" s="666"/>
      <c r="E467" s="21">
        <f t="shared" si="75"/>
        <v>1</v>
      </c>
      <c r="F467" s="666"/>
      <c r="G467" s="21">
        <f t="shared" si="76"/>
        <v>1</v>
      </c>
      <c r="H467" s="666"/>
      <c r="I467" s="21">
        <f t="shared" si="77"/>
        <v>1</v>
      </c>
      <c r="J467" s="666"/>
      <c r="K467" s="21">
        <f t="shared" si="78"/>
        <v>1</v>
      </c>
      <c r="L467" s="666"/>
      <c r="M467" s="21">
        <f t="shared" si="79"/>
        <v>1</v>
      </c>
      <c r="N467" s="666"/>
      <c r="O467" s="21">
        <f t="shared" si="80"/>
        <v>1</v>
      </c>
      <c r="P467" s="666"/>
      <c r="Q467" s="21">
        <f t="shared" si="81"/>
        <v>0</v>
      </c>
      <c r="R467" s="662">
        <f t="shared" si="82"/>
        <v>0</v>
      </c>
      <c r="S467" s="316">
        <f t="shared" si="83"/>
        <v>0</v>
      </c>
    </row>
    <row r="468" spans="1:19">
      <c r="A468" s="150"/>
      <c r="B468" s="54"/>
      <c r="C468" s="21">
        <f t="shared" si="74"/>
        <v>1</v>
      </c>
      <c r="D468" s="666"/>
      <c r="E468" s="21">
        <f t="shared" si="75"/>
        <v>1</v>
      </c>
      <c r="F468" s="666"/>
      <c r="G468" s="21">
        <f t="shared" si="76"/>
        <v>1</v>
      </c>
      <c r="H468" s="666"/>
      <c r="I468" s="21">
        <f t="shared" si="77"/>
        <v>1</v>
      </c>
      <c r="J468" s="666"/>
      <c r="K468" s="21">
        <f t="shared" si="78"/>
        <v>1</v>
      </c>
      <c r="L468" s="666"/>
      <c r="M468" s="21">
        <f t="shared" si="79"/>
        <v>1</v>
      </c>
      <c r="N468" s="666"/>
      <c r="O468" s="21">
        <f t="shared" si="80"/>
        <v>1</v>
      </c>
      <c r="P468" s="666"/>
      <c r="Q468" s="21">
        <f t="shared" si="81"/>
        <v>0</v>
      </c>
      <c r="R468" s="662">
        <f t="shared" si="82"/>
        <v>0</v>
      </c>
      <c r="S468" s="316">
        <f t="shared" ref="S468:S497" si="84">ROUND(R468*B468/10000,0)</f>
        <v>0</v>
      </c>
    </row>
    <row r="469" spans="1:19">
      <c r="A469" s="150"/>
      <c r="B469" s="54"/>
      <c r="C469" s="21">
        <f t="shared" si="74"/>
        <v>1</v>
      </c>
      <c r="D469" s="666"/>
      <c r="E469" s="21">
        <f t="shared" si="75"/>
        <v>1</v>
      </c>
      <c r="F469" s="666"/>
      <c r="G469" s="21">
        <f t="shared" si="76"/>
        <v>1</v>
      </c>
      <c r="H469" s="666"/>
      <c r="I469" s="21">
        <f t="shared" si="77"/>
        <v>1</v>
      </c>
      <c r="J469" s="666"/>
      <c r="K469" s="21">
        <f t="shared" si="78"/>
        <v>1</v>
      </c>
      <c r="L469" s="666"/>
      <c r="M469" s="21">
        <f t="shared" si="79"/>
        <v>1</v>
      </c>
      <c r="N469" s="666"/>
      <c r="O469" s="21">
        <f t="shared" si="80"/>
        <v>1</v>
      </c>
      <c r="P469" s="666"/>
      <c r="Q469" s="21">
        <f t="shared" si="81"/>
        <v>0</v>
      </c>
      <c r="R469" s="662">
        <f t="shared" si="82"/>
        <v>0</v>
      </c>
      <c r="S469" s="316">
        <f t="shared" si="84"/>
        <v>0</v>
      </c>
    </row>
    <row r="470" spans="1:19">
      <c r="A470" s="150"/>
      <c r="B470" s="54"/>
      <c r="C470" s="21">
        <f t="shared" si="74"/>
        <v>1</v>
      </c>
      <c r="D470" s="666"/>
      <c r="E470" s="21">
        <f t="shared" si="75"/>
        <v>1</v>
      </c>
      <c r="F470" s="666"/>
      <c r="G470" s="21">
        <f t="shared" si="76"/>
        <v>1</v>
      </c>
      <c r="H470" s="666"/>
      <c r="I470" s="21">
        <f t="shared" si="77"/>
        <v>1</v>
      </c>
      <c r="J470" s="666"/>
      <c r="K470" s="21">
        <f t="shared" si="78"/>
        <v>1</v>
      </c>
      <c r="L470" s="666"/>
      <c r="M470" s="21">
        <f t="shared" si="79"/>
        <v>1</v>
      </c>
      <c r="N470" s="666"/>
      <c r="O470" s="21">
        <f t="shared" si="80"/>
        <v>1</v>
      </c>
      <c r="P470" s="666"/>
      <c r="Q470" s="21">
        <f t="shared" si="81"/>
        <v>0</v>
      </c>
      <c r="R470" s="662">
        <f t="shared" si="82"/>
        <v>0</v>
      </c>
      <c r="S470" s="316">
        <f t="shared" si="84"/>
        <v>0</v>
      </c>
    </row>
    <row r="471" spans="1:19">
      <c r="A471" s="150"/>
      <c r="B471" s="54"/>
      <c r="C471" s="21">
        <f t="shared" si="74"/>
        <v>1</v>
      </c>
      <c r="D471" s="666"/>
      <c r="E471" s="21">
        <f t="shared" si="75"/>
        <v>1</v>
      </c>
      <c r="F471" s="666"/>
      <c r="G471" s="21">
        <f t="shared" si="76"/>
        <v>1</v>
      </c>
      <c r="H471" s="666"/>
      <c r="I471" s="21">
        <f t="shared" si="77"/>
        <v>1</v>
      </c>
      <c r="J471" s="666"/>
      <c r="K471" s="21">
        <f t="shared" si="78"/>
        <v>1</v>
      </c>
      <c r="L471" s="666"/>
      <c r="M471" s="21">
        <f t="shared" si="79"/>
        <v>1</v>
      </c>
      <c r="N471" s="666"/>
      <c r="O471" s="21">
        <f t="shared" si="80"/>
        <v>1</v>
      </c>
      <c r="P471" s="666"/>
      <c r="Q471" s="21">
        <f t="shared" si="81"/>
        <v>0</v>
      </c>
      <c r="R471" s="662">
        <f t="shared" si="82"/>
        <v>0</v>
      </c>
      <c r="S471" s="316">
        <f t="shared" si="84"/>
        <v>0</v>
      </c>
    </row>
    <row r="472" spans="1:19">
      <c r="A472" s="150"/>
      <c r="B472" s="54"/>
      <c r="C472" s="21">
        <f t="shared" si="74"/>
        <v>1</v>
      </c>
      <c r="D472" s="666"/>
      <c r="E472" s="21">
        <f t="shared" si="75"/>
        <v>1</v>
      </c>
      <c r="F472" s="666"/>
      <c r="G472" s="21">
        <f t="shared" si="76"/>
        <v>1</v>
      </c>
      <c r="H472" s="666"/>
      <c r="I472" s="21">
        <f t="shared" si="77"/>
        <v>1</v>
      </c>
      <c r="J472" s="666"/>
      <c r="K472" s="21">
        <f t="shared" si="78"/>
        <v>1</v>
      </c>
      <c r="L472" s="666"/>
      <c r="M472" s="21">
        <f t="shared" si="79"/>
        <v>1</v>
      </c>
      <c r="N472" s="666"/>
      <c r="O472" s="21">
        <f t="shared" si="80"/>
        <v>1</v>
      </c>
      <c r="P472" s="666"/>
      <c r="Q472" s="21">
        <f t="shared" si="81"/>
        <v>0</v>
      </c>
      <c r="R472" s="662">
        <f t="shared" si="82"/>
        <v>0</v>
      </c>
      <c r="S472" s="316">
        <f t="shared" si="84"/>
        <v>0</v>
      </c>
    </row>
    <row r="473" spans="1:19">
      <c r="A473" s="150"/>
      <c r="B473" s="54"/>
      <c r="C473" s="21">
        <f t="shared" si="74"/>
        <v>1</v>
      </c>
      <c r="D473" s="666"/>
      <c r="E473" s="21">
        <f t="shared" si="75"/>
        <v>1</v>
      </c>
      <c r="F473" s="666"/>
      <c r="G473" s="21">
        <f t="shared" si="76"/>
        <v>1</v>
      </c>
      <c r="H473" s="666"/>
      <c r="I473" s="21">
        <f t="shared" si="77"/>
        <v>1</v>
      </c>
      <c r="J473" s="666"/>
      <c r="K473" s="21">
        <f t="shared" si="78"/>
        <v>1</v>
      </c>
      <c r="L473" s="666"/>
      <c r="M473" s="21">
        <f t="shared" si="79"/>
        <v>1</v>
      </c>
      <c r="N473" s="666"/>
      <c r="O473" s="21">
        <f t="shared" si="80"/>
        <v>1</v>
      </c>
      <c r="P473" s="666"/>
      <c r="Q473" s="21">
        <f t="shared" si="81"/>
        <v>0</v>
      </c>
      <c r="R473" s="662">
        <f t="shared" si="82"/>
        <v>0</v>
      </c>
      <c r="S473" s="316">
        <f t="shared" si="84"/>
        <v>0</v>
      </c>
    </row>
    <row r="474" spans="1:19">
      <c r="A474" s="150"/>
      <c r="B474" s="54"/>
      <c r="C474" s="21">
        <f t="shared" ref="C474:C524" si="85">IF(B474="",1,(LOOKUP(B474,$3:$3,$4:$4)-LOOKUP($B$24,$3:$3,$4:$4)+100)/100)</f>
        <v>1</v>
      </c>
      <c r="D474" s="666"/>
      <c r="E474" s="21">
        <f t="shared" ref="E474:E524" si="86">(SUMIF($5:$5,D474,$6:$6)-SUMIF($5:$5,$D$24,$6:$6)+100)/100</f>
        <v>1</v>
      </c>
      <c r="F474" s="666"/>
      <c r="G474" s="21">
        <f t="shared" ref="G474:G524" si="87">(SUMIF($7:$7,F474,$8:$8)-SUMIF($7:$7,$F$24,$8:$8)+100)/100</f>
        <v>1</v>
      </c>
      <c r="H474" s="666"/>
      <c r="I474" s="21">
        <f t="shared" ref="I474:I524" si="88">(SUMIF($9:$9,H474,$10:$10)-SUMIF($9:$9,$H$24,$10:$10)+100)/100</f>
        <v>1</v>
      </c>
      <c r="J474" s="666"/>
      <c r="K474" s="21">
        <f t="shared" ref="K474:K524" si="89">(SUMIF($11:$11,J474,$12:$12)-SUMIF($11:$11,$J$24,$12:$12)+100)/100</f>
        <v>1</v>
      </c>
      <c r="L474" s="666"/>
      <c r="M474" s="21">
        <f t="shared" ref="M474:M524" si="90">(SUMIF($13:$13,L474,$14:$14)-SUMIF($13:$13,$L$24,$14:$14)+100)/100</f>
        <v>1</v>
      </c>
      <c r="N474" s="666"/>
      <c r="O474" s="21">
        <f t="shared" ref="O474:O524" si="91">(SUMIF($15:$15,N474,$16:$16)-SUMIF($15:$15,$N$24,$16:$16)+100)/100</f>
        <v>1</v>
      </c>
      <c r="P474" s="666"/>
      <c r="Q474" s="21">
        <f t="shared" ref="Q474:Q524" si="92">(SUMIF($17:$17,P474,$18:$18)-SUMIF($17:$17,$P$24,$18:$18)+100)/100</f>
        <v>0</v>
      </c>
      <c r="R474" s="662">
        <f t="shared" ref="R474:R524" si="93">IF(B474="",0,ROUND($R$24*C474*E474*G474*I474*K474*M474*O474*Q474,0))</f>
        <v>0</v>
      </c>
      <c r="S474" s="316">
        <f t="shared" si="84"/>
        <v>0</v>
      </c>
    </row>
    <row r="475" spans="1:19">
      <c r="A475" s="150"/>
      <c r="B475" s="54"/>
      <c r="C475" s="21">
        <f t="shared" si="85"/>
        <v>1</v>
      </c>
      <c r="D475" s="666"/>
      <c r="E475" s="21">
        <f t="shared" si="86"/>
        <v>1</v>
      </c>
      <c r="F475" s="666"/>
      <c r="G475" s="21">
        <f t="shared" si="87"/>
        <v>1</v>
      </c>
      <c r="H475" s="666"/>
      <c r="I475" s="21">
        <f t="shared" si="88"/>
        <v>1</v>
      </c>
      <c r="J475" s="666"/>
      <c r="K475" s="21">
        <f t="shared" si="89"/>
        <v>1</v>
      </c>
      <c r="L475" s="666"/>
      <c r="M475" s="21">
        <f t="shared" si="90"/>
        <v>1</v>
      </c>
      <c r="N475" s="666"/>
      <c r="O475" s="21">
        <f t="shared" si="91"/>
        <v>1</v>
      </c>
      <c r="P475" s="666"/>
      <c r="Q475" s="21">
        <f t="shared" si="92"/>
        <v>0</v>
      </c>
      <c r="R475" s="662">
        <f t="shared" si="93"/>
        <v>0</v>
      </c>
      <c r="S475" s="316">
        <f t="shared" si="84"/>
        <v>0</v>
      </c>
    </row>
    <row r="476" spans="1:19">
      <c r="A476" s="150"/>
      <c r="B476" s="54"/>
      <c r="C476" s="21">
        <f t="shared" si="85"/>
        <v>1</v>
      </c>
      <c r="D476" s="666"/>
      <c r="E476" s="21">
        <f t="shared" si="86"/>
        <v>1</v>
      </c>
      <c r="F476" s="666"/>
      <c r="G476" s="21">
        <f t="shared" si="87"/>
        <v>1</v>
      </c>
      <c r="H476" s="666"/>
      <c r="I476" s="21">
        <f t="shared" si="88"/>
        <v>1</v>
      </c>
      <c r="J476" s="666"/>
      <c r="K476" s="21">
        <f t="shared" si="89"/>
        <v>1</v>
      </c>
      <c r="L476" s="666"/>
      <c r="M476" s="21">
        <f t="shared" si="90"/>
        <v>1</v>
      </c>
      <c r="N476" s="666"/>
      <c r="O476" s="21">
        <f t="shared" si="91"/>
        <v>1</v>
      </c>
      <c r="P476" s="666"/>
      <c r="Q476" s="21">
        <f t="shared" si="92"/>
        <v>0</v>
      </c>
      <c r="R476" s="662">
        <f t="shared" si="93"/>
        <v>0</v>
      </c>
      <c r="S476" s="316">
        <f t="shared" si="84"/>
        <v>0</v>
      </c>
    </row>
    <row r="477" spans="1:19">
      <c r="A477" s="150"/>
      <c r="B477" s="54"/>
      <c r="C477" s="21">
        <f t="shared" si="85"/>
        <v>1</v>
      </c>
      <c r="D477" s="666"/>
      <c r="E477" s="21">
        <f t="shared" si="86"/>
        <v>1</v>
      </c>
      <c r="F477" s="666"/>
      <c r="G477" s="21">
        <f t="shared" si="87"/>
        <v>1</v>
      </c>
      <c r="H477" s="666"/>
      <c r="I477" s="21">
        <f t="shared" si="88"/>
        <v>1</v>
      </c>
      <c r="J477" s="666"/>
      <c r="K477" s="21">
        <f t="shared" si="89"/>
        <v>1</v>
      </c>
      <c r="L477" s="666"/>
      <c r="M477" s="21">
        <f t="shared" si="90"/>
        <v>1</v>
      </c>
      <c r="N477" s="666"/>
      <c r="O477" s="21">
        <f t="shared" si="91"/>
        <v>1</v>
      </c>
      <c r="P477" s="666"/>
      <c r="Q477" s="21">
        <f t="shared" si="92"/>
        <v>0</v>
      </c>
      <c r="R477" s="662">
        <f t="shared" si="93"/>
        <v>0</v>
      </c>
      <c r="S477" s="316">
        <f t="shared" si="84"/>
        <v>0</v>
      </c>
    </row>
    <row r="478" spans="1:19">
      <c r="A478" s="150"/>
      <c r="B478" s="54"/>
      <c r="C478" s="21">
        <f t="shared" si="85"/>
        <v>1</v>
      </c>
      <c r="D478" s="666"/>
      <c r="E478" s="21">
        <f t="shared" si="86"/>
        <v>1</v>
      </c>
      <c r="F478" s="666"/>
      <c r="G478" s="21">
        <f t="shared" si="87"/>
        <v>1</v>
      </c>
      <c r="H478" s="666"/>
      <c r="I478" s="21">
        <f t="shared" si="88"/>
        <v>1</v>
      </c>
      <c r="J478" s="666"/>
      <c r="K478" s="21">
        <f t="shared" si="89"/>
        <v>1</v>
      </c>
      <c r="L478" s="666"/>
      <c r="M478" s="21">
        <f t="shared" si="90"/>
        <v>1</v>
      </c>
      <c r="N478" s="666"/>
      <c r="O478" s="21">
        <f t="shared" si="91"/>
        <v>1</v>
      </c>
      <c r="P478" s="666"/>
      <c r="Q478" s="21">
        <f t="shared" si="92"/>
        <v>0</v>
      </c>
      <c r="R478" s="662">
        <f t="shared" si="93"/>
        <v>0</v>
      </c>
      <c r="S478" s="316">
        <f t="shared" si="84"/>
        <v>0</v>
      </c>
    </row>
    <row r="479" spans="1:19">
      <c r="A479" s="150"/>
      <c r="B479" s="54"/>
      <c r="C479" s="21">
        <f t="shared" si="85"/>
        <v>1</v>
      </c>
      <c r="D479" s="666"/>
      <c r="E479" s="21">
        <f t="shared" si="86"/>
        <v>1</v>
      </c>
      <c r="F479" s="666"/>
      <c r="G479" s="21">
        <f t="shared" si="87"/>
        <v>1</v>
      </c>
      <c r="H479" s="666"/>
      <c r="I479" s="21">
        <f t="shared" si="88"/>
        <v>1</v>
      </c>
      <c r="J479" s="666"/>
      <c r="K479" s="21">
        <f t="shared" si="89"/>
        <v>1</v>
      </c>
      <c r="L479" s="666"/>
      <c r="M479" s="21">
        <f t="shared" si="90"/>
        <v>1</v>
      </c>
      <c r="N479" s="666"/>
      <c r="O479" s="21">
        <f t="shared" si="91"/>
        <v>1</v>
      </c>
      <c r="P479" s="666"/>
      <c r="Q479" s="21">
        <f t="shared" si="92"/>
        <v>0</v>
      </c>
      <c r="R479" s="662">
        <f t="shared" si="93"/>
        <v>0</v>
      </c>
      <c r="S479" s="316">
        <f t="shared" si="84"/>
        <v>0</v>
      </c>
    </row>
    <row r="480" spans="1:19">
      <c r="A480" s="150"/>
      <c r="B480" s="54"/>
      <c r="C480" s="21">
        <f t="shared" si="85"/>
        <v>1</v>
      </c>
      <c r="D480" s="666"/>
      <c r="E480" s="21">
        <f t="shared" si="86"/>
        <v>1</v>
      </c>
      <c r="F480" s="666"/>
      <c r="G480" s="21">
        <f t="shared" si="87"/>
        <v>1</v>
      </c>
      <c r="H480" s="666"/>
      <c r="I480" s="21">
        <f t="shared" si="88"/>
        <v>1</v>
      </c>
      <c r="J480" s="666"/>
      <c r="K480" s="21">
        <f t="shared" si="89"/>
        <v>1</v>
      </c>
      <c r="L480" s="666"/>
      <c r="M480" s="21">
        <f t="shared" si="90"/>
        <v>1</v>
      </c>
      <c r="N480" s="666"/>
      <c r="O480" s="21">
        <f t="shared" si="91"/>
        <v>1</v>
      </c>
      <c r="P480" s="666"/>
      <c r="Q480" s="21">
        <f t="shared" si="92"/>
        <v>0</v>
      </c>
      <c r="R480" s="662">
        <f t="shared" si="93"/>
        <v>0</v>
      </c>
      <c r="S480" s="316">
        <f t="shared" si="84"/>
        <v>0</v>
      </c>
    </row>
    <row r="481" spans="1:19">
      <c r="A481" s="150"/>
      <c r="B481" s="54"/>
      <c r="C481" s="21">
        <f t="shared" si="85"/>
        <v>1</v>
      </c>
      <c r="D481" s="666"/>
      <c r="E481" s="21">
        <f t="shared" si="86"/>
        <v>1</v>
      </c>
      <c r="F481" s="666"/>
      <c r="G481" s="21">
        <f t="shared" si="87"/>
        <v>1</v>
      </c>
      <c r="H481" s="666"/>
      <c r="I481" s="21">
        <f t="shared" si="88"/>
        <v>1</v>
      </c>
      <c r="J481" s="666"/>
      <c r="K481" s="21">
        <f t="shared" si="89"/>
        <v>1</v>
      </c>
      <c r="L481" s="666"/>
      <c r="M481" s="21">
        <f t="shared" si="90"/>
        <v>1</v>
      </c>
      <c r="N481" s="666"/>
      <c r="O481" s="21">
        <f t="shared" si="91"/>
        <v>1</v>
      </c>
      <c r="P481" s="666"/>
      <c r="Q481" s="21">
        <f t="shared" si="92"/>
        <v>0</v>
      </c>
      <c r="R481" s="662">
        <f t="shared" si="93"/>
        <v>0</v>
      </c>
      <c r="S481" s="316">
        <f t="shared" si="84"/>
        <v>0</v>
      </c>
    </row>
    <row r="482" spans="1:19">
      <c r="A482" s="150"/>
      <c r="B482" s="54"/>
      <c r="C482" s="21">
        <f t="shared" si="85"/>
        <v>1</v>
      </c>
      <c r="D482" s="666"/>
      <c r="E482" s="21">
        <f t="shared" si="86"/>
        <v>1</v>
      </c>
      <c r="F482" s="666"/>
      <c r="G482" s="21">
        <f t="shared" si="87"/>
        <v>1</v>
      </c>
      <c r="H482" s="666"/>
      <c r="I482" s="21">
        <f t="shared" si="88"/>
        <v>1</v>
      </c>
      <c r="J482" s="666"/>
      <c r="K482" s="21">
        <f t="shared" si="89"/>
        <v>1</v>
      </c>
      <c r="L482" s="666"/>
      <c r="M482" s="21">
        <f t="shared" si="90"/>
        <v>1</v>
      </c>
      <c r="N482" s="666"/>
      <c r="O482" s="21">
        <f t="shared" si="91"/>
        <v>1</v>
      </c>
      <c r="P482" s="666"/>
      <c r="Q482" s="21">
        <f t="shared" si="92"/>
        <v>0</v>
      </c>
      <c r="R482" s="662">
        <f t="shared" si="93"/>
        <v>0</v>
      </c>
      <c r="S482" s="316">
        <f t="shared" si="84"/>
        <v>0</v>
      </c>
    </row>
    <row r="483" spans="1:19">
      <c r="A483" s="150"/>
      <c r="B483" s="54"/>
      <c r="C483" s="21">
        <f t="shared" si="85"/>
        <v>1</v>
      </c>
      <c r="D483" s="666"/>
      <c r="E483" s="21">
        <f t="shared" si="86"/>
        <v>1</v>
      </c>
      <c r="F483" s="666"/>
      <c r="G483" s="21">
        <f t="shared" si="87"/>
        <v>1</v>
      </c>
      <c r="H483" s="666"/>
      <c r="I483" s="21">
        <f t="shared" si="88"/>
        <v>1</v>
      </c>
      <c r="J483" s="666"/>
      <c r="K483" s="21">
        <f t="shared" si="89"/>
        <v>1</v>
      </c>
      <c r="L483" s="666"/>
      <c r="M483" s="21">
        <f t="shared" si="90"/>
        <v>1</v>
      </c>
      <c r="N483" s="666"/>
      <c r="O483" s="21">
        <f t="shared" si="91"/>
        <v>1</v>
      </c>
      <c r="P483" s="666"/>
      <c r="Q483" s="21">
        <f t="shared" si="92"/>
        <v>0</v>
      </c>
      <c r="R483" s="662">
        <f t="shared" si="93"/>
        <v>0</v>
      </c>
      <c r="S483" s="316">
        <f t="shared" si="84"/>
        <v>0</v>
      </c>
    </row>
    <row r="484" spans="1:19">
      <c r="A484" s="150"/>
      <c r="B484" s="54"/>
      <c r="C484" s="21">
        <f t="shared" si="85"/>
        <v>1</v>
      </c>
      <c r="D484" s="666"/>
      <c r="E484" s="21">
        <f t="shared" si="86"/>
        <v>1</v>
      </c>
      <c r="F484" s="666"/>
      <c r="G484" s="21">
        <f t="shared" si="87"/>
        <v>1</v>
      </c>
      <c r="H484" s="666"/>
      <c r="I484" s="21">
        <f t="shared" si="88"/>
        <v>1</v>
      </c>
      <c r="J484" s="666"/>
      <c r="K484" s="21">
        <f t="shared" si="89"/>
        <v>1</v>
      </c>
      <c r="L484" s="666"/>
      <c r="M484" s="21">
        <f t="shared" si="90"/>
        <v>1</v>
      </c>
      <c r="N484" s="666"/>
      <c r="O484" s="21">
        <f t="shared" si="91"/>
        <v>1</v>
      </c>
      <c r="P484" s="666"/>
      <c r="Q484" s="21">
        <f t="shared" si="92"/>
        <v>0</v>
      </c>
      <c r="R484" s="662">
        <f t="shared" si="93"/>
        <v>0</v>
      </c>
      <c r="S484" s="316">
        <f t="shared" si="84"/>
        <v>0</v>
      </c>
    </row>
    <row r="485" spans="1:19">
      <c r="A485" s="150"/>
      <c r="B485" s="54"/>
      <c r="C485" s="21">
        <f t="shared" si="85"/>
        <v>1</v>
      </c>
      <c r="D485" s="666"/>
      <c r="E485" s="21">
        <f t="shared" si="86"/>
        <v>1</v>
      </c>
      <c r="F485" s="666"/>
      <c r="G485" s="21">
        <f t="shared" si="87"/>
        <v>1</v>
      </c>
      <c r="H485" s="666"/>
      <c r="I485" s="21">
        <f t="shared" si="88"/>
        <v>1</v>
      </c>
      <c r="J485" s="666"/>
      <c r="K485" s="21">
        <f t="shared" si="89"/>
        <v>1</v>
      </c>
      <c r="L485" s="666"/>
      <c r="M485" s="21">
        <f t="shared" si="90"/>
        <v>1</v>
      </c>
      <c r="N485" s="666"/>
      <c r="O485" s="21">
        <f t="shared" si="91"/>
        <v>1</v>
      </c>
      <c r="P485" s="666"/>
      <c r="Q485" s="21">
        <f t="shared" si="92"/>
        <v>0</v>
      </c>
      <c r="R485" s="662">
        <f t="shared" si="93"/>
        <v>0</v>
      </c>
      <c r="S485" s="316">
        <f t="shared" si="84"/>
        <v>0</v>
      </c>
    </row>
    <row r="486" spans="1:19">
      <c r="A486" s="150"/>
      <c r="B486" s="54"/>
      <c r="C486" s="21">
        <f t="shared" si="85"/>
        <v>1</v>
      </c>
      <c r="D486" s="666"/>
      <c r="E486" s="21">
        <f t="shared" si="86"/>
        <v>1</v>
      </c>
      <c r="F486" s="666"/>
      <c r="G486" s="21">
        <f t="shared" si="87"/>
        <v>1</v>
      </c>
      <c r="H486" s="666"/>
      <c r="I486" s="21">
        <f t="shared" si="88"/>
        <v>1</v>
      </c>
      <c r="J486" s="666"/>
      <c r="K486" s="21">
        <f t="shared" si="89"/>
        <v>1</v>
      </c>
      <c r="L486" s="666"/>
      <c r="M486" s="21">
        <f t="shared" si="90"/>
        <v>1</v>
      </c>
      <c r="N486" s="666"/>
      <c r="O486" s="21">
        <f t="shared" si="91"/>
        <v>1</v>
      </c>
      <c r="P486" s="666"/>
      <c r="Q486" s="21">
        <f t="shared" si="92"/>
        <v>0</v>
      </c>
      <c r="R486" s="662">
        <f t="shared" si="93"/>
        <v>0</v>
      </c>
      <c r="S486" s="316">
        <f t="shared" si="84"/>
        <v>0</v>
      </c>
    </row>
    <row r="487" spans="1:19">
      <c r="A487" s="150"/>
      <c r="B487" s="54"/>
      <c r="C487" s="21">
        <f t="shared" si="85"/>
        <v>1</v>
      </c>
      <c r="D487" s="666"/>
      <c r="E487" s="21">
        <f t="shared" si="86"/>
        <v>1</v>
      </c>
      <c r="F487" s="666"/>
      <c r="G487" s="21">
        <f t="shared" si="87"/>
        <v>1</v>
      </c>
      <c r="H487" s="666"/>
      <c r="I487" s="21">
        <f t="shared" si="88"/>
        <v>1</v>
      </c>
      <c r="J487" s="666"/>
      <c r="K487" s="21">
        <f t="shared" si="89"/>
        <v>1</v>
      </c>
      <c r="L487" s="666"/>
      <c r="M487" s="21">
        <f t="shared" si="90"/>
        <v>1</v>
      </c>
      <c r="N487" s="666"/>
      <c r="O487" s="21">
        <f t="shared" si="91"/>
        <v>1</v>
      </c>
      <c r="P487" s="666"/>
      <c r="Q487" s="21">
        <f t="shared" si="92"/>
        <v>0</v>
      </c>
      <c r="R487" s="662">
        <f t="shared" si="93"/>
        <v>0</v>
      </c>
      <c r="S487" s="316">
        <f t="shared" si="84"/>
        <v>0</v>
      </c>
    </row>
    <row r="488" spans="1:19">
      <c r="A488" s="150"/>
      <c r="B488" s="54"/>
      <c r="C488" s="21">
        <f t="shared" si="85"/>
        <v>1</v>
      </c>
      <c r="D488" s="666"/>
      <c r="E488" s="21">
        <f t="shared" si="86"/>
        <v>1</v>
      </c>
      <c r="F488" s="666"/>
      <c r="G488" s="21">
        <f t="shared" si="87"/>
        <v>1</v>
      </c>
      <c r="H488" s="666"/>
      <c r="I488" s="21">
        <f t="shared" si="88"/>
        <v>1</v>
      </c>
      <c r="J488" s="666"/>
      <c r="K488" s="21">
        <f t="shared" si="89"/>
        <v>1</v>
      </c>
      <c r="L488" s="666"/>
      <c r="M488" s="21">
        <f t="shared" si="90"/>
        <v>1</v>
      </c>
      <c r="N488" s="666"/>
      <c r="O488" s="21">
        <f t="shared" si="91"/>
        <v>1</v>
      </c>
      <c r="P488" s="666"/>
      <c r="Q488" s="21">
        <f t="shared" si="92"/>
        <v>0</v>
      </c>
      <c r="R488" s="662">
        <f t="shared" si="93"/>
        <v>0</v>
      </c>
      <c r="S488" s="316">
        <f t="shared" si="84"/>
        <v>0</v>
      </c>
    </row>
    <row r="489" spans="1:19">
      <c r="A489" s="150"/>
      <c r="B489" s="54"/>
      <c r="C489" s="21">
        <f t="shared" si="85"/>
        <v>1</v>
      </c>
      <c r="D489" s="666"/>
      <c r="E489" s="21">
        <f t="shared" si="86"/>
        <v>1</v>
      </c>
      <c r="F489" s="666"/>
      <c r="G489" s="21">
        <f t="shared" si="87"/>
        <v>1</v>
      </c>
      <c r="H489" s="666"/>
      <c r="I489" s="21">
        <f t="shared" si="88"/>
        <v>1</v>
      </c>
      <c r="J489" s="666"/>
      <c r="K489" s="21">
        <f t="shared" si="89"/>
        <v>1</v>
      </c>
      <c r="L489" s="666"/>
      <c r="M489" s="21">
        <f t="shared" si="90"/>
        <v>1</v>
      </c>
      <c r="N489" s="666"/>
      <c r="O489" s="21">
        <f t="shared" si="91"/>
        <v>1</v>
      </c>
      <c r="P489" s="666"/>
      <c r="Q489" s="21">
        <f t="shared" si="92"/>
        <v>0</v>
      </c>
      <c r="R489" s="662">
        <f t="shared" si="93"/>
        <v>0</v>
      </c>
      <c r="S489" s="316">
        <f t="shared" si="84"/>
        <v>0</v>
      </c>
    </row>
    <row r="490" spans="1:19">
      <c r="A490" s="150"/>
      <c r="B490" s="54"/>
      <c r="C490" s="21">
        <f t="shared" si="85"/>
        <v>1</v>
      </c>
      <c r="D490" s="666"/>
      <c r="E490" s="21">
        <f t="shared" si="86"/>
        <v>1</v>
      </c>
      <c r="F490" s="666"/>
      <c r="G490" s="21">
        <f t="shared" si="87"/>
        <v>1</v>
      </c>
      <c r="H490" s="666"/>
      <c r="I490" s="21">
        <f t="shared" si="88"/>
        <v>1</v>
      </c>
      <c r="J490" s="666"/>
      <c r="K490" s="21">
        <f t="shared" si="89"/>
        <v>1</v>
      </c>
      <c r="L490" s="666"/>
      <c r="M490" s="21">
        <f t="shared" si="90"/>
        <v>1</v>
      </c>
      <c r="N490" s="666"/>
      <c r="O490" s="21">
        <f t="shared" si="91"/>
        <v>1</v>
      </c>
      <c r="P490" s="666"/>
      <c r="Q490" s="21">
        <f t="shared" si="92"/>
        <v>0</v>
      </c>
      <c r="R490" s="662">
        <f t="shared" si="93"/>
        <v>0</v>
      </c>
      <c r="S490" s="316">
        <f t="shared" si="84"/>
        <v>0</v>
      </c>
    </row>
    <row r="491" spans="1:19">
      <c r="A491" s="150"/>
      <c r="B491" s="54"/>
      <c r="C491" s="21">
        <f t="shared" si="85"/>
        <v>1</v>
      </c>
      <c r="D491" s="666"/>
      <c r="E491" s="21">
        <f t="shared" si="86"/>
        <v>1</v>
      </c>
      <c r="F491" s="666"/>
      <c r="G491" s="21">
        <f t="shared" si="87"/>
        <v>1</v>
      </c>
      <c r="H491" s="666"/>
      <c r="I491" s="21">
        <f t="shared" si="88"/>
        <v>1</v>
      </c>
      <c r="J491" s="666"/>
      <c r="K491" s="21">
        <f t="shared" si="89"/>
        <v>1</v>
      </c>
      <c r="L491" s="666"/>
      <c r="M491" s="21">
        <f t="shared" si="90"/>
        <v>1</v>
      </c>
      <c r="N491" s="666"/>
      <c r="O491" s="21">
        <f t="shared" si="91"/>
        <v>1</v>
      </c>
      <c r="P491" s="666"/>
      <c r="Q491" s="21">
        <f t="shared" si="92"/>
        <v>0</v>
      </c>
      <c r="R491" s="662">
        <f t="shared" si="93"/>
        <v>0</v>
      </c>
      <c r="S491" s="316">
        <f t="shared" si="84"/>
        <v>0</v>
      </c>
    </row>
    <row r="492" spans="1:19">
      <c r="A492" s="150"/>
      <c r="B492" s="54"/>
      <c r="C492" s="21">
        <f t="shared" si="85"/>
        <v>1</v>
      </c>
      <c r="D492" s="666"/>
      <c r="E492" s="21">
        <f t="shared" si="86"/>
        <v>1</v>
      </c>
      <c r="F492" s="666"/>
      <c r="G492" s="21">
        <f t="shared" si="87"/>
        <v>1</v>
      </c>
      <c r="H492" s="666"/>
      <c r="I492" s="21">
        <f t="shared" si="88"/>
        <v>1</v>
      </c>
      <c r="J492" s="666"/>
      <c r="K492" s="21">
        <f t="shared" si="89"/>
        <v>1</v>
      </c>
      <c r="L492" s="666"/>
      <c r="M492" s="21">
        <f t="shared" si="90"/>
        <v>1</v>
      </c>
      <c r="N492" s="666"/>
      <c r="O492" s="21">
        <f t="shared" si="91"/>
        <v>1</v>
      </c>
      <c r="P492" s="666"/>
      <c r="Q492" s="21">
        <f t="shared" si="92"/>
        <v>0</v>
      </c>
      <c r="R492" s="662">
        <f t="shared" si="93"/>
        <v>0</v>
      </c>
      <c r="S492" s="316">
        <f t="shared" si="84"/>
        <v>0</v>
      </c>
    </row>
    <row r="493" spans="1:19">
      <c r="A493" s="150"/>
      <c r="B493" s="54"/>
      <c r="C493" s="21">
        <f t="shared" si="85"/>
        <v>1</v>
      </c>
      <c r="D493" s="666"/>
      <c r="E493" s="21">
        <f t="shared" si="86"/>
        <v>1</v>
      </c>
      <c r="F493" s="666"/>
      <c r="G493" s="21">
        <f t="shared" si="87"/>
        <v>1</v>
      </c>
      <c r="H493" s="666"/>
      <c r="I493" s="21">
        <f t="shared" si="88"/>
        <v>1</v>
      </c>
      <c r="J493" s="666"/>
      <c r="K493" s="21">
        <f t="shared" si="89"/>
        <v>1</v>
      </c>
      <c r="L493" s="666"/>
      <c r="M493" s="21">
        <f t="shared" si="90"/>
        <v>1</v>
      </c>
      <c r="N493" s="666"/>
      <c r="O493" s="21">
        <f t="shared" si="91"/>
        <v>1</v>
      </c>
      <c r="P493" s="666"/>
      <c r="Q493" s="21">
        <f t="shared" si="92"/>
        <v>0</v>
      </c>
      <c r="R493" s="662">
        <f t="shared" si="93"/>
        <v>0</v>
      </c>
      <c r="S493" s="316">
        <f t="shared" si="84"/>
        <v>0</v>
      </c>
    </row>
    <row r="494" spans="1:19">
      <c r="A494" s="150"/>
      <c r="B494" s="54"/>
      <c r="C494" s="21">
        <f t="shared" si="85"/>
        <v>1</v>
      </c>
      <c r="D494" s="666"/>
      <c r="E494" s="21">
        <f t="shared" si="86"/>
        <v>1</v>
      </c>
      <c r="F494" s="666"/>
      <c r="G494" s="21">
        <f t="shared" si="87"/>
        <v>1</v>
      </c>
      <c r="H494" s="666"/>
      <c r="I494" s="21">
        <f t="shared" si="88"/>
        <v>1</v>
      </c>
      <c r="J494" s="666"/>
      <c r="K494" s="21">
        <f t="shared" si="89"/>
        <v>1</v>
      </c>
      <c r="L494" s="666"/>
      <c r="M494" s="21">
        <f t="shared" si="90"/>
        <v>1</v>
      </c>
      <c r="N494" s="666"/>
      <c r="O494" s="21">
        <f t="shared" si="91"/>
        <v>1</v>
      </c>
      <c r="P494" s="666"/>
      <c r="Q494" s="21">
        <f t="shared" si="92"/>
        <v>0</v>
      </c>
      <c r="R494" s="662">
        <f t="shared" si="93"/>
        <v>0</v>
      </c>
      <c r="S494" s="316">
        <f t="shared" si="84"/>
        <v>0</v>
      </c>
    </row>
    <row r="495" spans="1:19">
      <c r="A495" s="150"/>
      <c r="B495" s="54"/>
      <c r="C495" s="21">
        <f t="shared" si="85"/>
        <v>1</v>
      </c>
      <c r="D495" s="666"/>
      <c r="E495" s="21">
        <f t="shared" si="86"/>
        <v>1</v>
      </c>
      <c r="F495" s="666"/>
      <c r="G495" s="21">
        <f t="shared" si="87"/>
        <v>1</v>
      </c>
      <c r="H495" s="666"/>
      <c r="I495" s="21">
        <f t="shared" si="88"/>
        <v>1</v>
      </c>
      <c r="J495" s="666"/>
      <c r="K495" s="21">
        <f t="shared" si="89"/>
        <v>1</v>
      </c>
      <c r="L495" s="666"/>
      <c r="M495" s="21">
        <f t="shared" si="90"/>
        <v>1</v>
      </c>
      <c r="N495" s="666"/>
      <c r="O495" s="21">
        <f t="shared" si="91"/>
        <v>1</v>
      </c>
      <c r="P495" s="666"/>
      <c r="Q495" s="21">
        <f t="shared" si="92"/>
        <v>0</v>
      </c>
      <c r="R495" s="662">
        <f t="shared" si="93"/>
        <v>0</v>
      </c>
      <c r="S495" s="316">
        <f t="shared" si="84"/>
        <v>0</v>
      </c>
    </row>
    <row r="496" spans="1:19">
      <c r="A496" s="150"/>
      <c r="B496" s="54"/>
      <c r="C496" s="21">
        <f t="shared" si="85"/>
        <v>1</v>
      </c>
      <c r="D496" s="666"/>
      <c r="E496" s="21">
        <f t="shared" si="86"/>
        <v>1</v>
      </c>
      <c r="F496" s="666"/>
      <c r="G496" s="21">
        <f t="shared" si="87"/>
        <v>1</v>
      </c>
      <c r="H496" s="666"/>
      <c r="I496" s="21">
        <f t="shared" si="88"/>
        <v>1</v>
      </c>
      <c r="J496" s="666"/>
      <c r="K496" s="21">
        <f t="shared" si="89"/>
        <v>1</v>
      </c>
      <c r="L496" s="666"/>
      <c r="M496" s="21">
        <f t="shared" si="90"/>
        <v>1</v>
      </c>
      <c r="N496" s="666"/>
      <c r="O496" s="21">
        <f t="shared" si="91"/>
        <v>1</v>
      </c>
      <c r="P496" s="666"/>
      <c r="Q496" s="21">
        <f t="shared" si="92"/>
        <v>0</v>
      </c>
      <c r="R496" s="662">
        <f t="shared" si="93"/>
        <v>0</v>
      </c>
      <c r="S496" s="316">
        <f t="shared" si="84"/>
        <v>0</v>
      </c>
    </row>
    <row r="497" spans="1:19">
      <c r="A497" s="150"/>
      <c r="B497" s="54"/>
      <c r="C497" s="21">
        <f t="shared" si="85"/>
        <v>1</v>
      </c>
      <c r="D497" s="666"/>
      <c r="E497" s="21">
        <f t="shared" si="86"/>
        <v>1</v>
      </c>
      <c r="F497" s="666"/>
      <c r="G497" s="21">
        <f t="shared" si="87"/>
        <v>1</v>
      </c>
      <c r="H497" s="666"/>
      <c r="I497" s="21">
        <f t="shared" si="88"/>
        <v>1</v>
      </c>
      <c r="J497" s="666"/>
      <c r="K497" s="21">
        <f t="shared" si="89"/>
        <v>1</v>
      </c>
      <c r="L497" s="666"/>
      <c r="M497" s="21">
        <f t="shared" si="90"/>
        <v>1</v>
      </c>
      <c r="N497" s="666"/>
      <c r="O497" s="21">
        <f t="shared" si="91"/>
        <v>1</v>
      </c>
      <c r="P497" s="666"/>
      <c r="Q497" s="21">
        <f t="shared" si="92"/>
        <v>0</v>
      </c>
      <c r="R497" s="662">
        <f t="shared" si="93"/>
        <v>0</v>
      </c>
      <c r="S497" s="316">
        <f t="shared" si="84"/>
        <v>0</v>
      </c>
    </row>
    <row r="498" spans="1:19">
      <c r="A498" s="150"/>
      <c r="B498" s="54"/>
      <c r="C498" s="21">
        <f t="shared" si="85"/>
        <v>1</v>
      </c>
      <c r="D498" s="666"/>
      <c r="E498" s="21">
        <f t="shared" si="86"/>
        <v>1</v>
      </c>
      <c r="F498" s="666"/>
      <c r="G498" s="21">
        <f t="shared" si="87"/>
        <v>1</v>
      </c>
      <c r="H498" s="666"/>
      <c r="I498" s="21">
        <f t="shared" si="88"/>
        <v>1</v>
      </c>
      <c r="J498" s="666"/>
      <c r="K498" s="21">
        <f t="shared" si="89"/>
        <v>1</v>
      </c>
      <c r="L498" s="666"/>
      <c r="M498" s="21">
        <f t="shared" si="90"/>
        <v>1</v>
      </c>
      <c r="N498" s="666"/>
      <c r="O498" s="21">
        <f t="shared" si="91"/>
        <v>1</v>
      </c>
      <c r="P498" s="666"/>
      <c r="Q498" s="21">
        <f t="shared" si="92"/>
        <v>0</v>
      </c>
      <c r="R498" s="662">
        <f t="shared" si="93"/>
        <v>0</v>
      </c>
      <c r="S498" s="316">
        <f t="shared" ref="S498:S524" si="94">ROUND(R498*B498/10000,0)</f>
        <v>0</v>
      </c>
    </row>
    <row r="499" spans="1:19">
      <c r="A499" s="150"/>
      <c r="B499" s="54"/>
      <c r="C499" s="21">
        <f t="shared" si="85"/>
        <v>1</v>
      </c>
      <c r="D499" s="666"/>
      <c r="E499" s="21">
        <f t="shared" si="86"/>
        <v>1</v>
      </c>
      <c r="F499" s="666"/>
      <c r="G499" s="21">
        <f t="shared" si="87"/>
        <v>1</v>
      </c>
      <c r="H499" s="666"/>
      <c r="I499" s="21">
        <f t="shared" si="88"/>
        <v>1</v>
      </c>
      <c r="J499" s="666"/>
      <c r="K499" s="21">
        <f t="shared" si="89"/>
        <v>1</v>
      </c>
      <c r="L499" s="666"/>
      <c r="M499" s="21">
        <f t="shared" si="90"/>
        <v>1</v>
      </c>
      <c r="N499" s="666"/>
      <c r="O499" s="21">
        <f t="shared" si="91"/>
        <v>1</v>
      </c>
      <c r="P499" s="666"/>
      <c r="Q499" s="21">
        <f t="shared" si="92"/>
        <v>0</v>
      </c>
      <c r="R499" s="662">
        <f t="shared" si="93"/>
        <v>0</v>
      </c>
      <c r="S499" s="316">
        <f t="shared" si="94"/>
        <v>0</v>
      </c>
    </row>
    <row r="500" spans="1:19">
      <c r="A500" s="150"/>
      <c r="B500" s="54"/>
      <c r="C500" s="21">
        <f t="shared" si="85"/>
        <v>1</v>
      </c>
      <c r="D500" s="666"/>
      <c r="E500" s="21">
        <f t="shared" si="86"/>
        <v>1</v>
      </c>
      <c r="F500" s="666"/>
      <c r="G500" s="21">
        <f t="shared" si="87"/>
        <v>1</v>
      </c>
      <c r="H500" s="666"/>
      <c r="I500" s="21">
        <f t="shared" si="88"/>
        <v>1</v>
      </c>
      <c r="J500" s="666"/>
      <c r="K500" s="21">
        <f t="shared" si="89"/>
        <v>1</v>
      </c>
      <c r="L500" s="666"/>
      <c r="M500" s="21">
        <f t="shared" si="90"/>
        <v>1</v>
      </c>
      <c r="N500" s="666"/>
      <c r="O500" s="21">
        <f t="shared" si="91"/>
        <v>1</v>
      </c>
      <c r="P500" s="666"/>
      <c r="Q500" s="21">
        <f t="shared" si="92"/>
        <v>0</v>
      </c>
      <c r="R500" s="662">
        <f t="shared" si="93"/>
        <v>0</v>
      </c>
      <c r="S500" s="316">
        <f t="shared" si="94"/>
        <v>0</v>
      </c>
    </row>
    <row r="501" spans="1:19">
      <c r="A501" s="150"/>
      <c r="B501" s="54"/>
      <c r="C501" s="21">
        <f t="shared" si="85"/>
        <v>1</v>
      </c>
      <c r="D501" s="666"/>
      <c r="E501" s="21">
        <f t="shared" si="86"/>
        <v>1</v>
      </c>
      <c r="F501" s="666"/>
      <c r="G501" s="21">
        <f t="shared" si="87"/>
        <v>1</v>
      </c>
      <c r="H501" s="666"/>
      <c r="I501" s="21">
        <f t="shared" si="88"/>
        <v>1</v>
      </c>
      <c r="J501" s="666"/>
      <c r="K501" s="21">
        <f t="shared" si="89"/>
        <v>1</v>
      </c>
      <c r="L501" s="666"/>
      <c r="M501" s="21">
        <f t="shared" si="90"/>
        <v>1</v>
      </c>
      <c r="N501" s="666"/>
      <c r="O501" s="21">
        <f t="shared" si="91"/>
        <v>1</v>
      </c>
      <c r="P501" s="666"/>
      <c r="Q501" s="21">
        <f t="shared" si="92"/>
        <v>0</v>
      </c>
      <c r="R501" s="662">
        <f t="shared" si="93"/>
        <v>0</v>
      </c>
      <c r="S501" s="316">
        <f t="shared" si="94"/>
        <v>0</v>
      </c>
    </row>
    <row r="502" spans="1:19">
      <c r="A502" s="150"/>
      <c r="B502" s="54"/>
      <c r="C502" s="21">
        <f t="shared" si="85"/>
        <v>1</v>
      </c>
      <c r="D502" s="666"/>
      <c r="E502" s="21">
        <f t="shared" si="86"/>
        <v>1</v>
      </c>
      <c r="F502" s="666"/>
      <c r="G502" s="21">
        <f t="shared" si="87"/>
        <v>1</v>
      </c>
      <c r="H502" s="666"/>
      <c r="I502" s="21">
        <f t="shared" si="88"/>
        <v>1</v>
      </c>
      <c r="J502" s="666"/>
      <c r="K502" s="21">
        <f t="shared" si="89"/>
        <v>1</v>
      </c>
      <c r="L502" s="666"/>
      <c r="M502" s="21">
        <f t="shared" si="90"/>
        <v>1</v>
      </c>
      <c r="N502" s="666"/>
      <c r="O502" s="21">
        <f t="shared" si="91"/>
        <v>1</v>
      </c>
      <c r="P502" s="666"/>
      <c r="Q502" s="21">
        <f t="shared" si="92"/>
        <v>0</v>
      </c>
      <c r="R502" s="662">
        <f t="shared" si="93"/>
        <v>0</v>
      </c>
      <c r="S502" s="316">
        <f t="shared" si="94"/>
        <v>0</v>
      </c>
    </row>
    <row r="503" spans="1:19">
      <c r="A503" s="150"/>
      <c r="B503" s="54"/>
      <c r="C503" s="21">
        <f t="shared" si="85"/>
        <v>1</v>
      </c>
      <c r="D503" s="666"/>
      <c r="E503" s="21">
        <f t="shared" si="86"/>
        <v>1</v>
      </c>
      <c r="F503" s="666"/>
      <c r="G503" s="21">
        <f t="shared" si="87"/>
        <v>1</v>
      </c>
      <c r="H503" s="666"/>
      <c r="I503" s="21">
        <f t="shared" si="88"/>
        <v>1</v>
      </c>
      <c r="J503" s="666"/>
      <c r="K503" s="21">
        <f t="shared" si="89"/>
        <v>1</v>
      </c>
      <c r="L503" s="666"/>
      <c r="M503" s="21">
        <f t="shared" si="90"/>
        <v>1</v>
      </c>
      <c r="N503" s="666"/>
      <c r="O503" s="21">
        <f t="shared" si="91"/>
        <v>1</v>
      </c>
      <c r="P503" s="666"/>
      <c r="Q503" s="21">
        <f t="shared" si="92"/>
        <v>0</v>
      </c>
      <c r="R503" s="662">
        <f t="shared" si="93"/>
        <v>0</v>
      </c>
      <c r="S503" s="316">
        <f t="shared" si="94"/>
        <v>0</v>
      </c>
    </row>
    <row r="504" spans="1:19">
      <c r="A504" s="150"/>
      <c r="B504" s="54"/>
      <c r="C504" s="21">
        <f t="shared" si="85"/>
        <v>1</v>
      </c>
      <c r="D504" s="666"/>
      <c r="E504" s="21">
        <f t="shared" si="86"/>
        <v>1</v>
      </c>
      <c r="F504" s="666"/>
      <c r="G504" s="21">
        <f t="shared" si="87"/>
        <v>1</v>
      </c>
      <c r="H504" s="666"/>
      <c r="I504" s="21">
        <f t="shared" si="88"/>
        <v>1</v>
      </c>
      <c r="J504" s="666"/>
      <c r="K504" s="21">
        <f t="shared" si="89"/>
        <v>1</v>
      </c>
      <c r="L504" s="666"/>
      <c r="M504" s="21">
        <f t="shared" si="90"/>
        <v>1</v>
      </c>
      <c r="N504" s="666"/>
      <c r="O504" s="21">
        <f t="shared" si="91"/>
        <v>1</v>
      </c>
      <c r="P504" s="666"/>
      <c r="Q504" s="21">
        <f t="shared" si="92"/>
        <v>0</v>
      </c>
      <c r="R504" s="662">
        <f t="shared" si="93"/>
        <v>0</v>
      </c>
      <c r="S504" s="316">
        <f t="shared" si="94"/>
        <v>0</v>
      </c>
    </row>
    <row r="505" spans="1:19">
      <c r="A505" s="150"/>
      <c r="B505" s="54"/>
      <c r="C505" s="21">
        <f t="shared" si="85"/>
        <v>1</v>
      </c>
      <c r="D505" s="666"/>
      <c r="E505" s="21">
        <f t="shared" si="86"/>
        <v>1</v>
      </c>
      <c r="F505" s="666"/>
      <c r="G505" s="21">
        <f t="shared" si="87"/>
        <v>1</v>
      </c>
      <c r="H505" s="666"/>
      <c r="I505" s="21">
        <f t="shared" si="88"/>
        <v>1</v>
      </c>
      <c r="J505" s="666"/>
      <c r="K505" s="21">
        <f t="shared" si="89"/>
        <v>1</v>
      </c>
      <c r="L505" s="666"/>
      <c r="M505" s="21">
        <f t="shared" si="90"/>
        <v>1</v>
      </c>
      <c r="N505" s="666"/>
      <c r="O505" s="21">
        <f t="shared" si="91"/>
        <v>1</v>
      </c>
      <c r="P505" s="666"/>
      <c r="Q505" s="21">
        <f t="shared" si="92"/>
        <v>0</v>
      </c>
      <c r="R505" s="662">
        <f t="shared" si="93"/>
        <v>0</v>
      </c>
      <c r="S505" s="316">
        <f t="shared" si="94"/>
        <v>0</v>
      </c>
    </row>
    <row r="506" spans="1:19">
      <c r="A506" s="150"/>
      <c r="B506" s="54"/>
      <c r="C506" s="21">
        <f t="shared" si="85"/>
        <v>1</v>
      </c>
      <c r="D506" s="666"/>
      <c r="E506" s="21">
        <f t="shared" si="86"/>
        <v>1</v>
      </c>
      <c r="F506" s="666"/>
      <c r="G506" s="21">
        <f t="shared" si="87"/>
        <v>1</v>
      </c>
      <c r="H506" s="666"/>
      <c r="I506" s="21">
        <f t="shared" si="88"/>
        <v>1</v>
      </c>
      <c r="J506" s="666"/>
      <c r="K506" s="21">
        <f t="shared" si="89"/>
        <v>1</v>
      </c>
      <c r="L506" s="666"/>
      <c r="M506" s="21">
        <f t="shared" si="90"/>
        <v>1</v>
      </c>
      <c r="N506" s="666"/>
      <c r="O506" s="21">
        <f t="shared" si="91"/>
        <v>1</v>
      </c>
      <c r="P506" s="666"/>
      <c r="Q506" s="21">
        <f t="shared" si="92"/>
        <v>0</v>
      </c>
      <c r="R506" s="662">
        <f t="shared" si="93"/>
        <v>0</v>
      </c>
      <c r="S506" s="316">
        <f t="shared" si="94"/>
        <v>0</v>
      </c>
    </row>
    <row r="507" spans="1:19">
      <c r="A507" s="150"/>
      <c r="B507" s="54"/>
      <c r="C507" s="21">
        <f t="shared" si="85"/>
        <v>1</v>
      </c>
      <c r="D507" s="666"/>
      <c r="E507" s="21">
        <f t="shared" si="86"/>
        <v>1</v>
      </c>
      <c r="F507" s="666"/>
      <c r="G507" s="21">
        <f t="shared" si="87"/>
        <v>1</v>
      </c>
      <c r="H507" s="666"/>
      <c r="I507" s="21">
        <f t="shared" si="88"/>
        <v>1</v>
      </c>
      <c r="J507" s="666"/>
      <c r="K507" s="21">
        <f t="shared" si="89"/>
        <v>1</v>
      </c>
      <c r="L507" s="666"/>
      <c r="M507" s="21">
        <f t="shared" si="90"/>
        <v>1</v>
      </c>
      <c r="N507" s="666"/>
      <c r="O507" s="21">
        <f t="shared" si="91"/>
        <v>1</v>
      </c>
      <c r="P507" s="666"/>
      <c r="Q507" s="21">
        <f t="shared" si="92"/>
        <v>0</v>
      </c>
      <c r="R507" s="662">
        <f t="shared" si="93"/>
        <v>0</v>
      </c>
      <c r="S507" s="316">
        <f t="shared" si="94"/>
        <v>0</v>
      </c>
    </row>
    <row r="508" spans="1:19">
      <c r="A508" s="150"/>
      <c r="B508" s="54"/>
      <c r="C508" s="21">
        <f t="shared" si="85"/>
        <v>1</v>
      </c>
      <c r="D508" s="666"/>
      <c r="E508" s="21">
        <f t="shared" si="86"/>
        <v>1</v>
      </c>
      <c r="F508" s="666"/>
      <c r="G508" s="21">
        <f t="shared" si="87"/>
        <v>1</v>
      </c>
      <c r="H508" s="666"/>
      <c r="I508" s="21">
        <f t="shared" si="88"/>
        <v>1</v>
      </c>
      <c r="J508" s="666"/>
      <c r="K508" s="21">
        <f t="shared" si="89"/>
        <v>1</v>
      </c>
      <c r="L508" s="666"/>
      <c r="M508" s="21">
        <f t="shared" si="90"/>
        <v>1</v>
      </c>
      <c r="N508" s="666"/>
      <c r="O508" s="21">
        <f t="shared" si="91"/>
        <v>1</v>
      </c>
      <c r="P508" s="666"/>
      <c r="Q508" s="21">
        <f t="shared" si="92"/>
        <v>0</v>
      </c>
      <c r="R508" s="662">
        <f t="shared" si="93"/>
        <v>0</v>
      </c>
      <c r="S508" s="316">
        <f t="shared" si="94"/>
        <v>0</v>
      </c>
    </row>
    <row r="509" spans="1:19">
      <c r="A509" s="150"/>
      <c r="B509" s="54"/>
      <c r="C509" s="21">
        <f t="shared" si="85"/>
        <v>1</v>
      </c>
      <c r="D509" s="666"/>
      <c r="E509" s="21">
        <f t="shared" si="86"/>
        <v>1</v>
      </c>
      <c r="F509" s="666"/>
      <c r="G509" s="21">
        <f t="shared" si="87"/>
        <v>1</v>
      </c>
      <c r="H509" s="666"/>
      <c r="I509" s="21">
        <f t="shared" si="88"/>
        <v>1</v>
      </c>
      <c r="J509" s="666"/>
      <c r="K509" s="21">
        <f t="shared" si="89"/>
        <v>1</v>
      </c>
      <c r="L509" s="666"/>
      <c r="M509" s="21">
        <f t="shared" si="90"/>
        <v>1</v>
      </c>
      <c r="N509" s="666"/>
      <c r="O509" s="21">
        <f t="shared" si="91"/>
        <v>1</v>
      </c>
      <c r="P509" s="666"/>
      <c r="Q509" s="21">
        <f t="shared" si="92"/>
        <v>0</v>
      </c>
      <c r="R509" s="662">
        <f t="shared" si="93"/>
        <v>0</v>
      </c>
      <c r="S509" s="316">
        <f t="shared" si="94"/>
        <v>0</v>
      </c>
    </row>
    <row r="510" spans="1:19">
      <c r="A510" s="150"/>
      <c r="B510" s="54"/>
      <c r="C510" s="21">
        <f t="shared" si="85"/>
        <v>1</v>
      </c>
      <c r="D510" s="666"/>
      <c r="E510" s="21">
        <f t="shared" si="86"/>
        <v>1</v>
      </c>
      <c r="F510" s="666"/>
      <c r="G510" s="21">
        <f t="shared" si="87"/>
        <v>1</v>
      </c>
      <c r="H510" s="666"/>
      <c r="I510" s="21">
        <f t="shared" si="88"/>
        <v>1</v>
      </c>
      <c r="J510" s="666"/>
      <c r="K510" s="21">
        <f t="shared" si="89"/>
        <v>1</v>
      </c>
      <c r="L510" s="666"/>
      <c r="M510" s="21">
        <f t="shared" si="90"/>
        <v>1</v>
      </c>
      <c r="N510" s="666"/>
      <c r="O510" s="21">
        <f t="shared" si="91"/>
        <v>1</v>
      </c>
      <c r="P510" s="666"/>
      <c r="Q510" s="21">
        <f t="shared" si="92"/>
        <v>0</v>
      </c>
      <c r="R510" s="662">
        <f t="shared" si="93"/>
        <v>0</v>
      </c>
      <c r="S510" s="316">
        <f t="shared" si="94"/>
        <v>0</v>
      </c>
    </row>
    <row r="511" spans="1:19">
      <c r="A511" s="150"/>
      <c r="B511" s="54"/>
      <c r="C511" s="21">
        <f t="shared" si="85"/>
        <v>1</v>
      </c>
      <c r="D511" s="666"/>
      <c r="E511" s="21">
        <f t="shared" si="86"/>
        <v>1</v>
      </c>
      <c r="F511" s="666"/>
      <c r="G511" s="21">
        <f t="shared" si="87"/>
        <v>1</v>
      </c>
      <c r="H511" s="666"/>
      <c r="I511" s="21">
        <f t="shared" si="88"/>
        <v>1</v>
      </c>
      <c r="J511" s="666"/>
      <c r="K511" s="21">
        <f t="shared" si="89"/>
        <v>1</v>
      </c>
      <c r="L511" s="666"/>
      <c r="M511" s="21">
        <f t="shared" si="90"/>
        <v>1</v>
      </c>
      <c r="N511" s="666"/>
      <c r="O511" s="21">
        <f t="shared" si="91"/>
        <v>1</v>
      </c>
      <c r="P511" s="666"/>
      <c r="Q511" s="21">
        <f t="shared" si="92"/>
        <v>0</v>
      </c>
      <c r="R511" s="662">
        <f t="shared" si="93"/>
        <v>0</v>
      </c>
      <c r="S511" s="316">
        <f t="shared" si="94"/>
        <v>0</v>
      </c>
    </row>
    <row r="512" spans="1:19">
      <c r="A512" s="150"/>
      <c r="B512" s="54"/>
      <c r="C512" s="21">
        <f t="shared" si="85"/>
        <v>1</v>
      </c>
      <c r="D512" s="666"/>
      <c r="E512" s="21">
        <f t="shared" si="86"/>
        <v>1</v>
      </c>
      <c r="F512" s="666"/>
      <c r="G512" s="21">
        <f t="shared" si="87"/>
        <v>1</v>
      </c>
      <c r="H512" s="666"/>
      <c r="I512" s="21">
        <f t="shared" si="88"/>
        <v>1</v>
      </c>
      <c r="J512" s="666"/>
      <c r="K512" s="21">
        <f t="shared" si="89"/>
        <v>1</v>
      </c>
      <c r="L512" s="666"/>
      <c r="M512" s="21">
        <f t="shared" si="90"/>
        <v>1</v>
      </c>
      <c r="N512" s="666"/>
      <c r="O512" s="21">
        <f t="shared" si="91"/>
        <v>1</v>
      </c>
      <c r="P512" s="666"/>
      <c r="Q512" s="21">
        <f t="shared" si="92"/>
        <v>0</v>
      </c>
      <c r="R512" s="662">
        <f t="shared" si="93"/>
        <v>0</v>
      </c>
      <c r="S512" s="316">
        <f t="shared" si="94"/>
        <v>0</v>
      </c>
    </row>
    <row r="513" spans="1:19">
      <c r="A513" s="150"/>
      <c r="B513" s="54"/>
      <c r="C513" s="21">
        <f t="shared" si="85"/>
        <v>1</v>
      </c>
      <c r="D513" s="666"/>
      <c r="E513" s="21">
        <f t="shared" si="86"/>
        <v>1</v>
      </c>
      <c r="F513" s="666"/>
      <c r="G513" s="21">
        <f t="shared" si="87"/>
        <v>1</v>
      </c>
      <c r="H513" s="666"/>
      <c r="I513" s="21">
        <f t="shared" si="88"/>
        <v>1</v>
      </c>
      <c r="J513" s="666"/>
      <c r="K513" s="21">
        <f t="shared" si="89"/>
        <v>1</v>
      </c>
      <c r="L513" s="666"/>
      <c r="M513" s="21">
        <f t="shared" si="90"/>
        <v>1</v>
      </c>
      <c r="N513" s="666"/>
      <c r="O513" s="21">
        <f t="shared" si="91"/>
        <v>1</v>
      </c>
      <c r="P513" s="666"/>
      <c r="Q513" s="21">
        <f t="shared" si="92"/>
        <v>0</v>
      </c>
      <c r="R513" s="662">
        <f t="shared" si="93"/>
        <v>0</v>
      </c>
      <c r="S513" s="316">
        <f t="shared" si="94"/>
        <v>0</v>
      </c>
    </row>
    <row r="514" spans="1:19">
      <c r="A514" s="150"/>
      <c r="B514" s="54"/>
      <c r="C514" s="21">
        <f t="shared" si="85"/>
        <v>1</v>
      </c>
      <c r="D514" s="666"/>
      <c r="E514" s="21">
        <f t="shared" si="86"/>
        <v>1</v>
      </c>
      <c r="F514" s="666"/>
      <c r="G514" s="21">
        <f t="shared" si="87"/>
        <v>1</v>
      </c>
      <c r="H514" s="666"/>
      <c r="I514" s="21">
        <f t="shared" si="88"/>
        <v>1</v>
      </c>
      <c r="J514" s="666"/>
      <c r="K514" s="21">
        <f t="shared" si="89"/>
        <v>1</v>
      </c>
      <c r="L514" s="666"/>
      <c r="M514" s="21">
        <f t="shared" si="90"/>
        <v>1</v>
      </c>
      <c r="N514" s="666"/>
      <c r="O514" s="21">
        <f t="shared" si="91"/>
        <v>1</v>
      </c>
      <c r="P514" s="666"/>
      <c r="Q514" s="21">
        <f t="shared" si="92"/>
        <v>0</v>
      </c>
      <c r="R514" s="662">
        <f t="shared" si="93"/>
        <v>0</v>
      </c>
      <c r="S514" s="316">
        <f t="shared" si="94"/>
        <v>0</v>
      </c>
    </row>
    <row r="515" spans="1:19">
      <c r="A515" s="150"/>
      <c r="B515" s="54"/>
      <c r="C515" s="21">
        <f t="shared" si="85"/>
        <v>1</v>
      </c>
      <c r="D515" s="666"/>
      <c r="E515" s="21">
        <f t="shared" si="86"/>
        <v>1</v>
      </c>
      <c r="F515" s="666"/>
      <c r="G515" s="21">
        <f t="shared" si="87"/>
        <v>1</v>
      </c>
      <c r="H515" s="666"/>
      <c r="I515" s="21">
        <f t="shared" si="88"/>
        <v>1</v>
      </c>
      <c r="J515" s="666"/>
      <c r="K515" s="21">
        <f t="shared" si="89"/>
        <v>1</v>
      </c>
      <c r="L515" s="666"/>
      <c r="M515" s="21">
        <f t="shared" si="90"/>
        <v>1</v>
      </c>
      <c r="N515" s="666"/>
      <c r="O515" s="21">
        <f t="shared" si="91"/>
        <v>1</v>
      </c>
      <c r="P515" s="666"/>
      <c r="Q515" s="21">
        <f t="shared" si="92"/>
        <v>0</v>
      </c>
      <c r="R515" s="662">
        <f t="shared" si="93"/>
        <v>0</v>
      </c>
      <c r="S515" s="316">
        <f t="shared" si="94"/>
        <v>0</v>
      </c>
    </row>
    <row r="516" spans="1:19">
      <c r="A516" s="150"/>
      <c r="B516" s="54"/>
      <c r="C516" s="21">
        <f t="shared" si="85"/>
        <v>1</v>
      </c>
      <c r="D516" s="666"/>
      <c r="E516" s="21">
        <f t="shared" si="86"/>
        <v>1</v>
      </c>
      <c r="F516" s="666"/>
      <c r="G516" s="21">
        <f t="shared" si="87"/>
        <v>1</v>
      </c>
      <c r="H516" s="666"/>
      <c r="I516" s="21">
        <f t="shared" si="88"/>
        <v>1</v>
      </c>
      <c r="J516" s="666"/>
      <c r="K516" s="21">
        <f t="shared" si="89"/>
        <v>1</v>
      </c>
      <c r="L516" s="666"/>
      <c r="M516" s="21">
        <f t="shared" si="90"/>
        <v>1</v>
      </c>
      <c r="N516" s="666"/>
      <c r="O516" s="21">
        <f t="shared" si="91"/>
        <v>1</v>
      </c>
      <c r="P516" s="666"/>
      <c r="Q516" s="21">
        <f t="shared" si="92"/>
        <v>0</v>
      </c>
      <c r="R516" s="662">
        <f t="shared" si="93"/>
        <v>0</v>
      </c>
      <c r="S516" s="316">
        <f t="shared" si="94"/>
        <v>0</v>
      </c>
    </row>
    <row r="517" spans="1:19">
      <c r="A517" s="150"/>
      <c r="B517" s="54"/>
      <c r="C517" s="21">
        <f t="shared" si="85"/>
        <v>1</v>
      </c>
      <c r="D517" s="666"/>
      <c r="E517" s="21">
        <f t="shared" si="86"/>
        <v>1</v>
      </c>
      <c r="F517" s="666"/>
      <c r="G517" s="21">
        <f t="shared" si="87"/>
        <v>1</v>
      </c>
      <c r="H517" s="666"/>
      <c r="I517" s="21">
        <f t="shared" si="88"/>
        <v>1</v>
      </c>
      <c r="J517" s="666"/>
      <c r="K517" s="21">
        <f t="shared" si="89"/>
        <v>1</v>
      </c>
      <c r="L517" s="666"/>
      <c r="M517" s="21">
        <f t="shared" si="90"/>
        <v>1</v>
      </c>
      <c r="N517" s="666"/>
      <c r="O517" s="21">
        <f t="shared" si="91"/>
        <v>1</v>
      </c>
      <c r="P517" s="666"/>
      <c r="Q517" s="21">
        <f t="shared" si="92"/>
        <v>0</v>
      </c>
      <c r="R517" s="662">
        <f t="shared" si="93"/>
        <v>0</v>
      </c>
      <c r="S517" s="316">
        <f t="shared" si="94"/>
        <v>0</v>
      </c>
    </row>
    <row r="518" spans="1:19">
      <c r="A518" s="150"/>
      <c r="B518" s="54"/>
      <c r="C518" s="21">
        <f t="shared" si="85"/>
        <v>1</v>
      </c>
      <c r="D518" s="666"/>
      <c r="E518" s="21">
        <f t="shared" si="86"/>
        <v>1</v>
      </c>
      <c r="F518" s="666"/>
      <c r="G518" s="21">
        <f t="shared" si="87"/>
        <v>1</v>
      </c>
      <c r="H518" s="666"/>
      <c r="I518" s="21">
        <f t="shared" si="88"/>
        <v>1</v>
      </c>
      <c r="J518" s="666"/>
      <c r="K518" s="21">
        <f t="shared" si="89"/>
        <v>1</v>
      </c>
      <c r="L518" s="666"/>
      <c r="M518" s="21">
        <f t="shared" si="90"/>
        <v>1</v>
      </c>
      <c r="N518" s="666"/>
      <c r="O518" s="21">
        <f t="shared" si="91"/>
        <v>1</v>
      </c>
      <c r="P518" s="666"/>
      <c r="Q518" s="21">
        <f t="shared" si="92"/>
        <v>0</v>
      </c>
      <c r="R518" s="662">
        <f t="shared" si="93"/>
        <v>0</v>
      </c>
      <c r="S518" s="316">
        <f t="shared" si="94"/>
        <v>0</v>
      </c>
    </row>
    <row r="519" spans="1:19">
      <c r="A519" s="150"/>
      <c r="B519" s="54"/>
      <c r="C519" s="21">
        <f t="shared" si="85"/>
        <v>1</v>
      </c>
      <c r="D519" s="666"/>
      <c r="E519" s="21">
        <f t="shared" si="86"/>
        <v>1</v>
      </c>
      <c r="F519" s="666"/>
      <c r="G519" s="21">
        <f t="shared" si="87"/>
        <v>1</v>
      </c>
      <c r="H519" s="666"/>
      <c r="I519" s="21">
        <f t="shared" si="88"/>
        <v>1</v>
      </c>
      <c r="J519" s="666"/>
      <c r="K519" s="21">
        <f t="shared" si="89"/>
        <v>1</v>
      </c>
      <c r="L519" s="666"/>
      <c r="M519" s="21">
        <f t="shared" si="90"/>
        <v>1</v>
      </c>
      <c r="N519" s="666"/>
      <c r="O519" s="21">
        <f t="shared" si="91"/>
        <v>1</v>
      </c>
      <c r="P519" s="666"/>
      <c r="Q519" s="21">
        <f t="shared" si="92"/>
        <v>0</v>
      </c>
      <c r="R519" s="662">
        <f t="shared" si="93"/>
        <v>0</v>
      </c>
      <c r="S519" s="316">
        <f t="shared" si="94"/>
        <v>0</v>
      </c>
    </row>
    <row r="520" spans="1:19">
      <c r="A520" s="150"/>
      <c r="B520" s="54"/>
      <c r="C520" s="21">
        <f t="shared" si="85"/>
        <v>1</v>
      </c>
      <c r="D520" s="666"/>
      <c r="E520" s="21">
        <f t="shared" si="86"/>
        <v>1</v>
      </c>
      <c r="F520" s="666"/>
      <c r="G520" s="21">
        <f t="shared" si="87"/>
        <v>1</v>
      </c>
      <c r="H520" s="666"/>
      <c r="I520" s="21">
        <f t="shared" si="88"/>
        <v>1</v>
      </c>
      <c r="J520" s="666"/>
      <c r="K520" s="21">
        <f t="shared" si="89"/>
        <v>1</v>
      </c>
      <c r="L520" s="666"/>
      <c r="M520" s="21">
        <f t="shared" si="90"/>
        <v>1</v>
      </c>
      <c r="N520" s="666"/>
      <c r="O520" s="21">
        <f t="shared" si="91"/>
        <v>1</v>
      </c>
      <c r="P520" s="666"/>
      <c r="Q520" s="21">
        <f t="shared" si="92"/>
        <v>0</v>
      </c>
      <c r="R520" s="662">
        <f t="shared" si="93"/>
        <v>0</v>
      </c>
      <c r="S520" s="316">
        <f t="shared" si="94"/>
        <v>0</v>
      </c>
    </row>
    <row r="521" spans="1:19">
      <c r="A521" s="150"/>
      <c r="B521" s="54"/>
      <c r="C521" s="21">
        <f t="shared" si="85"/>
        <v>1</v>
      </c>
      <c r="D521" s="666"/>
      <c r="E521" s="21">
        <f t="shared" si="86"/>
        <v>1</v>
      </c>
      <c r="F521" s="666"/>
      <c r="G521" s="21">
        <f t="shared" si="87"/>
        <v>1</v>
      </c>
      <c r="H521" s="666"/>
      <c r="I521" s="21">
        <f t="shared" si="88"/>
        <v>1</v>
      </c>
      <c r="J521" s="666"/>
      <c r="K521" s="21">
        <f t="shared" si="89"/>
        <v>1</v>
      </c>
      <c r="L521" s="666"/>
      <c r="M521" s="21">
        <f t="shared" si="90"/>
        <v>1</v>
      </c>
      <c r="N521" s="666"/>
      <c r="O521" s="21">
        <f t="shared" si="91"/>
        <v>1</v>
      </c>
      <c r="P521" s="666"/>
      <c r="Q521" s="21">
        <f t="shared" si="92"/>
        <v>0</v>
      </c>
      <c r="R521" s="662">
        <f t="shared" si="93"/>
        <v>0</v>
      </c>
      <c r="S521" s="316">
        <f t="shared" si="94"/>
        <v>0</v>
      </c>
    </row>
    <row r="522" spans="1:19">
      <c r="A522" s="150"/>
      <c r="B522" s="54"/>
      <c r="C522" s="21">
        <f t="shared" si="85"/>
        <v>1</v>
      </c>
      <c r="D522" s="666"/>
      <c r="E522" s="21">
        <f t="shared" si="86"/>
        <v>1</v>
      </c>
      <c r="F522" s="666"/>
      <c r="G522" s="21">
        <f t="shared" si="87"/>
        <v>1</v>
      </c>
      <c r="H522" s="666"/>
      <c r="I522" s="21">
        <f t="shared" si="88"/>
        <v>1</v>
      </c>
      <c r="J522" s="666"/>
      <c r="K522" s="21">
        <f t="shared" si="89"/>
        <v>1</v>
      </c>
      <c r="L522" s="666"/>
      <c r="M522" s="21">
        <f t="shared" si="90"/>
        <v>1</v>
      </c>
      <c r="N522" s="666"/>
      <c r="O522" s="21">
        <f t="shared" si="91"/>
        <v>1</v>
      </c>
      <c r="P522" s="666"/>
      <c r="Q522" s="21">
        <f t="shared" si="92"/>
        <v>0</v>
      </c>
      <c r="R522" s="662">
        <f t="shared" si="93"/>
        <v>0</v>
      </c>
      <c r="S522" s="316">
        <f t="shared" si="94"/>
        <v>0</v>
      </c>
    </row>
    <row r="523" spans="1:19">
      <c r="A523" s="150"/>
      <c r="B523" s="54"/>
      <c r="C523" s="21">
        <f t="shared" si="85"/>
        <v>1</v>
      </c>
      <c r="D523" s="666"/>
      <c r="E523" s="21">
        <f t="shared" si="86"/>
        <v>1</v>
      </c>
      <c r="F523" s="666"/>
      <c r="G523" s="21">
        <f t="shared" si="87"/>
        <v>1</v>
      </c>
      <c r="H523" s="666"/>
      <c r="I523" s="21">
        <f t="shared" si="88"/>
        <v>1</v>
      </c>
      <c r="J523" s="666"/>
      <c r="K523" s="21">
        <f t="shared" si="89"/>
        <v>1</v>
      </c>
      <c r="L523" s="666"/>
      <c r="M523" s="21">
        <f t="shared" si="90"/>
        <v>1</v>
      </c>
      <c r="N523" s="666"/>
      <c r="O523" s="21">
        <f t="shared" si="91"/>
        <v>1</v>
      </c>
      <c r="P523" s="666"/>
      <c r="Q523" s="21">
        <f t="shared" si="92"/>
        <v>0</v>
      </c>
      <c r="R523" s="662">
        <f t="shared" si="93"/>
        <v>0</v>
      </c>
      <c r="S523" s="316">
        <f t="shared" si="94"/>
        <v>0</v>
      </c>
    </row>
    <row r="524" spans="1:19">
      <c r="A524" s="150"/>
      <c r="B524" s="54"/>
      <c r="C524" s="21">
        <f t="shared" si="85"/>
        <v>1</v>
      </c>
      <c r="D524" s="666"/>
      <c r="E524" s="21">
        <f t="shared" si="86"/>
        <v>1</v>
      </c>
      <c r="F524" s="666"/>
      <c r="G524" s="21">
        <f t="shared" si="87"/>
        <v>1</v>
      </c>
      <c r="H524" s="666"/>
      <c r="I524" s="21">
        <f t="shared" si="88"/>
        <v>1</v>
      </c>
      <c r="J524" s="666"/>
      <c r="K524" s="21">
        <f t="shared" si="89"/>
        <v>1</v>
      </c>
      <c r="L524" s="666"/>
      <c r="M524" s="21">
        <f t="shared" si="90"/>
        <v>1</v>
      </c>
      <c r="N524" s="666"/>
      <c r="O524" s="21">
        <f t="shared" si="91"/>
        <v>1</v>
      </c>
      <c r="P524" s="666"/>
      <c r="Q524" s="21">
        <f t="shared" si="92"/>
        <v>0</v>
      </c>
      <c r="R524" s="662">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33"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5" customWidth="1"/>
    <col min="2" max="16384" width="9" style="1475"/>
  </cols>
  <sheetData>
    <row r="1" spans="1:1" ht="23.25">
      <c r="A1" s="1474" t="s">
        <v>898</v>
      </c>
    </row>
    <row r="2" spans="1:1">
      <c r="A2" s="1476"/>
    </row>
    <row r="3" spans="1:1" ht="18">
      <c r="A3" s="1477" t="str">
        <f>项目基本情况!B5&amp;"："</f>
        <v>：</v>
      </c>
    </row>
    <row r="4" spans="1:1" ht="18">
      <c r="A4" s="1478" t="str">
        <f>"受贵公司委托，我公司对"&amp;项目基本情况!S1&amp;"进行了预评估。"</f>
        <v>受贵公司委托，我公司对北京市房地产抵押价值进行了预评估。</v>
      </c>
    </row>
    <row r="5" spans="1:1" ht="18.75">
      <c r="A5" s="1479" t="s">
        <v>899</v>
      </c>
    </row>
    <row r="6" spans="1:1" ht="18.75">
      <c r="A6" s="1480" t="s">
        <v>900</v>
      </c>
    </row>
    <row r="7" spans="1:1" ht="54">
      <c r="A7" s="147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估价对象为北京市房地产，为所有。根据《国有土地使用证》[]，估价对象（分摊）出让国有建设用地使用权面积为10405.33平方米，建筑面积为20062.9平方米。</v>
      </c>
    </row>
    <row r="8" spans="1:1" ht="57.75">
      <c r="A8" s="1481" t="s">
        <v>901</v>
      </c>
    </row>
    <row r="9" spans="1:1" ht="18.75">
      <c r="A9" s="1480" t="s">
        <v>902</v>
      </c>
    </row>
    <row r="10" spans="1:1" ht="54">
      <c r="A10" s="147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估价对象为北京市房地产,属开发建设的，该项目尚在开发建设中。根据《国有土地使用证》[]，估价对象（分摊）出让国有建设用地使用权面积为10405.33平方米，规划建筑面积为20062.9平方米。</v>
      </c>
    </row>
    <row r="11" spans="1:1" ht="76.5">
      <c r="A11" s="1481" t="s">
        <v>903</v>
      </c>
    </row>
    <row r="12" spans="1:1" ht="18.75">
      <c r="A12" s="1479" t="s">
        <v>904</v>
      </c>
    </row>
    <row r="13" spans="1:1" ht="38.25" customHeight="1">
      <c r="A13" s="1482"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83" t="s">
        <v>905</v>
      </c>
    </row>
    <row r="15" spans="1:1" ht="18">
      <c r="A15" s="1484" t="str">
        <f>TEXT(项目基本情况!D3,"yyyy年m月d日;;")&amp;IF(项目基本情况!D3=项目基本情况!B3,"（评估专业人员实地查勘之日）","")</f>
        <v>2023年5月22日</v>
      </c>
    </row>
    <row r="16" spans="1:1" ht="18.75">
      <c r="A16" s="1483" t="s">
        <v>906</v>
      </c>
    </row>
    <row r="17" spans="1:1" ht="75">
      <c r="A17" s="1478" t="s">
        <v>907</v>
      </c>
    </row>
    <row r="18" spans="1:1" ht="54">
      <c r="A18" s="1478"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5月22日，估价对象规划用途为，土地取得方式为出让，出让国有建设用地使用权剩余土地使用年限为，假定未设立法定优先受偿款下的房地产市场价值。</v>
      </c>
    </row>
    <row r="19" spans="1:1" ht="157.5" customHeight="1">
      <c r="A19" s="1478"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8"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3" t="s">
        <v>896</v>
      </c>
    </row>
    <row r="24" spans="1:1" ht="18">
      <c r="A24" s="1485" t="str">
        <f>"本次评估采用的主估价方法为"&amp;结果表!K4&amp;"和"&amp;结果表!L4&amp;"。"</f>
        <v>本次评估采用的主估价方法为成本法和收益法。</v>
      </c>
    </row>
    <row r="25" spans="1:1" ht="18">
      <c r="A25" s="1485"/>
    </row>
    <row r="26" spans="1:1" ht="18.75">
      <c r="A26" s="1486" t="s">
        <v>897</v>
      </c>
    </row>
    <row r="27" spans="1:1">
      <c r="A27" s="1487"/>
    </row>
    <row r="28" spans="1:1">
      <c r="A28" s="1487"/>
    </row>
    <row r="29" spans="1:1">
      <c r="A29" s="1487"/>
    </row>
    <row r="30" spans="1:1">
      <c r="A30" s="1487"/>
    </row>
    <row r="31" spans="1:1">
      <c r="A31" s="1487"/>
    </row>
    <row r="32" spans="1:1">
      <c r="A32" s="1487"/>
    </row>
    <row r="33" spans="1:1">
      <c r="A33" s="1487"/>
    </row>
    <row r="34" spans="1:1">
      <c r="A34" s="1487"/>
    </row>
    <row r="35" spans="1:1">
      <c r="A35" s="1487"/>
    </row>
    <row r="36" spans="1:1">
      <c r="A36" s="1487"/>
    </row>
    <row r="37" spans="1:1">
      <c r="A37" s="1487"/>
    </row>
    <row r="38" spans="1:1">
      <c r="A38" s="1487"/>
    </row>
    <row r="39" spans="1:1">
      <c r="A39" s="1487"/>
    </row>
    <row r="40" spans="1:1">
      <c r="A40" s="1487"/>
    </row>
    <row r="41" spans="1:1">
      <c r="A41" s="1487"/>
    </row>
    <row r="42" spans="1:1">
      <c r="A42" s="1487"/>
    </row>
    <row r="43" spans="1:1">
      <c r="A43" s="1487"/>
    </row>
    <row r="44" spans="1:1">
      <c r="A44" s="1487"/>
    </row>
    <row r="45" spans="1:1">
      <c r="A45" s="1487"/>
    </row>
    <row r="46" spans="1:1">
      <c r="A46" s="1487"/>
    </row>
    <row r="47" spans="1:1">
      <c r="A47" s="1487"/>
    </row>
    <row r="48" spans="1:1">
      <c r="A48" s="1487"/>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I13" sqref="I13"/>
    </sheetView>
  </sheetViews>
  <sheetFormatPr defaultColWidth="9" defaultRowHeight="14.25"/>
  <cols>
    <col min="1" max="1" width="23.625" style="1475" customWidth="1"/>
    <col min="2" max="2" width="12" style="1475" customWidth="1"/>
    <col min="3" max="3" width="9" style="1475"/>
    <col min="4" max="4" width="14.125" style="1475" customWidth="1"/>
    <col min="5" max="5" width="9" style="1475"/>
    <col min="6" max="6" width="12.875" style="1475" customWidth="1"/>
    <col min="7" max="16384" width="9" style="1475"/>
  </cols>
  <sheetData>
    <row r="1" spans="1:22" ht="21">
      <c r="A1" s="1865" t="s">
        <v>1658</v>
      </c>
      <c r="B1" s="1866"/>
      <c r="C1" s="1866"/>
      <c r="D1" s="1866"/>
      <c r="E1" s="1867"/>
      <c r="F1" s="2704"/>
      <c r="G1" s="1487"/>
      <c r="H1" s="1487"/>
      <c r="I1" s="1487"/>
      <c r="J1" s="1487"/>
      <c r="K1" s="1487"/>
      <c r="L1" s="1487"/>
      <c r="M1" s="1487"/>
      <c r="N1" s="1487"/>
      <c r="O1" s="1487"/>
      <c r="P1" s="1487"/>
      <c r="Q1" s="1487"/>
      <c r="R1" s="1487"/>
      <c r="S1" s="1487"/>
    </row>
    <row r="2" spans="1:22" ht="15.75">
      <c r="A2" s="1868" t="s">
        <v>1462</v>
      </c>
      <c r="B2" s="1869">
        <f ca="1">SUMIF(B6:B13,"&lt;&gt;#ref!",B6:B13)</f>
        <v>16158</v>
      </c>
      <c r="C2" s="1870" t="s">
        <v>1651</v>
      </c>
      <c r="D2" s="1871" t="s">
        <v>1652</v>
      </c>
      <c r="E2" s="2604">
        <f>SUM(E6:E13)</f>
        <v>20062.899999999998</v>
      </c>
      <c r="F2" s="2704"/>
      <c r="G2" s="1487"/>
      <c r="H2" s="1487"/>
      <c r="I2" s="1487"/>
      <c r="J2" s="1487"/>
      <c r="K2" s="1487"/>
      <c r="L2" s="1487"/>
      <c r="M2" s="1487"/>
      <c r="N2" s="1487"/>
      <c r="O2" s="1487"/>
      <c r="P2" s="1487"/>
      <c r="Q2" s="1487"/>
      <c r="R2" s="1487"/>
      <c r="S2" s="1487"/>
    </row>
    <row r="3" spans="1:22" ht="15.75">
      <c r="A3" s="1868" t="s">
        <v>686</v>
      </c>
      <c r="B3" s="2598">
        <f ca="1">ROUND(B2*10000/E2,0)</f>
        <v>8054</v>
      </c>
      <c r="C3" s="1870" t="s">
        <v>1659</v>
      </c>
      <c r="D3" s="2706"/>
      <c r="E3" s="2708"/>
      <c r="F3" s="2704"/>
      <c r="G3" s="1487"/>
      <c r="H3" s="1487"/>
      <c r="I3" s="1487"/>
      <c r="J3" s="1487"/>
      <c r="K3" s="1487"/>
      <c r="L3" s="1487"/>
      <c r="M3" s="1487"/>
      <c r="N3" s="1487"/>
      <c r="O3" s="1487"/>
      <c r="P3" s="1487"/>
      <c r="Q3" s="1487"/>
      <c r="R3" s="1487"/>
      <c r="S3" s="1487"/>
    </row>
    <row r="4" spans="1:22" ht="15.75">
      <c r="A4" s="2709"/>
      <c r="B4" s="2706"/>
      <c r="C4" s="2706"/>
      <c r="D4" s="2706"/>
      <c r="E4" s="2708"/>
      <c r="F4" s="2704"/>
      <c r="G4" s="1487"/>
      <c r="H4" s="1487"/>
      <c r="I4" s="1487"/>
      <c r="J4" s="1487"/>
      <c r="K4" s="1487"/>
      <c r="L4" s="1487"/>
      <c r="M4" s="1487"/>
      <c r="N4" s="1487"/>
      <c r="O4" s="1487"/>
      <c r="P4" s="1487"/>
      <c r="Q4" s="1487"/>
      <c r="R4" s="1487"/>
      <c r="S4" s="1487"/>
    </row>
    <row r="5" spans="1:22" ht="15">
      <c r="A5" s="2600" t="s">
        <v>1653</v>
      </c>
      <c r="B5" s="3795" t="s">
        <v>1654</v>
      </c>
      <c r="C5" s="3796"/>
      <c r="D5" s="2705"/>
      <c r="E5" s="1872" t="s">
        <v>1655</v>
      </c>
      <c r="F5" s="1873" t="s">
        <v>1656</v>
      </c>
      <c r="G5" s="1487"/>
      <c r="H5" s="1487"/>
      <c r="I5" s="1487"/>
      <c r="J5" s="1487"/>
      <c r="K5" s="1487"/>
      <c r="L5" s="1487"/>
      <c r="M5" s="1487"/>
      <c r="N5" s="1487"/>
      <c r="O5" s="1487"/>
      <c r="P5" s="1487"/>
      <c r="Q5" s="1487"/>
      <c r="R5" s="1487"/>
      <c r="S5" s="1487"/>
    </row>
    <row r="6" spans="1:22">
      <c r="A6" s="2601" t="str">
        <f>'数据-取费表'!AN6</f>
        <v>收益法</v>
      </c>
      <c r="B6" s="2599">
        <f ca="1">IF(F6="是",'数据-取费表'!AO6,0)</f>
        <v>16158</v>
      </c>
      <c r="C6" s="1870" t="s">
        <v>1651</v>
      </c>
      <c r="D6" s="2706"/>
      <c r="E6" s="2603">
        <f>IF(OR(A6=0,F6="否"),0,'数据-取费表'!K6+'数据-取费表'!S6)</f>
        <v>20062.899999999998</v>
      </c>
      <c r="F6" s="1874" t="s">
        <v>1657</v>
      </c>
      <c r="G6" s="1487"/>
      <c r="H6" s="1487"/>
      <c r="I6" s="1487"/>
      <c r="J6" s="1487"/>
      <c r="K6" s="1487"/>
      <c r="L6" s="1487"/>
      <c r="M6" s="1487"/>
      <c r="N6" s="1487"/>
      <c r="O6" s="1487"/>
      <c r="P6" s="1487"/>
      <c r="Q6" s="1487"/>
      <c r="R6" s="1487"/>
      <c r="S6" s="1487"/>
    </row>
    <row r="7" spans="1:22">
      <c r="A7" s="2601">
        <f>'数据-取费表'!AN7</f>
        <v>0</v>
      </c>
      <c r="B7" s="2599">
        <f>IF(F7="是",'数据-取费表'!AO7,0)</f>
        <v>0</v>
      </c>
      <c r="C7" s="1870" t="s">
        <v>1651</v>
      </c>
      <c r="D7" s="2706"/>
      <c r="E7" s="2603">
        <f>IF(OR(A7=0,F7="否"),0,'数据-取费表'!K7+'数据-取费表'!S7)</f>
        <v>0</v>
      </c>
      <c r="F7" s="1874" t="s">
        <v>3399</v>
      </c>
      <c r="G7" s="1487"/>
      <c r="H7" s="1487"/>
      <c r="I7" s="1487"/>
      <c r="J7" s="1487"/>
      <c r="K7" s="1487"/>
      <c r="L7" s="1487"/>
      <c r="M7" s="1487"/>
      <c r="N7" s="1487"/>
      <c r="O7" s="1487"/>
      <c r="P7" s="1487"/>
      <c r="Q7" s="1487"/>
      <c r="R7" s="1487"/>
      <c r="S7" s="1487"/>
    </row>
    <row r="8" spans="1:22">
      <c r="A8" s="2601">
        <f>'数据-取费表'!AN8</f>
        <v>0</v>
      </c>
      <c r="B8" s="2599" t="e">
        <f ca="1">IF(F8="是",'数据-取费表'!AO8,0)</f>
        <v>#REF!</v>
      </c>
      <c r="C8" s="1870" t="s">
        <v>1651</v>
      </c>
      <c r="D8" s="2706"/>
      <c r="E8" s="2603">
        <f>IF(OR(A8=0,F8="否"),0,'数据-取费表'!K8+'数据-取费表'!S8)</f>
        <v>0</v>
      </c>
      <c r="F8" s="1874" t="s">
        <v>1657</v>
      </c>
      <c r="G8" s="1487"/>
      <c r="H8" s="1487"/>
      <c r="I8" s="1487"/>
      <c r="J8" s="1487"/>
      <c r="K8" s="1487"/>
      <c r="L8" s="1487"/>
      <c r="M8" s="1487"/>
      <c r="N8" s="1487"/>
      <c r="O8" s="1487"/>
      <c r="P8" s="1487"/>
      <c r="Q8" s="1487"/>
      <c r="R8" s="1487"/>
      <c r="S8" s="1487"/>
    </row>
    <row r="9" spans="1:22">
      <c r="A9" s="2601">
        <f>'数据-取费表'!AN9</f>
        <v>0</v>
      </c>
      <c r="B9" s="2599" t="e">
        <f ca="1">IF(F9="是",'数据-取费表'!AO9,0)</f>
        <v>#REF!</v>
      </c>
      <c r="C9" s="1870" t="s">
        <v>1651</v>
      </c>
      <c r="D9" s="2706"/>
      <c r="E9" s="2603">
        <f>IF(OR(A9=0,F9="否"),0,'数据-取费表'!K9+'数据-取费表'!S9)</f>
        <v>0</v>
      </c>
      <c r="F9" s="1874" t="s">
        <v>1657</v>
      </c>
      <c r="G9" s="1487"/>
      <c r="H9" s="1487"/>
      <c r="I9" s="1487"/>
      <c r="J9" s="1487"/>
      <c r="K9" s="1487"/>
      <c r="L9" s="1487"/>
      <c r="M9" s="1487"/>
      <c r="N9" s="1487"/>
      <c r="O9" s="1487"/>
      <c r="P9" s="1487"/>
      <c r="Q9" s="1487"/>
      <c r="R9" s="1487"/>
      <c r="S9" s="1487"/>
    </row>
    <row r="10" spans="1:22">
      <c r="A10" s="2601">
        <f>'数据-取费表'!AN10</f>
        <v>0</v>
      </c>
      <c r="B10" s="2599" t="e">
        <f ca="1">IF(F10="是",'数据-取费表'!AO10,0)</f>
        <v>#REF!</v>
      </c>
      <c r="C10" s="1870" t="s">
        <v>1651</v>
      </c>
      <c r="D10" s="2706"/>
      <c r="E10" s="2603">
        <f>IF(OR(A10=0,F10="否"),0,'数据-取费表'!K10+'数据-取费表'!S10)</f>
        <v>0</v>
      </c>
      <c r="F10" s="1874" t="s">
        <v>1657</v>
      </c>
      <c r="G10" s="1487"/>
      <c r="H10" s="1487"/>
      <c r="I10" s="1487"/>
      <c r="J10" s="1487"/>
      <c r="K10" s="1487"/>
      <c r="L10" s="1487"/>
      <c r="M10" s="1487"/>
      <c r="N10" s="1487"/>
      <c r="O10" s="1487"/>
      <c r="P10" s="1487"/>
      <c r="Q10" s="1487"/>
      <c r="R10" s="1487"/>
      <c r="S10" s="1487"/>
    </row>
    <row r="11" spans="1:22">
      <c r="A11" s="2601">
        <f>'数据-取费表'!AN11</f>
        <v>0</v>
      </c>
      <c r="B11" s="2599" t="e">
        <f ca="1">IF(F11="是",'数据-取费表'!AO11,0)</f>
        <v>#REF!</v>
      </c>
      <c r="C11" s="1870" t="s">
        <v>1651</v>
      </c>
      <c r="D11" s="2706"/>
      <c r="E11" s="2603">
        <f>IF(OR(A11=0,F11="否"),0,'数据-取费表'!K11+'数据-取费表'!S11)</f>
        <v>0</v>
      </c>
      <c r="F11" s="1874" t="s">
        <v>1657</v>
      </c>
      <c r="G11" s="1487"/>
      <c r="H11" s="1487"/>
      <c r="I11" s="1487"/>
      <c r="J11" s="1487"/>
      <c r="K11" s="1487"/>
      <c r="L11" s="1487"/>
      <c r="M11" s="1487"/>
      <c r="N11" s="1487"/>
      <c r="O11" s="1487"/>
      <c r="P11" s="1487"/>
      <c r="Q11" s="1487"/>
      <c r="R11" s="1487"/>
      <c r="S11" s="1487"/>
    </row>
    <row r="12" spans="1:22">
      <c r="A12" s="2601">
        <f>'数据-取费表'!AN12</f>
        <v>0</v>
      </c>
      <c r="B12" s="2599" t="e">
        <f ca="1">IF(F12="是",'数据-取费表'!AO12,0)</f>
        <v>#REF!</v>
      </c>
      <c r="C12" s="1870" t="s">
        <v>1651</v>
      </c>
      <c r="D12" s="2706"/>
      <c r="E12" s="2603">
        <f>IF(OR(A12=0,F12="否"),0,'数据-取费表'!K12+'数据-取费表'!S12)</f>
        <v>0</v>
      </c>
      <c r="F12" s="1874" t="s">
        <v>1657</v>
      </c>
      <c r="G12" s="1487"/>
      <c r="H12" s="1487"/>
      <c r="I12" s="1487"/>
      <c r="J12" s="1487"/>
      <c r="K12" s="1487"/>
      <c r="L12" s="1487"/>
      <c r="M12" s="1487"/>
      <c r="N12" s="1487"/>
      <c r="O12" s="1487"/>
      <c r="P12" s="1487"/>
      <c r="Q12" s="1487"/>
      <c r="R12" s="1487"/>
      <c r="S12" s="1487"/>
    </row>
    <row r="13" spans="1:22" ht="15" thickBot="1">
      <c r="A13" s="2602">
        <f>'数据-取费表'!AN13</f>
        <v>0</v>
      </c>
      <c r="B13" s="2599" t="e">
        <f ca="1">IF(F13="是",'数据-取费表'!AO13,0)</f>
        <v>#REF!</v>
      </c>
      <c r="C13" s="1875" t="s">
        <v>1651</v>
      </c>
      <c r="D13" s="2707"/>
      <c r="E13" s="2603">
        <f>IF(OR(A13=0,F13="否"),0,'数据-取费表'!K13+'数据-取费表'!S13)</f>
        <v>0</v>
      </c>
      <c r="F13" s="1874" t="s">
        <v>1657</v>
      </c>
      <c r="G13" s="1487"/>
      <c r="H13" s="1487"/>
      <c r="I13" s="1487"/>
      <c r="J13" s="1487"/>
      <c r="K13" s="1487"/>
      <c r="L13" s="1487"/>
      <c r="M13" s="1487"/>
      <c r="N13" s="1487"/>
      <c r="O13" s="1487"/>
      <c r="P13" s="1487"/>
      <c r="Q13" s="1487"/>
      <c r="R13" s="1487"/>
      <c r="S13" s="1487"/>
    </row>
    <row r="14" spans="1:22">
      <c r="A14" s="1487"/>
      <c r="B14" s="1487"/>
      <c r="C14" s="1487"/>
      <c r="D14" s="1487"/>
      <c r="E14" s="1487"/>
      <c r="F14" s="1487"/>
      <c r="G14" s="1487"/>
      <c r="H14" s="1487"/>
      <c r="I14" s="1487"/>
      <c r="J14" s="1487"/>
      <c r="K14" s="1487"/>
      <c r="L14" s="1487"/>
      <c r="M14" s="1487"/>
      <c r="N14" s="1487"/>
      <c r="O14" s="1487"/>
      <c r="P14" s="1487"/>
      <c r="Q14" s="1487"/>
      <c r="R14" s="1487"/>
      <c r="S14" s="1487"/>
      <c r="T14" s="1487"/>
      <c r="U14" s="1487"/>
      <c r="V14" s="1487"/>
    </row>
    <row r="15" spans="1:22">
      <c r="A15" s="1487"/>
      <c r="B15" s="1487"/>
      <c r="C15" s="1487"/>
      <c r="D15" s="1487"/>
      <c r="E15" s="1487"/>
      <c r="F15" s="1487"/>
      <c r="G15" s="1487"/>
      <c r="H15" s="1487"/>
      <c r="I15" s="1487"/>
      <c r="J15" s="1487"/>
      <c r="K15" s="1487"/>
      <c r="L15" s="1487"/>
      <c r="M15" s="1487"/>
      <c r="N15" s="1487"/>
      <c r="O15" s="1487"/>
      <c r="P15" s="1487"/>
      <c r="Q15" s="1487"/>
      <c r="R15" s="1487"/>
      <c r="S15" s="1487"/>
      <c r="T15" s="1487"/>
      <c r="U15" s="1487"/>
      <c r="V15" s="1487"/>
    </row>
    <row r="16" spans="1:22">
      <c r="A16" s="1487"/>
      <c r="B16" s="1487"/>
      <c r="C16" s="1487"/>
      <c r="D16" s="1487"/>
      <c r="E16" s="1487"/>
      <c r="F16" s="1487"/>
      <c r="G16" s="1487"/>
      <c r="H16" s="1487"/>
      <c r="I16" s="1487"/>
      <c r="J16" s="1487"/>
      <c r="K16" s="1487"/>
      <c r="L16" s="1487"/>
      <c r="M16" s="1487"/>
      <c r="N16" s="1487"/>
      <c r="O16" s="1487"/>
      <c r="P16" s="1487"/>
      <c r="Q16" s="1487"/>
      <c r="R16" s="1487"/>
      <c r="S16" s="1487"/>
      <c r="T16" s="1487"/>
      <c r="U16" s="1487"/>
      <c r="V16" s="1487"/>
    </row>
    <row r="17" spans="1:22">
      <c r="A17" s="1487"/>
      <c r="B17" s="1487"/>
      <c r="C17" s="1487"/>
      <c r="D17" s="1487"/>
      <c r="E17" s="1487"/>
      <c r="F17" s="1487"/>
      <c r="G17" s="1487"/>
      <c r="H17" s="1487"/>
      <c r="I17" s="1487"/>
      <c r="J17" s="1487"/>
      <c r="K17" s="1487"/>
      <c r="L17" s="1487"/>
      <c r="M17" s="1487"/>
      <c r="N17" s="1487"/>
      <c r="O17" s="1487"/>
      <c r="P17" s="1487"/>
      <c r="Q17" s="1487"/>
      <c r="R17" s="1487"/>
      <c r="S17" s="1487"/>
      <c r="T17" s="1487"/>
      <c r="U17" s="1487"/>
      <c r="V17" s="1487"/>
    </row>
    <row r="18" spans="1:22">
      <c r="A18" s="1487"/>
      <c r="B18" s="1487"/>
      <c r="C18" s="1487"/>
      <c r="D18" s="1487"/>
      <c r="E18" s="1487"/>
      <c r="F18" s="1487"/>
      <c r="G18" s="1487"/>
      <c r="H18" s="1487"/>
      <c r="I18" s="1487"/>
      <c r="J18" s="1487"/>
      <c r="K18" s="1487"/>
      <c r="L18" s="1487"/>
      <c r="M18" s="1487"/>
      <c r="N18" s="1487"/>
      <c r="O18" s="1487"/>
      <c r="P18" s="1487"/>
      <c r="Q18" s="1487"/>
      <c r="R18" s="1487"/>
      <c r="S18" s="1487"/>
      <c r="T18" s="1487"/>
      <c r="U18" s="1487"/>
      <c r="V18" s="1487"/>
    </row>
    <row r="19" spans="1:22">
      <c r="A19" s="1487"/>
      <c r="B19" s="1487"/>
      <c r="C19" s="1487"/>
      <c r="D19" s="1487">
        <v>25000</v>
      </c>
      <c r="E19" s="1487"/>
      <c r="F19" s="1487"/>
      <c r="G19" s="1487"/>
      <c r="H19" s="1487"/>
      <c r="I19" s="1487"/>
      <c r="J19" s="1487"/>
      <c r="K19" s="1487"/>
      <c r="L19" s="1487"/>
      <c r="M19" s="1487"/>
      <c r="N19" s="1487"/>
      <c r="O19" s="1487"/>
      <c r="P19" s="1487"/>
      <c r="Q19" s="1487"/>
      <c r="R19" s="1487"/>
      <c r="S19" s="1487"/>
      <c r="T19" s="1487"/>
      <c r="U19" s="1487"/>
      <c r="V19" s="1487"/>
    </row>
    <row r="20" spans="1:22">
      <c r="A20" s="1487"/>
      <c r="B20" s="1487"/>
      <c r="C20" s="1487"/>
      <c r="D20" s="1487">
        <f ca="1">B2</f>
        <v>16158</v>
      </c>
      <c r="E20" s="1487">
        <v>0.3</v>
      </c>
      <c r="F20" s="1487"/>
      <c r="G20" s="1487"/>
      <c r="H20" s="1487"/>
      <c r="I20" s="1487"/>
      <c r="J20" s="1487"/>
      <c r="K20" s="1487"/>
      <c r="L20" s="1487"/>
      <c r="M20" s="1487"/>
      <c r="N20" s="1487"/>
      <c r="O20" s="1487"/>
      <c r="P20" s="1487"/>
      <c r="Q20" s="1487"/>
      <c r="R20" s="1487"/>
      <c r="S20" s="1487"/>
      <c r="T20" s="1487"/>
      <c r="U20" s="1487"/>
      <c r="V20" s="1487"/>
    </row>
    <row r="21" spans="1:22">
      <c r="A21" s="1487"/>
      <c r="B21" s="1487"/>
      <c r="C21" s="1487"/>
      <c r="D21" s="1487">
        <f ca="1">(D19-D20*E20)/E21</f>
        <v>28789.428571428572</v>
      </c>
      <c r="E21" s="1487">
        <v>0.7</v>
      </c>
      <c r="F21" s="1487"/>
      <c r="G21" s="1487"/>
      <c r="H21" s="1487"/>
      <c r="I21" s="1487"/>
      <c r="J21" s="1487"/>
      <c r="K21" s="1487"/>
      <c r="L21" s="1487"/>
      <c r="M21" s="1487"/>
      <c r="N21" s="1487"/>
      <c r="O21" s="1487"/>
      <c r="P21" s="1487"/>
      <c r="Q21" s="1487"/>
      <c r="R21" s="1487"/>
      <c r="S21" s="1487"/>
      <c r="T21" s="1487"/>
      <c r="U21" s="1487"/>
      <c r="V21" s="1487"/>
    </row>
    <row r="22" spans="1:22">
      <c r="A22" s="1487"/>
      <c r="B22" s="1487"/>
      <c r="C22" s="1487"/>
      <c r="D22" s="1487">
        <f ca="1">D21/E2</f>
        <v>1.4349584841388121</v>
      </c>
      <c r="E22" s="1487"/>
      <c r="F22" s="1487"/>
      <c r="G22" s="1487"/>
      <c r="H22" s="1487"/>
      <c r="I22" s="1487"/>
      <c r="J22" s="1487"/>
      <c r="K22" s="1487"/>
      <c r="L22" s="1487"/>
      <c r="M22" s="1487"/>
      <c r="N22" s="1487"/>
      <c r="O22" s="1487"/>
      <c r="P22" s="1487"/>
      <c r="Q22" s="1487"/>
      <c r="R22" s="1487"/>
      <c r="S22" s="1487"/>
      <c r="T22" s="1487"/>
      <c r="U22" s="1487"/>
      <c r="V22" s="1487"/>
    </row>
    <row r="23" spans="1:22">
      <c r="A23" s="1487"/>
      <c r="B23" s="1487"/>
      <c r="C23" s="1487"/>
      <c r="D23" s="1487"/>
      <c r="E23" s="1487"/>
      <c r="F23" s="1487"/>
      <c r="G23" s="1487"/>
      <c r="H23" s="1487"/>
      <c r="I23" s="1487"/>
      <c r="J23" s="1487"/>
      <c r="K23" s="1487"/>
      <c r="L23" s="1487"/>
      <c r="M23" s="1487"/>
      <c r="N23" s="1487"/>
      <c r="O23" s="1487"/>
      <c r="P23" s="1487"/>
      <c r="Q23" s="1487"/>
      <c r="R23" s="1487"/>
      <c r="S23" s="1487"/>
      <c r="T23" s="1487"/>
      <c r="U23" s="1487"/>
      <c r="V23" s="1487"/>
    </row>
    <row r="24" spans="1:22">
      <c r="A24" s="1487"/>
      <c r="B24" s="1487"/>
      <c r="C24" s="1487"/>
      <c r="D24" s="1487"/>
      <c r="E24" s="1487"/>
      <c r="F24" s="1487"/>
      <c r="G24" s="1487"/>
      <c r="H24" s="1487"/>
      <c r="I24" s="1487"/>
      <c r="J24" s="1487"/>
      <c r="K24" s="1487"/>
      <c r="L24" s="1487"/>
      <c r="M24" s="1487"/>
      <c r="N24" s="1487"/>
      <c r="O24" s="1487"/>
      <c r="P24" s="1487"/>
      <c r="Q24" s="1487"/>
      <c r="R24" s="1487"/>
      <c r="S24" s="1487"/>
      <c r="T24" s="1487"/>
      <c r="U24" s="1487"/>
      <c r="V24" s="1487"/>
    </row>
    <row r="25" spans="1:22">
      <c r="A25" s="1487"/>
      <c r="B25" s="1487"/>
      <c r="C25" s="1487"/>
      <c r="D25" s="1487"/>
      <c r="E25" s="1487"/>
      <c r="F25" s="1487"/>
      <c r="G25" s="1487"/>
      <c r="H25" s="1487"/>
      <c r="I25" s="1487"/>
      <c r="J25" s="1487"/>
      <c r="K25" s="1487"/>
      <c r="L25" s="1487"/>
      <c r="M25" s="1487"/>
      <c r="N25" s="1487"/>
      <c r="O25" s="1487"/>
      <c r="P25" s="1487"/>
      <c r="Q25" s="1487"/>
      <c r="R25" s="1487"/>
      <c r="S25" s="1487"/>
      <c r="T25" s="1487"/>
      <c r="U25" s="1487"/>
      <c r="V25" s="1487"/>
    </row>
    <row r="26" spans="1:22">
      <c r="A26" s="1487"/>
      <c r="B26" s="1487"/>
      <c r="C26" s="1487"/>
      <c r="D26" s="1487"/>
      <c r="E26" s="1487"/>
      <c r="F26" s="1487"/>
      <c r="G26" s="1487"/>
      <c r="H26" s="1487"/>
      <c r="I26" s="1487"/>
      <c r="J26" s="1487"/>
      <c r="K26" s="1487"/>
      <c r="L26" s="1487"/>
      <c r="M26" s="1487"/>
      <c r="N26" s="1487"/>
      <c r="O26" s="1487"/>
      <c r="P26" s="1487"/>
      <c r="Q26" s="1487"/>
      <c r="R26" s="1487"/>
      <c r="S26" s="1487"/>
      <c r="T26" s="1487"/>
      <c r="U26" s="1487"/>
      <c r="V26" s="1487"/>
    </row>
    <row r="27" spans="1:22">
      <c r="A27" s="1487"/>
      <c r="B27" s="1487"/>
      <c r="C27" s="1487"/>
      <c r="D27" s="1487"/>
      <c r="E27" s="1487"/>
      <c r="F27" s="1487"/>
      <c r="G27" s="1487"/>
      <c r="H27" s="1487"/>
      <c r="I27" s="1487"/>
      <c r="J27" s="1487"/>
      <c r="K27" s="1487"/>
      <c r="L27" s="1487"/>
      <c r="M27" s="1487"/>
      <c r="N27" s="1487"/>
      <c r="O27" s="1487"/>
      <c r="P27" s="1487"/>
      <c r="Q27" s="1487"/>
      <c r="R27" s="1487"/>
      <c r="S27" s="1487"/>
      <c r="T27" s="1487"/>
      <c r="U27" s="1487"/>
      <c r="V27" s="1487"/>
    </row>
    <row r="28" spans="1:22">
      <c r="A28" s="1487"/>
      <c r="B28" s="1487"/>
      <c r="C28" s="1487"/>
      <c r="D28" s="1487"/>
      <c r="E28" s="1487"/>
      <c r="F28" s="1487"/>
      <c r="G28" s="1487"/>
      <c r="H28" s="1487"/>
      <c r="I28" s="1487"/>
      <c r="J28" s="1487"/>
      <c r="K28" s="1487"/>
      <c r="L28" s="1487"/>
      <c r="M28" s="1487"/>
      <c r="N28" s="1487"/>
      <c r="O28" s="1487"/>
      <c r="P28" s="1487"/>
      <c r="Q28" s="1487"/>
      <c r="R28" s="1487"/>
      <c r="S28" s="1487"/>
      <c r="T28" s="1487"/>
      <c r="U28" s="1487"/>
      <c r="V28" s="1487"/>
    </row>
    <row r="29" spans="1:22">
      <c r="A29" s="1487"/>
      <c r="B29" s="1487"/>
      <c r="C29" s="1487"/>
      <c r="D29" s="1487"/>
      <c r="E29" s="1487"/>
      <c r="F29" s="1487"/>
      <c r="G29" s="1487"/>
      <c r="H29" s="1487"/>
      <c r="I29" s="1487"/>
      <c r="J29" s="1487"/>
      <c r="K29" s="1487"/>
      <c r="L29" s="1487"/>
      <c r="M29" s="1487"/>
      <c r="N29" s="1487"/>
      <c r="O29" s="1487"/>
      <c r="P29" s="1487"/>
      <c r="Q29" s="1487"/>
      <c r="R29" s="1487"/>
      <c r="S29" s="1487"/>
      <c r="T29" s="1487"/>
      <c r="U29" s="1487"/>
      <c r="V29" s="1487"/>
    </row>
    <row r="30" spans="1:22">
      <c r="A30" s="1487"/>
      <c r="B30" s="1487"/>
      <c r="C30" s="1487"/>
      <c r="D30" s="1487"/>
      <c r="E30" s="1487"/>
      <c r="F30" s="1487"/>
      <c r="G30" s="1487"/>
      <c r="H30" s="1487"/>
      <c r="I30" s="1487"/>
      <c r="J30" s="1487"/>
      <c r="K30" s="1487"/>
      <c r="L30" s="1487"/>
      <c r="M30" s="1487"/>
      <c r="N30" s="1487"/>
      <c r="O30" s="1487"/>
      <c r="P30" s="1487"/>
      <c r="Q30" s="1487"/>
      <c r="R30" s="1487"/>
      <c r="S30" s="1487"/>
      <c r="T30" s="1487"/>
      <c r="U30" s="1487"/>
      <c r="V30" s="1487"/>
    </row>
    <row r="31" spans="1:22">
      <c r="A31" s="1487"/>
      <c r="B31" s="1487"/>
      <c r="C31" s="1487"/>
      <c r="D31" s="1487"/>
      <c r="E31" s="1487"/>
      <c r="F31" s="1487"/>
      <c r="G31" s="1487"/>
      <c r="H31" s="1487"/>
      <c r="I31" s="1487"/>
      <c r="J31" s="1487"/>
      <c r="K31" s="1487"/>
      <c r="L31" s="1487"/>
      <c r="M31" s="1487"/>
      <c r="N31" s="1487"/>
      <c r="O31" s="1487"/>
      <c r="P31" s="1487"/>
      <c r="Q31" s="1487"/>
      <c r="R31" s="1487"/>
      <c r="S31" s="1487"/>
      <c r="T31" s="1487"/>
      <c r="U31" s="1487"/>
      <c r="V31" s="1487"/>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2" zoomScale="70" zoomScaleNormal="70" zoomScaleSheetLayoutView="70" workbookViewId="0">
      <selection activeCell="H40" sqref="H40"/>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t="s">
        <v>673</v>
      </c>
      <c r="D1" s="1360" t="s">
        <v>43</v>
      </c>
      <c r="E1" s="1361" t="s">
        <v>678</v>
      </c>
      <c r="F1" s="1061">
        <f ca="1">J53</f>
        <v>18.84</v>
      </c>
      <c r="G1" s="1376">
        <f>MATCH(C1,'数据-取费表'!A6:A16,0)+5</f>
        <v>6</v>
      </c>
      <c r="H1" s="2689"/>
      <c r="I1" s="2690"/>
      <c r="J1" s="2690"/>
      <c r="K1" s="2691"/>
      <c r="L1" s="2690"/>
      <c r="M1" s="2690"/>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804</v>
      </c>
      <c r="B2" s="1384">
        <f ca="1">C40+J29+L46</f>
        <v>16158</v>
      </c>
      <c r="C2" s="1385" t="s">
        <v>805</v>
      </c>
      <c r="D2" s="1385"/>
      <c r="E2" s="1386"/>
      <c r="F2" s="1387"/>
      <c r="G2" s="2703"/>
      <c r="H2" s="2692"/>
      <c r="I2" s="2692"/>
      <c r="J2" s="2692"/>
      <c r="K2" s="2693"/>
      <c r="L2" s="2692"/>
      <c r="M2" s="2692"/>
    </row>
    <row r="3" spans="1:37" ht="18" customHeight="1" thickBot="1">
      <c r="A3" s="1388" t="s">
        <v>806</v>
      </c>
      <c r="B3" s="1389">
        <f ca="1">IF(ISERROR(B2*10000/F43),0,ROUND(B2*10000/F43,0))</f>
        <v>8054</v>
      </c>
      <c r="C3" s="1385" t="s">
        <v>807</v>
      </c>
      <c r="D3" s="1385"/>
      <c r="E3" s="1386"/>
      <c r="F3" s="1387"/>
      <c r="G3" s="2703"/>
      <c r="H3" s="682"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9">
        <f ca="1">C6+C10+C12</f>
        <v>1320</v>
      </c>
      <c r="D5" s="1362" t="s">
        <v>693</v>
      </c>
      <c r="E5" s="1070"/>
      <c r="F5" s="1071"/>
      <c r="G5" s="1382"/>
      <c r="H5" s="299">
        <v>1</v>
      </c>
      <c r="I5" s="300" t="s">
        <v>692</v>
      </c>
      <c r="J5" s="1069">
        <f ca="1">J6+J10+J12</f>
        <v>0</v>
      </c>
      <c r="K5" s="1362" t="s">
        <v>693</v>
      </c>
      <c r="L5" s="1070"/>
      <c r="M5" s="1071"/>
    </row>
    <row r="6" spans="1:37" ht="18" customHeight="1">
      <c r="A6" s="1068" t="s">
        <v>398</v>
      </c>
      <c r="B6" s="3765" t="s">
        <v>694</v>
      </c>
      <c r="C6" s="1073">
        <f ca="1">ROUND(F6*F8*F7*(1-F9)/10000,0)</f>
        <v>1318</v>
      </c>
      <c r="D6" s="155" t="s">
        <v>2107</v>
      </c>
      <c r="E6" s="302" t="s">
        <v>696</v>
      </c>
      <c r="F6" s="303">
        <f ca="1">INDIRECT("'数据-取费表'!u"&amp;$G$1)</f>
        <v>2</v>
      </c>
      <c r="G6" s="1382"/>
      <c r="H6" s="1068" t="s">
        <v>398</v>
      </c>
      <c r="I6" s="3765" t="s">
        <v>694</v>
      </c>
      <c r="J6" s="301">
        <f ca="1">ROUND(M6*M8*M7*(1-M9)/10000,0)</f>
        <v>0</v>
      </c>
      <c r="K6" s="155" t="s">
        <v>2106</v>
      </c>
      <c r="L6" s="302" t="s">
        <v>696</v>
      </c>
      <c r="M6" s="303">
        <f ca="1">INDIRECT("'数据-取费表'!z"&amp;$G$1)</f>
        <v>0</v>
      </c>
    </row>
    <row r="7" spans="1:37" ht="18" customHeight="1">
      <c r="A7" s="1072"/>
      <c r="B7" s="3766"/>
      <c r="C7" s="1074"/>
      <c r="D7" s="307"/>
      <c r="E7" s="1075" t="s">
        <v>697</v>
      </c>
      <c r="F7" s="303">
        <f ca="1">IF(INDIRECT("'数据-取费表'!ah"&amp;$G$1)="",INDIRECT("'数据-取费表'!k"&amp;$G$1),INDIRECT("'数据-取费表'!ah"&amp;$G$1))</f>
        <v>20062.899999999998</v>
      </c>
      <c r="G7" s="1382"/>
      <c r="H7" s="304"/>
      <c r="I7" s="3766"/>
      <c r="J7" s="306"/>
      <c r="K7" s="307"/>
      <c r="L7" s="302" t="s">
        <v>697</v>
      </c>
      <c r="M7" s="303">
        <f ca="1">F7</f>
        <v>20062.899999999998</v>
      </c>
    </row>
    <row r="8" spans="1:37" ht="18" customHeight="1">
      <c r="A8" s="304"/>
      <c r="B8" s="3766"/>
      <c r="C8" s="306"/>
      <c r="D8" s="307"/>
      <c r="E8" s="302" t="s">
        <v>698</v>
      </c>
      <c r="F8" s="303">
        <f ca="1">INDIRECT("'数据-取费表'!ai"&amp;$G$1)</f>
        <v>365</v>
      </c>
      <c r="G8" s="1382"/>
      <c r="H8" s="304"/>
      <c r="I8" s="3766"/>
      <c r="J8" s="306"/>
      <c r="K8" s="307"/>
      <c r="L8" s="302" t="s">
        <v>698</v>
      </c>
      <c r="M8" s="303">
        <f ca="1">INDIRECT("'数据-取费表'!ai"&amp;$G$1)</f>
        <v>365</v>
      </c>
    </row>
    <row r="9" spans="1:37" ht="18" customHeight="1">
      <c r="A9" s="304"/>
      <c r="B9" s="3767"/>
      <c r="C9" s="306"/>
      <c r="D9" s="307"/>
      <c r="E9" s="302" t="s">
        <v>699</v>
      </c>
      <c r="F9" s="312">
        <f ca="1">INDIRECT("'数据-取费表'!w"&amp;$G$1)</f>
        <v>0.1</v>
      </c>
      <c r="G9" s="1382"/>
      <c r="H9" s="304"/>
      <c r="I9" s="3767"/>
      <c r="J9" s="306"/>
      <c r="K9" s="307"/>
      <c r="L9" s="313" t="s">
        <v>699</v>
      </c>
      <c r="M9" s="314">
        <f ca="1">INDIRECT("'数据-取费表'!ab"&amp;$G$1)</f>
        <v>0</v>
      </c>
    </row>
    <row r="10" spans="1:37" ht="18" customHeight="1">
      <c r="A10" s="1068" t="s">
        <v>402</v>
      </c>
      <c r="B10" s="1363" t="s">
        <v>700</v>
      </c>
      <c r="C10" s="316">
        <f ca="1">ROUND(IF(F10="押一",C6/12*F11,IF(F10="押二",C6/12*2*F11,IF(F10="押三",C6/12*3*F11,C11*F11))),0)</f>
        <v>2</v>
      </c>
      <c r="D10" s="1364" t="s">
        <v>2115</v>
      </c>
      <c r="E10" s="313" t="s">
        <v>701</v>
      </c>
      <c r="F10" s="1115" t="s">
        <v>3396</v>
      </c>
      <c r="G10" s="1382"/>
      <c r="H10" s="1068" t="s">
        <v>402</v>
      </c>
      <c r="I10" s="1363" t="s">
        <v>700</v>
      </c>
      <c r="J10" s="301">
        <f ca="1">ROUND(IF(M10="押一",J6/12*M11,IF(M10="押二",J6/12*2*M11,IF(M10="押三",J6/12*3*M11,J11*M11))),0)</f>
        <v>0</v>
      </c>
      <c r="K10" s="1364" t="s">
        <v>2114</v>
      </c>
      <c r="L10" s="313" t="s">
        <v>701</v>
      </c>
      <c r="M10" s="1115"/>
    </row>
    <row r="11" spans="1:37" ht="18" customHeight="1">
      <c r="A11" s="308"/>
      <c r="B11" s="1365" t="s">
        <v>679</v>
      </c>
      <c r="C11" s="958"/>
      <c r="D11" s="1366"/>
      <c r="E11" s="313" t="s">
        <v>702</v>
      </c>
      <c r="F11" s="314">
        <f ca="1">'数据-取费表'!B39</f>
        <v>1.4999999999999999E-2</v>
      </c>
      <c r="G11" s="1382"/>
      <c r="H11" s="1076"/>
      <c r="I11" s="1365" t="s">
        <v>679</v>
      </c>
      <c r="J11" s="958"/>
      <c r="K11" s="683"/>
      <c r="L11" s="313" t="s">
        <v>702</v>
      </c>
      <c r="M11" s="861">
        <f ca="1">'数据-取费表'!B39</f>
        <v>1.4999999999999999E-2</v>
      </c>
    </row>
    <row r="12" spans="1:37" ht="18" customHeight="1" thickBot="1">
      <c r="A12" s="1082" t="s">
        <v>437</v>
      </c>
      <c r="B12" s="1367" t="s">
        <v>703</v>
      </c>
      <c r="C12" s="1083"/>
      <c r="D12" s="1084"/>
      <c r="E12" s="1089"/>
      <c r="F12" s="1085"/>
      <c r="G12" s="1382"/>
      <c r="H12" s="1082" t="s">
        <v>437</v>
      </c>
      <c r="I12" s="1367" t="s">
        <v>703</v>
      </c>
      <c r="J12" s="1083"/>
      <c r="K12" s="1097"/>
      <c r="L12" s="1089"/>
      <c r="M12" s="1098"/>
    </row>
    <row r="13" spans="1:37" ht="18" customHeight="1" thickTop="1">
      <c r="A13" s="1078">
        <v>2</v>
      </c>
      <c r="B13" s="1079" t="s">
        <v>704</v>
      </c>
      <c r="C13" s="310">
        <f ca="1">ROUND(C29*F13,0)</f>
        <v>11201</v>
      </c>
      <c r="D13" s="1080" t="s">
        <v>705</v>
      </c>
      <c r="E13" s="1080" t="s">
        <v>706</v>
      </c>
      <c r="F13" s="1081">
        <f ca="1">INDIRECT("'数据-取费表'!y"&amp;$G$1)</f>
        <v>0.75</v>
      </c>
      <c r="G13" s="1382"/>
      <c r="H13" s="1078">
        <v>2</v>
      </c>
      <c r="I13" s="1079" t="s">
        <v>704</v>
      </c>
      <c r="J13" s="1067">
        <f ca="1">ROUND(J14*J15,0)</f>
        <v>0</v>
      </c>
      <c r="K13" s="1086" t="s">
        <v>705</v>
      </c>
      <c r="L13" s="1390"/>
      <c r="M13" s="1391"/>
    </row>
    <row r="14" spans="1:37" ht="18" customHeight="1">
      <c r="A14" s="981" t="s">
        <v>397</v>
      </c>
      <c r="B14" s="302" t="s">
        <v>707</v>
      </c>
      <c r="C14" s="318">
        <f ca="1">INDIRECT("'数据-取费表'!m"&amp;$G$1)+INDIRECT("'数据-取费表'!t"&amp;$G$1)</f>
        <v>10031</v>
      </c>
      <c r="D14" s="1343" t="s">
        <v>708</v>
      </c>
      <c r="E14" s="1340"/>
      <c r="F14" s="319"/>
      <c r="G14" s="1382"/>
      <c r="H14" s="981" t="s">
        <v>398</v>
      </c>
      <c r="I14" s="302" t="s">
        <v>709</v>
      </c>
      <c r="J14" s="21">
        <f ca="1">C29</f>
        <v>14935</v>
      </c>
      <c r="K14" s="12"/>
      <c r="L14" s="806"/>
      <c r="M14" s="807"/>
    </row>
    <row r="15" spans="1:37" s="1395" customFormat="1" ht="18" customHeight="1" thickBot="1">
      <c r="A15" s="981" t="s">
        <v>399</v>
      </c>
      <c r="B15" s="302" t="s">
        <v>710</v>
      </c>
      <c r="C15" s="21">
        <f ca="1">ROUND(C14*F15,0)</f>
        <v>301</v>
      </c>
      <c r="D15" s="320" t="s">
        <v>711</v>
      </c>
      <c r="E15" s="320" t="s">
        <v>712</v>
      </c>
      <c r="F15" s="321">
        <f>'数据-取费表'!B33</f>
        <v>0.03</v>
      </c>
      <c r="G15" s="1394"/>
      <c r="H15" s="1088" t="s">
        <v>402</v>
      </c>
      <c r="I15" s="1089" t="s">
        <v>706</v>
      </c>
      <c r="J15" s="1098">
        <f ca="1">INDIRECT("'数据-取费表'!ad"&amp;$G$1)</f>
        <v>0</v>
      </c>
      <c r="K15" s="1099"/>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ROUND(INDIRECT("'数据-取费表'!m"&amp;$G$1)*F16,0)</f>
        <v>0</v>
      </c>
      <c r="D16" s="302" t="s">
        <v>711</v>
      </c>
      <c r="E16" s="302" t="s">
        <v>712</v>
      </c>
      <c r="F16" s="322">
        <f ca="1">IF(INDIRECT("'数据-取费表'!c"&amp;$G$1)="住宅",'数据-取费表'!B34,0)</f>
        <v>0</v>
      </c>
      <c r="G16" s="1382"/>
      <c r="H16" s="1078" t="s">
        <v>393</v>
      </c>
      <c r="I16" s="1079" t="s">
        <v>714</v>
      </c>
      <c r="J16" s="310">
        <f ca="1">ROUND(J17+J22+J23+J24,0)</f>
        <v>76</v>
      </c>
      <c r="K16" s="1086" t="s">
        <v>715</v>
      </c>
      <c r="L16" s="1087"/>
      <c r="M16" s="1071"/>
    </row>
    <row r="17" spans="1:37" s="1395" customFormat="1" ht="18" customHeight="1">
      <c r="A17" s="981" t="s">
        <v>681</v>
      </c>
      <c r="B17" s="302" t="s">
        <v>716</v>
      </c>
      <c r="C17" s="21">
        <f ca="1">ROUND(F17*(F43+INDIRECT("'数据-取费表'!S"&amp;$G$1))/10000,0)</f>
        <v>401</v>
      </c>
      <c r="D17" s="302" t="s">
        <v>717</v>
      </c>
      <c r="E17" s="302" t="s">
        <v>718</v>
      </c>
      <c r="F17" s="23">
        <f>'数据-取费表'!B35</f>
        <v>200</v>
      </c>
      <c r="G17" s="1394"/>
      <c r="H17" s="981" t="s">
        <v>398</v>
      </c>
      <c r="I17" s="302" t="s">
        <v>719</v>
      </c>
      <c r="J17" s="2313">
        <f ca="1">ROUND(IF(AND(项目基本情况!B11="自然人",项目基本情况!B10="北京市"),J6*M17/(1+'数据-取费表'!C42),J18+J19+J20),2)</f>
        <v>1.56</v>
      </c>
      <c r="K17" s="1343" t="s">
        <v>720</v>
      </c>
      <c r="L17" s="1342" t="s">
        <v>721</v>
      </c>
      <c r="M17" s="2312"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150</v>
      </c>
      <c r="D18" s="302" t="s">
        <v>711</v>
      </c>
      <c r="E18" s="302" t="s">
        <v>712</v>
      </c>
      <c r="F18" s="322">
        <f>'数据-取费表'!B36</f>
        <v>1.4999999999999999E-2</v>
      </c>
      <c r="G18" s="1394"/>
      <c r="H18" s="981" t="s">
        <v>397</v>
      </c>
      <c r="I18" s="302" t="s">
        <v>723</v>
      </c>
      <c r="J18" s="21">
        <f ca="1">ROUND(J6*M18/(1+'数据-取费表'!C42),2)</f>
        <v>0</v>
      </c>
      <c r="K18" s="1342"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10883</v>
      </c>
      <c r="D19" s="131" t="s">
        <v>726</v>
      </c>
      <c r="E19" s="1358"/>
      <c r="F19" s="23"/>
      <c r="G19" s="1382"/>
      <c r="H19" s="981" t="s">
        <v>399</v>
      </c>
      <c r="I19" s="302" t="s">
        <v>727</v>
      </c>
      <c r="J19" s="21">
        <f ca="1">IF(K19="按租金收入计税",ROUND(J6*M19/(1+'数据-取费表'!C42),2),ROUND(C29*M19*0.7,2))</f>
        <v>0</v>
      </c>
      <c r="K19" s="1368" t="s">
        <v>3337</v>
      </c>
      <c r="L19" s="302" t="s">
        <v>712</v>
      </c>
      <c r="M19" s="322">
        <f>IF(K19="按租金收入计税",'数据-取费表'!B51,'数据-取费表'!B50)</f>
        <v>0.12</v>
      </c>
    </row>
    <row r="20" spans="1:37" s="1395" customFormat="1" ht="18" customHeight="1">
      <c r="A20" s="981" t="s">
        <v>402</v>
      </c>
      <c r="B20" s="302" t="s">
        <v>728</v>
      </c>
      <c r="C20" s="21">
        <f ca="1">ROUND(C19*F20,0)</f>
        <v>218</v>
      </c>
      <c r="D20" s="323" t="s">
        <v>729</v>
      </c>
      <c r="E20" s="302" t="s">
        <v>712</v>
      </c>
      <c r="F20" s="322">
        <f>'数据-取费表'!B37</f>
        <v>0.02</v>
      </c>
      <c r="G20" s="1394"/>
      <c r="H20" s="981" t="s">
        <v>680</v>
      </c>
      <c r="I20" s="155" t="s">
        <v>730</v>
      </c>
      <c r="J20" s="22">
        <f ca="1">ROUND(M20*M21/10000,2)</f>
        <v>1.56</v>
      </c>
      <c r="K20" s="324" t="s">
        <v>731</v>
      </c>
      <c r="L20" s="302" t="s">
        <v>732</v>
      </c>
      <c r="M20" s="325">
        <f>'数据-取费表'!B52</f>
        <v>1.5</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15</v>
      </c>
      <c r="D21" s="323" t="s">
        <v>734</v>
      </c>
      <c r="E21" s="302" t="s">
        <v>735</v>
      </c>
      <c r="F21" s="322">
        <f>'数据-取费表'!B38</f>
        <v>0.02</v>
      </c>
      <c r="G21" s="1394"/>
      <c r="H21" s="326"/>
      <c r="I21" s="311"/>
      <c r="J21" s="26"/>
      <c r="K21" s="327"/>
      <c r="L21" s="302" t="s">
        <v>736</v>
      </c>
      <c r="M21" s="303">
        <f ca="1">INDIRECT("'数据-取费表'!r"&amp;$G$1)</f>
        <v>10405.33</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1358"/>
      <c r="F22" s="23"/>
      <c r="G22" s="1382"/>
      <c r="H22" s="981" t="s">
        <v>402</v>
      </c>
      <c r="I22" s="302" t="s">
        <v>738</v>
      </c>
      <c r="J22" s="21">
        <f ca="1">ROUND(J14*M22,2)</f>
        <v>74.680000000000007</v>
      </c>
      <c r="K22" s="1342" t="s">
        <v>739</v>
      </c>
      <c r="L22" s="302" t="s">
        <v>712</v>
      </c>
      <c r="M22" s="328">
        <f ca="1">INDIRECT("'数据-取费表'!Ak"&amp;$G$1)</f>
        <v>5.0000000000000001E-3</v>
      </c>
    </row>
    <row r="23" spans="1:37" s="1395" customFormat="1" ht="18" customHeight="1">
      <c r="A23" s="981" t="s">
        <v>397</v>
      </c>
      <c r="B23" s="302" t="s">
        <v>740</v>
      </c>
      <c r="C23" s="21">
        <f ca="1">IF('数据-取费表'!B22&lt;=1,ROUND(C19*F24*F23/2,0)+ROUND(C20*F24*F23/2,0),ROUND(C19*(POWER((1+F24),F23/2)-1),0)+ROUND(C20*(POWER((1+F24),F23/2)-1),0))</f>
        <v>461</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ROUND(J13*M23,2)</f>
        <v>0</v>
      </c>
      <c r="K23" s="1342" t="s">
        <v>743</v>
      </c>
      <c r="L23" s="302" t="s">
        <v>744</v>
      </c>
      <c r="M23" s="330">
        <f ca="1">INDIRECT("'数据-取费表'!Al"&amp;$G$1)</f>
        <v>1E-3</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4"/>
      <c r="H24" s="1088" t="s">
        <v>684</v>
      </c>
      <c r="I24" s="1089" t="s">
        <v>728</v>
      </c>
      <c r="J24" s="1090">
        <f ca="1">ROUND(J5*M24,2)</f>
        <v>0</v>
      </c>
      <c r="K24" s="1091" t="s">
        <v>748</v>
      </c>
      <c r="L24" s="1089" t="s">
        <v>744</v>
      </c>
      <c r="M24" s="1085">
        <f ca="1">INDIRECT("'数据-取费表'!Am"&amp;$G$1)</f>
        <v>5.0000000000000001E-3</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1" t="s">
        <v>749</v>
      </c>
      <c r="B25" s="302" t="s">
        <v>750</v>
      </c>
      <c r="C25" s="21"/>
      <c r="D25" s="131" t="s">
        <v>751</v>
      </c>
      <c r="E25" s="1358"/>
      <c r="F25" s="23"/>
      <c r="G25" s="1382"/>
      <c r="H25" s="1078" t="s">
        <v>394</v>
      </c>
      <c r="I25" s="1093" t="s">
        <v>752</v>
      </c>
      <c r="J25" s="310">
        <f ca="1">J5-J16</f>
        <v>-76</v>
      </c>
      <c r="K25" s="1094" t="s">
        <v>753</v>
      </c>
      <c r="L25" s="1095"/>
      <c r="M25" s="1096"/>
    </row>
    <row r="26" spans="1:37">
      <c r="A26" s="981" t="s">
        <v>397</v>
      </c>
      <c r="B26" s="302" t="s">
        <v>754</v>
      </c>
      <c r="C26" s="21">
        <f ca="1">ROUND((C19+C20)*F26,0)</f>
        <v>2220</v>
      </c>
      <c r="D26" s="323" t="s">
        <v>755</v>
      </c>
      <c r="E26" s="313" t="s">
        <v>756</v>
      </c>
      <c r="F26" s="312">
        <f ca="1">INDIRECT("'数据-取费表'!q"&amp;$G$1)</f>
        <v>0.2</v>
      </c>
      <c r="G26" s="1382"/>
      <c r="H26" s="299" t="s">
        <v>395</v>
      </c>
      <c r="I26" s="300" t="s">
        <v>757</v>
      </c>
      <c r="J26" s="301">
        <f ca="1">IF(J5&lt;&gt;0,ROUND(J25*(1-((1+M28)/(1+M26))^M27)/(M26-M28),0),0)</f>
        <v>0</v>
      </c>
      <c r="K26" s="324" t="s">
        <v>758</v>
      </c>
      <c r="L26" s="302" t="s">
        <v>759</v>
      </c>
      <c r="M26" s="312">
        <f ca="1">INDIRECT("'数据-取费表'!I"&amp;$G$1)</f>
        <v>5.5E-2</v>
      </c>
    </row>
    <row r="27" spans="1:37" ht="18" customHeight="1">
      <c r="A27" s="981" t="s">
        <v>399</v>
      </c>
      <c r="B27" s="302" t="s">
        <v>760</v>
      </c>
      <c r="C27" s="21">
        <f ca="1">ROUND(F21*F26,4)</f>
        <v>4.0000000000000001E-3</v>
      </c>
      <c r="D27" s="323" t="s">
        <v>761</v>
      </c>
      <c r="E27" s="320"/>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5.2400000000000002E-2</v>
      </c>
      <c r="D28" s="323"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8" t="s">
        <v>401</v>
      </c>
      <c r="B29" s="1089" t="s">
        <v>767</v>
      </c>
      <c r="C29" s="1090">
        <f ca="1">ROUND((C19+C20+C23+C26)/(1-F21-C24-C27-C28),0)</f>
        <v>14935</v>
      </c>
      <c r="D29" s="1091"/>
      <c r="E29" s="1089"/>
      <c r="F29" s="1092"/>
      <c r="G29" s="1394"/>
      <c r="H29" s="334" t="s">
        <v>396</v>
      </c>
      <c r="I29" s="335" t="s">
        <v>768</v>
      </c>
      <c r="J29" s="336">
        <f ca="1">ROUND(J26/(1+F40)^F41,0)</f>
        <v>0</v>
      </c>
      <c r="K29" s="337" t="s">
        <v>769</v>
      </c>
      <c r="L29" s="338"/>
      <c r="M29" s="339">
        <f ca="1">INDIRECT("'数据-取费表'!k"&amp;$G$1)</f>
        <v>20062.899999999998</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8" t="s">
        <v>393</v>
      </c>
      <c r="B30" s="1079" t="s">
        <v>714</v>
      </c>
      <c r="C30" s="310">
        <f ca="1">ROUND(C31+C36+C37+C38,0)</f>
        <v>314</v>
      </c>
      <c r="D30" s="1086" t="s">
        <v>715</v>
      </c>
      <c r="E30" s="1087"/>
      <c r="F30" s="1071"/>
      <c r="G30" s="1382"/>
      <c r="H30" s="2694"/>
      <c r="I30" s="1396"/>
      <c r="J30" s="1397"/>
      <c r="K30" s="2472"/>
      <c r="L30" s="2695"/>
      <c r="M30" s="2696"/>
    </row>
    <row r="31" spans="1:37" ht="18" customHeight="1">
      <c r="A31" s="981" t="s">
        <v>398</v>
      </c>
      <c r="B31" s="302" t="s">
        <v>719</v>
      </c>
      <c r="C31" s="2313">
        <f ca="1">ROUND(IF(AND(项目基本情况!B11="自然人",项目基本情况!B10="北京市"),C6*F31/(1+'数据-取费表'!C42),C32+C33+C34),2)</f>
        <v>221.23</v>
      </c>
      <c r="D31" s="1343" t="s">
        <v>720</v>
      </c>
      <c r="E31" s="1342" t="s">
        <v>770</v>
      </c>
      <c r="F31" s="2312" t="str">
        <f>IF(项目基本情况!B11="企业","——",IF(M47="住宅",IF(F6*F7*F8/12/(1+'数据-取费表'!F30)&gt;100000,4%,2.5%),IF(F6*F7*F8/12/(1+'数据-取费表'!F30)&gt;100000,12%,7%)))</f>
        <v>——</v>
      </c>
      <c r="G31" s="1382"/>
      <c r="H31" s="2804" t="s">
        <v>2308</v>
      </c>
      <c r="I31" s="1396"/>
      <c r="J31" s="1397"/>
      <c r="K31" s="2472"/>
      <c r="L31" s="2695"/>
      <c r="M31" s="2696"/>
    </row>
    <row r="32" spans="1:37" ht="18" customHeight="1">
      <c r="A32" s="981" t="s">
        <v>397</v>
      </c>
      <c r="B32" s="302" t="s">
        <v>723</v>
      </c>
      <c r="C32" s="21">
        <f ca="1">IF(项目基本情况!B11="自然人","——",ROUND(C6*F32/(1+'数据-取费表'!C42),2))</f>
        <v>69.040000000000006</v>
      </c>
      <c r="D32" s="1342" t="s">
        <v>724</v>
      </c>
      <c r="E32" s="302" t="s">
        <v>712</v>
      </c>
      <c r="F32" s="331">
        <f>'数据-取费表'!B41</f>
        <v>5.5000000000000007E-2</v>
      </c>
      <c r="G32" s="1382"/>
      <c r="H32" s="2694"/>
      <c r="I32" s="1396"/>
      <c r="J32" s="1397"/>
      <c r="K32" s="2472"/>
      <c r="L32" s="2695"/>
      <c r="M32" s="2696"/>
    </row>
    <row r="33" spans="1:18" ht="18" customHeight="1">
      <c r="A33" s="981" t="s">
        <v>399</v>
      </c>
      <c r="B33" s="302" t="s">
        <v>727</v>
      </c>
      <c r="C33" s="21">
        <f ca="1">IF(项目基本情况!B11="自然人","——",IF(D33="按租金收入计税",ROUND(C6*F33/(1+'数据-取费表'!C42),2),IF(D33="按房产原值计税",ROUND(C29*F33*0.7,2),INDIRECT("'数据-取费表'!Aj"&amp;$G$1))))</f>
        <v>150.63</v>
      </c>
      <c r="D33" s="1368" t="s">
        <v>3337</v>
      </c>
      <c r="E33" s="302" t="s">
        <v>712</v>
      </c>
      <c r="F33" s="322">
        <f>IF(D33="按票据","——",IF(D33="按租金收入计税",'数据-取费表'!B51,'数据-取费表'!B50))</f>
        <v>0.12</v>
      </c>
      <c r="G33" s="1382"/>
      <c r="H33" s="2697"/>
      <c r="I33" s="1396"/>
      <c r="J33" s="1397"/>
      <c r="K33" s="2698"/>
      <c r="L33" s="2697"/>
      <c r="M33" s="2697"/>
    </row>
    <row r="34" spans="1:18" ht="18" customHeight="1">
      <c r="A34" s="1068" t="s">
        <v>680</v>
      </c>
      <c r="B34" s="155" t="s">
        <v>730</v>
      </c>
      <c r="C34" s="22">
        <f ca="1">IF(项目基本情况!B11="自然人","——",ROUND(F34*F35/10000,2))</f>
        <v>1.56</v>
      </c>
      <c r="D34" s="324" t="s">
        <v>731</v>
      </c>
      <c r="E34" s="302" t="s">
        <v>732</v>
      </c>
      <c r="F34" s="325">
        <f>'数据-取费表'!B52</f>
        <v>1.5</v>
      </c>
      <c r="G34" s="1382"/>
      <c r="H34" s="2694"/>
      <c r="I34" s="1396"/>
      <c r="J34" s="1397"/>
      <c r="K34" s="2699"/>
      <c r="L34" s="2700"/>
      <c r="M34" s="2700"/>
    </row>
    <row r="35" spans="1:18" ht="18" customHeight="1">
      <c r="A35" s="1102"/>
      <c r="B35" s="1100"/>
      <c r="C35" s="26"/>
      <c r="D35" s="327"/>
      <c r="E35" s="302" t="s">
        <v>736</v>
      </c>
      <c r="F35" s="303">
        <f ca="1">INDIRECT("'数据-取费表'!r"&amp;$G$1)</f>
        <v>10405.33</v>
      </c>
      <c r="G35" s="1382"/>
      <c r="H35" s="2694"/>
      <c r="I35" s="1396"/>
      <c r="J35" s="1397"/>
      <c r="K35" s="2698"/>
      <c r="L35" s="2697"/>
      <c r="M35" s="2697"/>
    </row>
    <row r="36" spans="1:18" ht="18" customHeight="1">
      <c r="A36" s="1101" t="s">
        <v>402</v>
      </c>
      <c r="B36" s="302" t="s">
        <v>738</v>
      </c>
      <c r="C36" s="21">
        <f ca="1">ROUND(C29*F36,2)</f>
        <v>74.680000000000007</v>
      </c>
      <c r="D36" s="1342" t="s">
        <v>771</v>
      </c>
      <c r="E36" s="302" t="s">
        <v>712</v>
      </c>
      <c r="F36" s="328">
        <f ca="1">INDIRECT("'数据-取费表'!Ak"&amp;$G$1)</f>
        <v>5.0000000000000001E-3</v>
      </c>
      <c r="G36" s="1382"/>
      <c r="H36" s="2697"/>
      <c r="I36" s="1396"/>
      <c r="J36" s="1397"/>
      <c r="K36" s="2541"/>
      <c r="L36" s="2697"/>
      <c r="M36" s="2697"/>
    </row>
    <row r="37" spans="1:18" ht="18" customHeight="1">
      <c r="A37" s="981" t="s">
        <v>437</v>
      </c>
      <c r="B37" s="302" t="s">
        <v>742</v>
      </c>
      <c r="C37" s="21">
        <f ca="1">ROUND(C13*F37,2)</f>
        <v>11.2</v>
      </c>
      <c r="D37" s="1342" t="s">
        <v>743</v>
      </c>
      <c r="E37" s="302" t="s">
        <v>744</v>
      </c>
      <c r="F37" s="330">
        <f ca="1">INDIRECT("'数据-取费表'!Al"&amp;$G$1)</f>
        <v>1E-3</v>
      </c>
      <c r="G37" s="1382"/>
      <c r="H37" s="2697"/>
      <c r="I37" s="1396"/>
      <c r="J37" s="1397"/>
      <c r="K37" s="2541"/>
      <c r="L37" s="2697"/>
      <c r="M37" s="2697"/>
    </row>
    <row r="38" spans="1:18" ht="18" customHeight="1" thickBot="1">
      <c r="A38" s="1088" t="s">
        <v>684</v>
      </c>
      <c r="B38" s="1089" t="s">
        <v>728</v>
      </c>
      <c r="C38" s="1090">
        <f ca="1">ROUND(C5*F38,2)</f>
        <v>6.6</v>
      </c>
      <c r="D38" s="1091" t="s">
        <v>748</v>
      </c>
      <c r="E38" s="1089" t="s">
        <v>744</v>
      </c>
      <c r="F38" s="1085">
        <f ca="1">INDIRECT("'数据-取费表'!Am"&amp;$G$1)</f>
        <v>5.0000000000000001E-3</v>
      </c>
      <c r="G38" s="1382"/>
      <c r="H38" s="2697"/>
      <c r="I38" s="1396"/>
      <c r="J38" s="1397"/>
      <c r="K38" s="2701"/>
      <c r="L38" s="2697"/>
      <c r="M38" s="2697"/>
    </row>
    <row r="39" spans="1:18" ht="24.6" customHeight="1" thickTop="1">
      <c r="A39" s="1078" t="s">
        <v>394</v>
      </c>
      <c r="B39" s="1093" t="s">
        <v>772</v>
      </c>
      <c r="C39" s="310">
        <f ca="1">C5-C30</f>
        <v>1006</v>
      </c>
      <c r="D39" s="1094" t="s">
        <v>773</v>
      </c>
      <c r="E39" s="1095"/>
      <c r="F39" s="1096"/>
      <c r="G39" s="1382"/>
      <c r="H39" s="2697">
        <f ca="1">C39/C5</f>
        <v>0.76212121212121209</v>
      </c>
      <c r="I39" s="1396"/>
      <c r="J39" s="1397"/>
      <c r="K39" s="2701"/>
      <c r="L39" s="2697"/>
      <c r="M39" s="2697"/>
    </row>
    <row r="40" spans="1:18" ht="18" customHeight="1">
      <c r="A40" s="299" t="s">
        <v>395</v>
      </c>
      <c r="B40" s="300" t="s">
        <v>774</v>
      </c>
      <c r="C40" s="301">
        <f ca="1">ROUND(C39*(1-((1+F42)/(1+F40))^F41)/(F40-F42),0)</f>
        <v>14629</v>
      </c>
      <c r="D40" s="324" t="s">
        <v>758</v>
      </c>
      <c r="E40" s="302" t="s">
        <v>759</v>
      </c>
      <c r="F40" s="312">
        <f ca="1">INDIRECT("'数据-取费表'!I"&amp;$G$1)</f>
        <v>5.5E-2</v>
      </c>
      <c r="G40" s="1382"/>
      <c r="H40" s="1459"/>
      <c r="I40" s="1396"/>
      <c r="J40" s="1397"/>
      <c r="K40" s="2701"/>
      <c r="L40" s="1459"/>
      <c r="M40" s="1459"/>
    </row>
    <row r="41" spans="1:18" ht="18" customHeight="1">
      <c r="A41" s="304"/>
      <c r="B41" s="305"/>
      <c r="C41" s="306"/>
      <c r="D41" s="332" t="s">
        <v>775</v>
      </c>
      <c r="E41" s="302" t="s">
        <v>763</v>
      </c>
      <c r="F41" s="333">
        <f ca="1">IF(INDIRECT("'数据-取费表'!af"&amp;$G$1)=0,INDIRECT("'数据-取费表'!ae"&amp;$G$1),INDIRECT("'数据-取费表'!af"&amp;$G$1))</f>
        <v>18.84</v>
      </c>
      <c r="G41" s="1382"/>
      <c r="H41" s="1189"/>
      <c r="I41" s="1396"/>
      <c r="J41" s="1397"/>
      <c r="K41" s="2541"/>
      <c r="L41" s="1189"/>
      <c r="M41" s="1189"/>
    </row>
    <row r="42" spans="1:18" ht="18" customHeight="1">
      <c r="A42" s="308"/>
      <c r="B42" s="309"/>
      <c r="C42" s="310"/>
      <c r="D42" s="327"/>
      <c r="E42" s="302" t="s">
        <v>766</v>
      </c>
      <c r="F42" s="312">
        <f ca="1">INDIRECT("'数据-取费表'!v"&amp;$G$1)</f>
        <v>0.03</v>
      </c>
      <c r="G42" s="1382"/>
      <c r="H42" s="1189"/>
      <c r="I42" s="1396"/>
      <c r="J42" s="1397"/>
      <c r="K42" s="2541"/>
      <c r="L42" s="1189"/>
      <c r="M42" s="1189"/>
    </row>
    <row r="43" spans="1:18" ht="18" customHeight="1" thickBot="1">
      <c r="A43" s="334" t="s">
        <v>396</v>
      </c>
      <c r="B43" s="335" t="s">
        <v>776</v>
      </c>
      <c r="C43" s="336">
        <f ca="1">ROUND(C40*10000/F43,0)</f>
        <v>7292</v>
      </c>
      <c r="D43" s="337" t="s">
        <v>777</v>
      </c>
      <c r="E43" s="338" t="s">
        <v>778</v>
      </c>
      <c r="F43" s="339">
        <f ca="1">INDIRECT("'数据-取费表'!k"&amp;$G$1)</f>
        <v>20062.899999999998</v>
      </c>
      <c r="G43" s="1382"/>
      <c r="H43" s="1189"/>
      <c r="I43" s="1189"/>
      <c r="J43" s="1189"/>
      <c r="K43" s="2541"/>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5"/>
      <c r="O45" s="2702" t="s">
        <v>808</v>
      </c>
      <c r="P45" s="1459"/>
      <c r="Q45" s="1459"/>
      <c r="R45" s="1459"/>
    </row>
    <row r="46" spans="1:18" s="1382" customFormat="1" ht="13.5" thickBot="1">
      <c r="A46" s="1402" t="s">
        <v>809</v>
      </c>
      <c r="C46" s="1403">
        <f ca="1">C68-C40</f>
        <v>-15645</v>
      </c>
      <c r="D46" s="1404" t="str">
        <f>C2</f>
        <v>万元</v>
      </c>
      <c r="E46" s="1398"/>
      <c r="F46" s="1398"/>
      <c r="I46" s="1405" t="s">
        <v>810</v>
      </c>
      <c r="J46" s="1406"/>
      <c r="K46" s="1407"/>
      <c r="L46" s="1408">
        <f ca="1">IF(M47="住宅",0,IF(L48&gt;J51,L60,J60))</f>
        <v>1529</v>
      </c>
      <c r="O46" s="1409" t="s">
        <v>811</v>
      </c>
      <c r="P46" s="1410" t="s">
        <v>812</v>
      </c>
      <c r="Q46" s="1411" t="s">
        <v>813</v>
      </c>
      <c r="R46" s="1411" t="s">
        <v>814</v>
      </c>
    </row>
    <row r="47" spans="1:18" s="1382" customFormat="1" ht="13.5" thickBot="1">
      <c r="A47" s="945" t="s">
        <v>687</v>
      </c>
      <c r="B47" s="977" t="s">
        <v>688</v>
      </c>
      <c r="C47" s="1116" t="s">
        <v>689</v>
      </c>
      <c r="D47" s="977" t="s">
        <v>690</v>
      </c>
      <c r="E47" s="1057" t="s">
        <v>691</v>
      </c>
      <c r="F47" s="1058"/>
      <c r="G47" s="721"/>
      <c r="I47" s="1412" t="s">
        <v>815</v>
      </c>
      <c r="J47" s="1413" t="s">
        <v>3397</v>
      </c>
      <c r="K47" s="1414" t="s">
        <v>816</v>
      </c>
      <c r="L47" s="1415">
        <f ca="1">INDIRECT("'数据-取费表'!d"&amp;$G$1)</f>
        <v>40</v>
      </c>
      <c r="M47" s="1378" t="str">
        <f>IF(ISNUMBER(FIND("住宅",C1)),"住宅","非住宅")</f>
        <v>非住宅</v>
      </c>
      <c r="O47" s="1416" t="s">
        <v>403</v>
      </c>
      <c r="P47" s="1417" t="s">
        <v>817</v>
      </c>
      <c r="Q47" s="1418">
        <f ca="1">C40+J29</f>
        <v>14629</v>
      </c>
      <c r="R47" s="1418" t="s">
        <v>818</v>
      </c>
    </row>
    <row r="48" spans="1:18" s="1382" customFormat="1" ht="28.5" thickBot="1">
      <c r="A48" s="1109" t="s">
        <v>438</v>
      </c>
      <c r="B48" s="300" t="s">
        <v>692</v>
      </c>
      <c r="C48" s="1357">
        <f ca="1">C49+C53+C55</f>
        <v>0</v>
      </c>
      <c r="D48" s="1111"/>
      <c r="E48" s="1112"/>
      <c r="F48" s="961"/>
      <c r="G48" s="721"/>
      <c r="H48" s="722"/>
      <c r="I48" s="1419" t="s">
        <v>819</v>
      </c>
      <c r="J48" s="1420" t="s">
        <v>3398</v>
      </c>
      <c r="K48" s="1421" t="s">
        <v>820</v>
      </c>
      <c r="L48" s="1422">
        <f ca="1">INDIRECT("'数据-取费表'!f"&amp;$G$1)</f>
        <v>18.84</v>
      </c>
      <c r="O48" s="1416" t="s">
        <v>404</v>
      </c>
      <c r="P48" s="1417" t="s">
        <v>821</v>
      </c>
      <c r="Q48" s="1418">
        <f ca="1">J60</f>
        <v>1529</v>
      </c>
      <c r="R48" s="1418" t="s">
        <v>822</v>
      </c>
    </row>
    <row r="49" spans="1:18" s="1382" customFormat="1" ht="13.5" thickBot="1">
      <c r="A49" s="974" t="s">
        <v>439</v>
      </c>
      <c r="B49" s="1369" t="s">
        <v>779</v>
      </c>
      <c r="C49" s="1113">
        <f ca="1">ROUND(F49*F51*F50*(1-F52)/10000,0)</f>
        <v>0</v>
      </c>
      <c r="D49" s="1054" t="s">
        <v>2108</v>
      </c>
      <c r="E49" s="1370" t="s">
        <v>780</v>
      </c>
      <c r="F49" s="1059"/>
      <c r="G49" s="1423"/>
      <c r="H49" s="722"/>
      <c r="I49" s="1419" t="s">
        <v>823</v>
      </c>
      <c r="J49" s="1424">
        <v>2005</v>
      </c>
      <c r="K49" s="1421" t="s">
        <v>824</v>
      </c>
      <c r="L49" s="1425"/>
      <c r="O49" s="1426" t="s">
        <v>405</v>
      </c>
      <c r="P49" s="1417" t="s">
        <v>825</v>
      </c>
      <c r="Q49" s="1418">
        <f ca="1">C29</f>
        <v>14935</v>
      </c>
      <c r="R49" s="1418" t="s">
        <v>818</v>
      </c>
    </row>
    <row r="50" spans="1:18" s="1382" customFormat="1" ht="13.5" thickBot="1">
      <c r="A50" s="975"/>
      <c r="B50" s="978"/>
      <c r="C50" s="1117"/>
      <c r="D50" s="952"/>
      <c r="E50" s="1055" t="s">
        <v>697</v>
      </c>
      <c r="F50" s="1056">
        <f ca="1">F7</f>
        <v>20062.899999999998</v>
      </c>
      <c r="H50" s="722"/>
      <c r="I50" s="1419" t="s">
        <v>826</v>
      </c>
      <c r="J50" s="1427">
        <f>SUMPRODUCT((I63:I65=J47)*(J62:L62=J48)*(J63:L65))</f>
        <v>60</v>
      </c>
      <c r="K50" s="1421" t="s">
        <v>827</v>
      </c>
      <c r="L50" s="1425"/>
      <c r="M50" s="1428"/>
      <c r="O50" s="1426" t="s">
        <v>406</v>
      </c>
      <c r="P50" s="1417" t="s">
        <v>828</v>
      </c>
      <c r="Q50" s="1429">
        <f ca="1">J58</f>
        <v>0.4</v>
      </c>
      <c r="R50" s="1418"/>
    </row>
    <row r="51" spans="1:18" s="1382" customFormat="1" ht="13.5" thickBot="1">
      <c r="A51" s="976"/>
      <c r="B51" s="978"/>
      <c r="C51" s="979"/>
      <c r="D51" s="952"/>
      <c r="E51" s="980" t="s">
        <v>698</v>
      </c>
      <c r="F51" s="303">
        <f ca="1">F8</f>
        <v>365</v>
      </c>
      <c r="I51" s="1430" t="s">
        <v>829</v>
      </c>
      <c r="J51" s="1431">
        <f>IF(J49="",J50,J49+J50-YEAR('数据-取费表'!B2))</f>
        <v>42</v>
      </c>
      <c r="K51" s="1432" t="s">
        <v>830</v>
      </c>
      <c r="L51" s="1433">
        <f ca="1">ROUND(-PV(INDIRECT("'数据-取费表'!h"&amp;$G$1),J51,(C39-C13*C76),0),0)</f>
        <v>2891</v>
      </c>
      <c r="M51" s="1434"/>
      <c r="O51" s="1426" t="s">
        <v>407</v>
      </c>
      <c r="P51" s="1417" t="s">
        <v>831</v>
      </c>
      <c r="Q51" s="1429">
        <f>J52</f>
        <v>7.4999999999999997E-2</v>
      </c>
      <c r="R51" s="1418"/>
    </row>
    <row r="52" spans="1:18" s="1382" customFormat="1" ht="13.5" thickBot="1">
      <c r="A52" s="976"/>
      <c r="B52" s="978"/>
      <c r="C52" s="979"/>
      <c r="D52" s="952"/>
      <c r="E52" s="980" t="s">
        <v>699</v>
      </c>
      <c r="F52" s="1053"/>
      <c r="I52" s="1435" t="s">
        <v>832</v>
      </c>
      <c r="J52" s="1436">
        <v>7.4999999999999997E-2</v>
      </c>
      <c r="K52" s="1435" t="s">
        <v>833</v>
      </c>
      <c r="L52" s="1436"/>
      <c r="O52" s="1426" t="s">
        <v>408</v>
      </c>
      <c r="P52" s="1417" t="s">
        <v>834</v>
      </c>
      <c r="Q52" s="1418">
        <f ca="1">J53</f>
        <v>18.84</v>
      </c>
      <c r="R52" s="1418" t="s">
        <v>835</v>
      </c>
    </row>
    <row r="53" spans="1:18" s="1382" customFormat="1" ht="24.75" thickBot="1">
      <c r="A53" s="1151" t="s">
        <v>440</v>
      </c>
      <c r="B53" s="1371" t="s">
        <v>700</v>
      </c>
      <c r="C53" s="316">
        <f ca="1">ROUND(IF(F53="押一",C49/12*F11,IF(F53="押二",C49/12*2*F11,IF(F53="押三",C49/12*3*F11,C54*F11))),0)</f>
        <v>0</v>
      </c>
      <c r="D53" s="1364" t="s">
        <v>2114</v>
      </c>
      <c r="E53" s="313" t="s">
        <v>701</v>
      </c>
      <c r="F53" s="1115"/>
      <c r="I53" s="1437" t="s">
        <v>836</v>
      </c>
      <c r="J53" s="2165">
        <f ca="1">IF(M47="住宅",IF(D1="——",MAX(J51,L48),MAX(J51,L48-'数据-取费表'!B24)),IF(D1="——",MIN(J51,L48),MIN(J51,L48-'数据-取费表'!B24)))</f>
        <v>18.84</v>
      </c>
      <c r="K53" s="3768" t="s">
        <v>837</v>
      </c>
      <c r="L53" s="3769"/>
      <c r="O53" s="1416" t="s">
        <v>409</v>
      </c>
      <c r="P53" s="1417" t="s">
        <v>838</v>
      </c>
      <c r="Q53" s="1418">
        <f ca="1">Q47+Q48</f>
        <v>16158</v>
      </c>
      <c r="R53" s="1418" t="s">
        <v>410</v>
      </c>
    </row>
    <row r="54" spans="1:18" s="1382" customFormat="1" ht="13.5" thickBot="1">
      <c r="A54" s="1152"/>
      <c r="B54" s="1365" t="s">
        <v>679</v>
      </c>
      <c r="C54" s="958"/>
      <c r="D54" s="1364"/>
      <c r="E54" s="1372"/>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2" t="s">
        <v>437</v>
      </c>
      <c r="B55" s="1367" t="s">
        <v>703</v>
      </c>
      <c r="C55" s="1083"/>
      <c r="D55" s="1364"/>
      <c r="E55" s="1372"/>
      <c r="F55" s="1438"/>
      <c r="I55" s="1441" t="s">
        <v>840</v>
      </c>
      <c r="J55" s="1442">
        <f ca="1">ROUND(IF(J47="钢混",J57/J50,1-(1-2%)*(J50-J57)/J50),3)</f>
        <v>0.38600000000000001</v>
      </c>
      <c r="K55" s="1443" t="s">
        <v>841</v>
      </c>
      <c r="L55" s="1444"/>
      <c r="O55" s="1409" t="s">
        <v>811</v>
      </c>
      <c r="P55" s="1410" t="s">
        <v>812</v>
      </c>
      <c r="Q55" s="1411" t="s">
        <v>813</v>
      </c>
      <c r="R55" s="1411" t="s">
        <v>814</v>
      </c>
    </row>
    <row r="56" spans="1:18" s="1382" customFormat="1" ht="25.5" thickTop="1" thickBot="1">
      <c r="A56" s="956">
        <v>2</v>
      </c>
      <c r="B56" s="957" t="s">
        <v>704</v>
      </c>
      <c r="C56" s="232">
        <f ca="1">C13</f>
        <v>11201</v>
      </c>
      <c r="D56" s="1445"/>
      <c r="E56" s="1446"/>
      <c r="F56" s="1438"/>
      <c r="I56" s="1447" t="s">
        <v>842</v>
      </c>
      <c r="J56" s="1448" t="s">
        <v>3399</v>
      </c>
      <c r="K56" s="1419" t="s">
        <v>843</v>
      </c>
      <c r="L56" s="1422" t="str">
        <f ca="1">IF(L48&lt;J51,"——",L48-J53)</f>
        <v>——</v>
      </c>
      <c r="O56" s="1416" t="s">
        <v>403</v>
      </c>
      <c r="P56" s="1417" t="s">
        <v>817</v>
      </c>
      <c r="Q56" s="1418">
        <f ca="1">C40+J29</f>
        <v>14629</v>
      </c>
      <c r="R56" s="1418" t="s">
        <v>818</v>
      </c>
    </row>
    <row r="57" spans="1:18" s="1382" customFormat="1" ht="24.75" thickBot="1">
      <c r="A57" s="1449"/>
      <c r="B57" s="949" t="s">
        <v>767</v>
      </c>
      <c r="C57" s="238">
        <f ca="1">C29</f>
        <v>14935</v>
      </c>
      <c r="D57" s="1450"/>
      <c r="E57" s="1451"/>
      <c r="F57" s="1452"/>
      <c r="I57" s="1453" t="s">
        <v>844</v>
      </c>
      <c r="J57" s="1454">
        <f ca="1">IF(OR(M47="住宅",J51&lt;L48,J56="是"),"——",J51-L48)</f>
        <v>23.16</v>
      </c>
      <c r="K57" s="1419" t="s">
        <v>845</v>
      </c>
      <c r="L57" s="1422" t="str">
        <f ca="1">IF(L48&lt;J51,"——",IF(L55="比较法",L49,IF(L55="基准地价",L50,L51)))</f>
        <v>——</v>
      </c>
      <c r="O57" s="1416" t="s">
        <v>404</v>
      </c>
      <c r="P57" s="1417" t="s">
        <v>846</v>
      </c>
      <c r="Q57" s="1418">
        <f ca="1">L60</f>
        <v>0</v>
      </c>
      <c r="R57" s="1418" t="s">
        <v>847</v>
      </c>
    </row>
    <row r="58" spans="1:18" s="1382" customFormat="1" ht="24.75" thickBot="1">
      <c r="A58" s="315" t="s">
        <v>393</v>
      </c>
      <c r="B58" s="957" t="s">
        <v>714</v>
      </c>
      <c r="C58" s="316">
        <f ca="1">ROUND(C59+C64+C65+C66,0)</f>
        <v>88</v>
      </c>
      <c r="D58" s="959" t="s">
        <v>715</v>
      </c>
      <c r="E58" s="960"/>
      <c r="F58" s="961"/>
      <c r="I58" s="1453" t="s">
        <v>848</v>
      </c>
      <c r="J58" s="1455">
        <f ca="1">IF(J55&lt;0.4,0.4,J55)</f>
        <v>0.4</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3">
        <f ca="1">ROUND(IF(AND(项目基本情况!B11="自然人",项目基本情况!B10="北京市"),C49*F59/(1+'数据-取费表'!C42),C60+C61+C62),0)</f>
        <v>2</v>
      </c>
      <c r="D59" s="962" t="s">
        <v>720</v>
      </c>
      <c r="E59" s="963" t="s">
        <v>721</v>
      </c>
      <c r="F59" s="2312" t="str">
        <f>IF(项目基本情况!B11="企业","——",IF('数据-取费表'!B10="住宅",IF(F49*F50*F51/12/(1+'数据-取费表'!F30)&gt;100000,4%,2.5%),IF(F49*F50*F51/12/(1+'数据-取费表'!F30)&gt;100000,12%,7%)))</f>
        <v>——</v>
      </c>
      <c r="I59" s="1453" t="s">
        <v>851</v>
      </c>
      <c r="J59" s="1454">
        <f ca="1">IF(OR(M47="住宅",J51&lt;L48,J56="是"),"——",ROUND(C29*J58,0))</f>
        <v>5974</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IF(项目基本情况!B11="自然人","——",ROUND(C48*F60/(1+'数据-取费表'!C42),2))</f>
        <v>0</v>
      </c>
      <c r="D60" s="963" t="s">
        <v>724</v>
      </c>
      <c r="E60" s="949" t="s">
        <v>712</v>
      </c>
      <c r="F60" s="331">
        <f t="shared" ref="F60:F66" si="0">F32</f>
        <v>5.5000000000000007E-2</v>
      </c>
      <c r="I60" s="1456" t="s">
        <v>853</v>
      </c>
      <c r="J60" s="1457">
        <f ca="1">IF(OR(M47="住宅",J51&lt;L48,J56="是"),"0",ROUND(J59/(1+J52)^J53,0))</f>
        <v>1529</v>
      </c>
      <c r="K60" s="1458" t="s">
        <v>854</v>
      </c>
      <c r="L60" s="1457">
        <f ca="1">IF(OR(M47="住宅",L48&lt;J51),0,ROUND(L57*(L58/L59-1),0))</f>
        <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IF(项目基本情况!B11="自然人","——",IF(D61="按租金收入计税",ROUND(C49*F61/(1+'数据-取费表'!C42),2),IF(D61="按房产原值计税",ROUND(C57*F61*0.7,2),INDIRECT("'数据-取费表'!Aj"&amp;$G$1))))</f>
        <v>0</v>
      </c>
      <c r="D61" s="1368" t="s">
        <v>3337</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IF(项目基本情况!B11="自然人","——",ROUND(F62*F63/10000,2))</f>
        <v>1.56</v>
      </c>
      <c r="D62" s="964" t="s">
        <v>786</v>
      </c>
      <c r="E62" s="949" t="s">
        <v>787</v>
      </c>
      <c r="F62" s="325">
        <f t="shared" si="0"/>
        <v>1.5</v>
      </c>
      <c r="I62" s="1460" t="s">
        <v>858</v>
      </c>
      <c r="J62" s="1461" t="s">
        <v>859</v>
      </c>
      <c r="K62" s="1461" t="s">
        <v>860</v>
      </c>
      <c r="L62" s="1461" t="s">
        <v>861</v>
      </c>
      <c r="M62" s="1462" t="s">
        <v>862</v>
      </c>
      <c r="O62" s="1416" t="s">
        <v>409</v>
      </c>
      <c r="P62" s="1417" t="s">
        <v>863</v>
      </c>
      <c r="Q62" s="1418">
        <f ca="1">Q56+Q57</f>
        <v>14629</v>
      </c>
      <c r="R62" s="1418" t="s">
        <v>410</v>
      </c>
    </row>
    <row r="63" spans="1:18" s="1382" customFormat="1" ht="13.5" thickBot="1">
      <c r="A63" s="326"/>
      <c r="B63" s="955"/>
      <c r="C63" s="26"/>
      <c r="D63" s="965"/>
      <c r="E63" s="949" t="s">
        <v>788</v>
      </c>
      <c r="F63" s="303">
        <f t="shared" ca="1" si="0"/>
        <v>10405.33</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ROUND(C57*F64,2)</f>
        <v>74.680000000000007</v>
      </c>
      <c r="D64" s="963" t="s">
        <v>791</v>
      </c>
      <c r="E64" s="949" t="s">
        <v>783</v>
      </c>
      <c r="F64" s="328">
        <f t="shared" ca="1" si="0"/>
        <v>5.0000000000000001E-3</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ROUND(C56*F65,2)</f>
        <v>11.2</v>
      </c>
      <c r="D65" s="963" t="s">
        <v>743</v>
      </c>
      <c r="E65" s="949" t="s">
        <v>744</v>
      </c>
      <c r="F65" s="330">
        <f t="shared" ca="1" si="0"/>
        <v>1E-3</v>
      </c>
      <c r="I65" s="1460" t="s">
        <v>867</v>
      </c>
      <c r="J65" s="1461">
        <v>40</v>
      </c>
      <c r="K65" s="1461">
        <v>30</v>
      </c>
      <c r="L65" s="1461">
        <v>50</v>
      </c>
      <c r="M65" s="1463">
        <v>0.02</v>
      </c>
      <c r="O65" s="1416" t="s">
        <v>403</v>
      </c>
      <c r="P65" s="1417" t="s">
        <v>868</v>
      </c>
      <c r="Q65" s="1418">
        <f ca="1">C40+J29</f>
        <v>14629</v>
      </c>
      <c r="R65" s="1418" t="s">
        <v>818</v>
      </c>
    </row>
    <row r="66" spans="1:18" s="1382" customFormat="1" ht="16.5" thickBot="1">
      <c r="A66" s="981" t="s">
        <v>793</v>
      </c>
      <c r="B66" s="949" t="s">
        <v>728</v>
      </c>
      <c r="C66" s="21">
        <f ca="1">ROUND(C48*F66,2)</f>
        <v>0</v>
      </c>
      <c r="D66" s="963" t="s">
        <v>794</v>
      </c>
      <c r="E66" s="949" t="s">
        <v>712</v>
      </c>
      <c r="F66" s="312">
        <f t="shared" ca="1" si="0"/>
        <v>5.0000000000000001E-3</v>
      </c>
      <c r="O66" s="1416" t="s">
        <v>404</v>
      </c>
      <c r="P66" s="1417" t="s">
        <v>846</v>
      </c>
      <c r="Q66" s="1418">
        <f ca="1">L60</f>
        <v>0</v>
      </c>
      <c r="R66" s="1418" t="s">
        <v>869</v>
      </c>
    </row>
    <row r="67" spans="1:18" s="1382" customFormat="1" ht="16.5" thickBot="1">
      <c r="A67" s="956" t="s">
        <v>394</v>
      </c>
      <c r="B67" s="966" t="s">
        <v>752</v>
      </c>
      <c r="C67" s="316">
        <f ca="1">C48-C58</f>
        <v>-88</v>
      </c>
      <c r="D67" s="962" t="s">
        <v>753</v>
      </c>
      <c r="E67" s="967"/>
      <c r="F67" s="968"/>
      <c r="O67" s="1426" t="s">
        <v>405</v>
      </c>
      <c r="P67" s="1417" t="s">
        <v>850</v>
      </c>
      <c r="Q67" s="1464">
        <f ca="1">L51</f>
        <v>2891</v>
      </c>
      <c r="R67" s="1418" t="s">
        <v>870</v>
      </c>
    </row>
    <row r="68" spans="1:18" s="1382" customFormat="1" ht="16.5" thickBot="1">
      <c r="A68" s="946" t="s">
        <v>395</v>
      </c>
      <c r="B68" s="947" t="s">
        <v>774</v>
      </c>
      <c r="C68" s="301">
        <f ca="1">ROUND(C67*(1-((1+F70)/(1+F68))^F69)/(F68-F70),0)</f>
        <v>-1016</v>
      </c>
      <c r="D68" s="964" t="s">
        <v>758</v>
      </c>
      <c r="E68" s="949" t="s">
        <v>759</v>
      </c>
      <c r="F68" s="312">
        <f ca="1">F40</f>
        <v>5.5E-2</v>
      </c>
      <c r="O68" s="1426" t="s">
        <v>406</v>
      </c>
      <c r="P68" s="1465" t="s">
        <v>871</v>
      </c>
      <c r="Q68" s="1418">
        <f ca="1">ROUND(Q69-Q70*Q71,0)</f>
        <v>166</v>
      </c>
      <c r="R68" s="1418" t="s">
        <v>414</v>
      </c>
    </row>
    <row r="69" spans="1:18" s="1382" customFormat="1" ht="13.5" thickBot="1">
      <c r="A69" s="950"/>
      <c r="B69" s="951"/>
      <c r="C69" s="306"/>
      <c r="D69" s="969" t="s">
        <v>762</v>
      </c>
      <c r="E69" s="949" t="s">
        <v>763</v>
      </c>
      <c r="F69" s="333">
        <f ca="1">F41</f>
        <v>18.84</v>
      </c>
      <c r="O69" s="1426" t="s">
        <v>411</v>
      </c>
      <c r="P69" s="1465" t="s">
        <v>872</v>
      </c>
      <c r="Q69" s="1418">
        <f ca="1">C39</f>
        <v>1006</v>
      </c>
      <c r="R69" s="1418" t="s">
        <v>818</v>
      </c>
    </row>
    <row r="70" spans="1:18" s="1382" customFormat="1" ht="13.5" thickBot="1">
      <c r="A70" s="953"/>
      <c r="B70" s="954"/>
      <c r="C70" s="310"/>
      <c r="D70" s="965"/>
      <c r="E70" s="949" t="s">
        <v>766</v>
      </c>
      <c r="F70" s="1053"/>
      <c r="O70" s="1426" t="s">
        <v>412</v>
      </c>
      <c r="P70" s="1465" t="s">
        <v>873</v>
      </c>
      <c r="Q70" s="1418">
        <f ca="1">C13</f>
        <v>11201</v>
      </c>
      <c r="R70" s="1418" t="s">
        <v>818</v>
      </c>
    </row>
    <row r="71" spans="1:18" s="1382" customFormat="1" ht="13.5" thickBot="1">
      <c r="A71" s="970" t="s">
        <v>396</v>
      </c>
      <c r="B71" s="971" t="s">
        <v>776</v>
      </c>
      <c r="C71" s="336">
        <f ca="1">ROUND(C68*10000/F71,0)</f>
        <v>-506</v>
      </c>
      <c r="D71" s="972" t="s">
        <v>777</v>
      </c>
      <c r="E71" s="973" t="s">
        <v>778</v>
      </c>
      <c r="F71" s="339">
        <f ca="1">F43</f>
        <v>20062.899999999998</v>
      </c>
      <c r="O71" s="1426" t="s">
        <v>413</v>
      </c>
      <c r="P71" s="1465" t="s">
        <v>874</v>
      </c>
      <c r="Q71" s="1429">
        <f ca="1">C76</f>
        <v>7.4999999999999997E-2</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840</v>
      </c>
      <c r="D75" s="1382"/>
      <c r="E75" s="1382"/>
      <c r="F75" s="1382"/>
      <c r="K75" s="1400"/>
      <c r="L75" s="1382"/>
      <c r="O75" s="1416" t="s">
        <v>409</v>
      </c>
      <c r="P75" s="1417" t="s">
        <v>838</v>
      </c>
      <c r="Q75" s="1418">
        <f ca="1">Q65+Q66</f>
        <v>14629</v>
      </c>
      <c r="R75" s="1418" t="s">
        <v>410</v>
      </c>
    </row>
    <row r="76" spans="1:18">
      <c r="B76" s="342" t="s">
        <v>796</v>
      </c>
      <c r="C76" s="343">
        <f ca="1">INDIRECT("'数据-取费表'!j"&amp;$G$1)</f>
        <v>7.4999999999999997E-2</v>
      </c>
      <c r="I76" s="1382"/>
      <c r="J76" s="1382"/>
      <c r="K76" s="1400"/>
      <c r="L76" s="1382"/>
    </row>
    <row r="77" spans="1:18">
      <c r="B77" s="344" t="s">
        <v>797</v>
      </c>
      <c r="C77" s="345"/>
      <c r="I77" s="1382"/>
      <c r="J77" s="1382"/>
      <c r="K77" s="1400"/>
      <c r="L77" s="1382"/>
    </row>
    <row r="78" spans="1:18">
      <c r="B78" s="270" t="s">
        <v>798</v>
      </c>
      <c r="C78" s="346"/>
    </row>
    <row r="79" spans="1:18">
      <c r="B79" s="340" t="s">
        <v>799</v>
      </c>
      <c r="C79" s="274">
        <f ca="1">1-C80</f>
        <v>0.16500000000000004</v>
      </c>
    </row>
    <row r="80" spans="1:18">
      <c r="B80" s="340" t="s">
        <v>800</v>
      </c>
      <c r="C80" s="274">
        <f ca="1">ROUND(C75/C39,3)</f>
        <v>0.83499999999999996</v>
      </c>
    </row>
    <row r="81" spans="2:3">
      <c r="B81" s="270" t="s">
        <v>801</v>
      </c>
      <c r="C81" s="238"/>
    </row>
    <row r="82" spans="2:3">
      <c r="B82" s="273" t="s">
        <v>802</v>
      </c>
      <c r="C82" s="275">
        <f ca="1">1-C83</f>
        <v>0.23399999999999999</v>
      </c>
    </row>
    <row r="83" spans="2:3">
      <c r="B83" s="273" t="s">
        <v>803</v>
      </c>
      <c r="C83" s="274">
        <f ca="1">ROUND(C13/C40,3)</f>
        <v>0.76600000000000001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32" priority="56">
      <formula>$L$48&gt;$J$51</formula>
    </cfRule>
  </conditionalFormatting>
  <conditionalFormatting sqref="I55 I60">
    <cfRule type="expression" dxfId="131" priority="57">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A13" zoomScale="70" zoomScaleNormal="80" zoomScaleSheetLayoutView="70" workbookViewId="0">
      <selection activeCell="C24" sqref="C24"/>
    </sheetView>
  </sheetViews>
  <sheetFormatPr defaultColWidth="12" defaultRowHeight="12.75"/>
  <cols>
    <col min="1" max="1" width="9.75" style="2050" customWidth="1"/>
    <col min="2" max="2" width="22.5" style="2141" customWidth="1"/>
    <col min="3" max="3" width="12" style="1995"/>
    <col min="4" max="4" width="14.875" style="1995" customWidth="1"/>
    <col min="5" max="5" width="14.625" style="1995" customWidth="1"/>
    <col min="6" max="8" width="12" style="1995"/>
    <col min="9" max="9" width="12.25" style="1995" bestFit="1" customWidth="1"/>
    <col min="10" max="10" width="12" style="1995"/>
    <col min="11" max="11" width="8.125" style="2046" customWidth="1"/>
    <col min="12" max="12" width="19.5" style="1995" customWidth="1"/>
    <col min="13" max="13" width="8.5" style="1995" customWidth="1"/>
    <col min="14" max="14" width="9.75" style="1995" customWidth="1"/>
    <col min="15" max="25" width="12" style="1995"/>
    <col min="26" max="26" width="9.375" style="2050" customWidth="1"/>
    <col min="27" max="32" width="9.375" style="1120" customWidth="1"/>
    <col min="33" max="36" width="9.375" style="2050" customWidth="1"/>
    <col min="37" max="38" width="9.375" style="1995" customWidth="1"/>
    <col min="39" max="16384" width="12" style="1995"/>
  </cols>
  <sheetData>
    <row r="1" spans="1:36" ht="28.5">
      <c r="A1" s="196" t="s">
        <v>1925</v>
      </c>
      <c r="B1" s="197"/>
      <c r="C1" s="201" t="s">
        <v>1926</v>
      </c>
      <c r="D1" s="342">
        <f>SUM(D33:D34,D37:D42)</f>
        <v>20062.899999999998</v>
      </c>
      <c r="E1" s="1992"/>
      <c r="F1" s="1992"/>
      <c r="G1" s="1992"/>
      <c r="H1" s="1992"/>
      <c r="I1" s="1992"/>
      <c r="J1" s="1992"/>
      <c r="K1" s="1118"/>
      <c r="L1" s="1993" t="s">
        <v>1927</v>
      </c>
      <c r="M1" s="862">
        <f>SUMPRODUCT((区片价!B5:B9=I2)*(区片价!C3:G3=E2)*(区片价!C5:G9))</f>
        <v>0</v>
      </c>
      <c r="N1" s="865">
        <f>SUMPRODUCT((因素修正幅度!B5:B9=I2)*(因素修正幅度!C3:G3=E2)*(因素修正幅度!C5:G9))</f>
        <v>0</v>
      </c>
      <c r="O1" s="1994"/>
      <c r="P1" s="1994"/>
      <c r="Q1" s="1118"/>
      <c r="R1" s="1210" t="s">
        <v>1928</v>
      </c>
      <c r="S1" s="1210" t="s">
        <v>1929</v>
      </c>
      <c r="T1" s="1210" t="s">
        <v>1930</v>
      </c>
      <c r="U1" s="1210" t="s">
        <v>1931</v>
      </c>
      <c r="V1" s="1210" t="s">
        <v>1932</v>
      </c>
      <c r="W1" s="1214"/>
      <c r="X1" s="1214"/>
      <c r="Y1" s="1214"/>
      <c r="Z1" s="1214"/>
      <c r="AA1" s="1214"/>
      <c r="AB1" s="1214"/>
      <c r="AC1" s="1215"/>
      <c r="AD1" s="1216"/>
      <c r="AE1" s="1216"/>
      <c r="AF1" s="1216"/>
      <c r="AG1" s="1216"/>
      <c r="AH1" s="1216"/>
      <c r="AI1" s="1216"/>
      <c r="AJ1" s="1217"/>
    </row>
    <row r="2" spans="1:36" ht="15.75">
      <c r="A2" s="201" t="s">
        <v>1933</v>
      </c>
      <c r="B2" s="204">
        <f>C30</f>
        <v>5379</v>
      </c>
      <c r="C2" s="1996" t="s">
        <v>1934</v>
      </c>
      <c r="D2" s="1997" t="s">
        <v>1935</v>
      </c>
      <c r="E2" s="3418" t="s">
        <v>673</v>
      </c>
      <c r="F2" s="1997" t="s">
        <v>1936</v>
      </c>
      <c r="G2" s="1998" t="str">
        <f>IF(E2="商业",项目基本情况!B37,IF(E2="办公",项目基本情况!C37,IF(E2="住宅",项目基本情况!D37,IF(E2="工业",项目基本情况!E37,项目基本情况!F37))))</f>
        <v>十级</v>
      </c>
      <c r="H2" s="1997" t="s">
        <v>1937</v>
      </c>
      <c r="I2" s="1998" t="str">
        <f>IF(E2="商业",项目基本情况!B38,IF(E2="办公",项目基本情况!C38,IF(E2="住宅",项目基本情况!D38,IF(E2="工业",项目基本情况!E38,项目基本情况!F38))))</f>
        <v>Ⅹ-房2</v>
      </c>
      <c r="J2" s="1999"/>
      <c r="K2" s="1118"/>
      <c r="L2" s="2000" t="s">
        <v>1938</v>
      </c>
      <c r="M2" s="863">
        <f>SUMPRODUCT((区片价!B10:B29=I2)*(区片价!C3:G3=E2)*(区片价!C10:G29))</f>
        <v>0</v>
      </c>
      <c r="N2" s="865">
        <f>SUMPRODUCT((因素修正幅度!B10:B29=I2)*(因素修正幅度!C3:G3=E2)*(因素修正幅度!C10:G29))</f>
        <v>0</v>
      </c>
      <c r="O2" s="1118"/>
      <c r="P2" s="1118"/>
      <c r="Q2" s="1118"/>
      <c r="R2" s="1210">
        <v>1</v>
      </c>
      <c r="S2" s="3357">
        <f>ROUND(SUMPRODUCT((B106:B110=R2)*(C105:N105=G2)*(C106:N110)),4)</f>
        <v>1.5418000000000001</v>
      </c>
      <c r="T2" s="3357">
        <f t="shared" ref="T2:T16" si="0">ROUND($C$5*$C$22*$C$23*$C$24*S2*$C$28,0)</f>
        <v>4431</v>
      </c>
      <c r="U2" s="1211">
        <v>5637.5</v>
      </c>
      <c r="V2" s="3357">
        <f>ROUND(T2*U2/10000,0)</f>
        <v>2498</v>
      </c>
      <c r="W2" s="1214"/>
      <c r="X2" s="1214"/>
      <c r="Y2" s="1214"/>
      <c r="Z2" s="1214"/>
      <c r="AA2" s="1214"/>
      <c r="AB2" s="1214"/>
      <c r="AC2" s="1215"/>
      <c r="AD2" s="1216"/>
      <c r="AE2" s="1216"/>
      <c r="AF2" s="1216"/>
      <c r="AG2" s="1216"/>
      <c r="AH2" s="1216"/>
      <c r="AI2" s="1216"/>
      <c r="AJ2" s="1217"/>
    </row>
    <row r="3" spans="1:36" ht="15.75">
      <c r="A3" s="203" t="s">
        <v>1939</v>
      </c>
      <c r="B3" s="204">
        <f>ROUND(B2*10000/D1,0)</f>
        <v>2681</v>
      </c>
      <c r="C3" s="1996" t="s">
        <v>1940</v>
      </c>
      <c r="D3" s="1997" t="s">
        <v>1941</v>
      </c>
      <c r="E3" s="3416" t="s">
        <v>2440</v>
      </c>
      <c r="F3" s="2001" t="s">
        <v>3454</v>
      </c>
      <c r="G3" s="751">
        <f>IF(F3="宗地容积率",'数据-汇总表'!I4,IF(F3="估价对象容积率",'数据-汇总表'!I6,'数据-汇总表'!I7))</f>
        <v>1.5</v>
      </c>
      <c r="H3" s="170" t="s">
        <v>1942</v>
      </c>
      <c r="I3" s="774">
        <v>1</v>
      </c>
      <c r="J3" s="1999" t="s">
        <v>1943</v>
      </c>
      <c r="K3" s="1118"/>
      <c r="L3" s="2000" t="s">
        <v>1944</v>
      </c>
      <c r="M3" s="863">
        <f>SUMPRODUCT((区片价!B30:B54=I2)*(区片价!C3:G3=E2)*(区片价!C30:G54))</f>
        <v>0</v>
      </c>
      <c r="N3" s="865">
        <f>SUMPRODUCT((因素修正幅度!B30:B54=I2)*(因素修正幅度!C3:G3=E2)*(因素修正幅度!C30:G54))</f>
        <v>0</v>
      </c>
      <c r="O3" s="1118"/>
      <c r="P3" s="1118"/>
      <c r="Q3" s="1118"/>
      <c r="R3" s="1210">
        <v>2</v>
      </c>
      <c r="S3" s="3357">
        <f>ROUND(SUMPRODUCT((B106:B110=R3)*(C105:N105=G2)*(C106:N110)),4)</f>
        <v>1.1883999999999999</v>
      </c>
      <c r="T3" s="3357">
        <f t="shared" si="0"/>
        <v>3416</v>
      </c>
      <c r="U3" s="1211">
        <v>6456.64</v>
      </c>
      <c r="V3" s="3357">
        <f t="shared" ref="V3:V16" si="1">ROUND(T3*U3/10000,0)</f>
        <v>2206</v>
      </c>
      <c r="W3" s="1214"/>
      <c r="X3" s="1214"/>
      <c r="Y3" s="1214"/>
      <c r="Z3" s="1214"/>
      <c r="AA3" s="1214"/>
      <c r="AB3" s="1214"/>
      <c r="AC3" s="1215"/>
      <c r="AD3" s="1216"/>
      <c r="AE3" s="1216"/>
      <c r="AF3" s="1216"/>
      <c r="AG3" s="1216"/>
      <c r="AH3" s="1216"/>
      <c r="AI3" s="1216"/>
      <c r="AJ3" s="1217"/>
    </row>
    <row r="4" spans="1:36" ht="15.75">
      <c r="A4" s="3804"/>
      <c r="B4" s="3805"/>
      <c r="C4" s="3805"/>
      <c r="D4" s="3806"/>
      <c r="E4" s="3806"/>
      <c r="F4" s="3806"/>
      <c r="G4" s="3806"/>
      <c r="H4" s="3806"/>
      <c r="I4" s="3806"/>
      <c r="J4" s="3807"/>
      <c r="K4" s="1118"/>
      <c r="L4" s="2000" t="s">
        <v>1945</v>
      </c>
      <c r="M4" s="863">
        <f>SUMPRODUCT((区片价!B55:B86=I2)*(区片价!C3:G3=E2)*(区片价!C55:G86))</f>
        <v>0</v>
      </c>
      <c r="N4" s="865">
        <f>SUMPRODUCT((因素修正幅度!B55:B86=I2)*(因素修正幅度!C3:G3=E2)*(因素修正幅度!C55:G86))</f>
        <v>0</v>
      </c>
      <c r="O4" s="1118"/>
      <c r="P4" s="1118"/>
      <c r="Q4" s="1118"/>
      <c r="R4" s="1210">
        <v>3</v>
      </c>
      <c r="S4" s="3357">
        <f>ROUND(SUMPRODUCT((B106:B110=R4)*(C105:N105=G2)*(C106:N110)),4)</f>
        <v>0.96940000000000004</v>
      </c>
      <c r="T4" s="3357">
        <f t="shared" si="0"/>
        <v>2786</v>
      </c>
      <c r="U4" s="1211">
        <v>5099.4799999999996</v>
      </c>
      <c r="V4" s="3357">
        <f t="shared" si="1"/>
        <v>1421</v>
      </c>
      <c r="W4" s="1214"/>
      <c r="X4" s="1214"/>
      <c r="Y4" s="1214"/>
      <c r="Z4" s="1214"/>
      <c r="AA4" s="1214"/>
      <c r="AB4" s="1214"/>
      <c r="AC4" s="1215"/>
      <c r="AD4" s="1216"/>
      <c r="AE4" s="1216"/>
      <c r="AF4" s="1216"/>
      <c r="AG4" s="1216"/>
      <c r="AH4" s="1216"/>
      <c r="AI4" s="1216"/>
      <c r="AJ4" s="1217"/>
    </row>
    <row r="5" spans="1:36" s="2011" customFormat="1" ht="15.75" thickBot="1">
      <c r="A5" s="2002" t="s">
        <v>362</v>
      </c>
      <c r="B5" s="2003" t="s">
        <v>1946</v>
      </c>
      <c r="C5" s="752">
        <f>ROUND(IF(E2="商业",C6*C7*C17+C20,(IF(E2="住宅",C6*C13*C17+C20,IF(E2="办公",C6*C12*C17+C20,C6+C20)))),0)</f>
        <v>3770</v>
      </c>
      <c r="D5" s="1337">
        <f>ROUND(C6*C17+C20,0)</f>
        <v>3770</v>
      </c>
      <c r="E5" s="1337"/>
      <c r="F5" s="2004"/>
      <c r="G5" s="2005"/>
      <c r="H5" s="2005"/>
      <c r="I5" s="2005"/>
      <c r="J5" s="2006"/>
      <c r="K5" s="2007"/>
      <c r="L5" s="2000" t="s">
        <v>1947</v>
      </c>
      <c r="M5" s="863">
        <f>SUMPRODUCT((区片价!B87:B126=I2)*(区片价!C3:G3=E2)*(区片价!C87:G126))</f>
        <v>0</v>
      </c>
      <c r="N5" s="865">
        <f>SUMPRODUCT((因素修正幅度!B87:B126=I2)*(因素修正幅度!C3:G3=E2)*(因素修正幅度!C87:G126))</f>
        <v>0</v>
      </c>
      <c r="O5" s="1118"/>
      <c r="P5" s="1118"/>
      <c r="Q5" s="1118"/>
      <c r="R5" s="1210">
        <v>4</v>
      </c>
      <c r="S5" s="3357">
        <f>ROUND(SUMPRODUCT((B106:B110=R5)*(C105:N105=G2)*(C106:N110)),4)</f>
        <v>0.82299999999999995</v>
      </c>
      <c r="T5" s="3357">
        <f t="shared" si="0"/>
        <v>2365</v>
      </c>
      <c r="U5" s="1211"/>
      <c r="V5" s="3357">
        <f t="shared" si="1"/>
        <v>0</v>
      </c>
      <c r="W5" s="1214"/>
      <c r="X5" s="1214"/>
      <c r="Y5" s="1214"/>
      <c r="Z5" s="1214"/>
      <c r="AA5" s="1214"/>
      <c r="AB5" s="1214"/>
      <c r="AC5" s="2008"/>
      <c r="AD5" s="2009"/>
      <c r="AE5" s="2009"/>
      <c r="AF5" s="2009"/>
      <c r="AG5" s="2009"/>
      <c r="AH5" s="2009"/>
      <c r="AI5" s="2009"/>
      <c r="AJ5" s="2010"/>
    </row>
    <row r="6" spans="1:36" ht="15.75" thickBot="1">
      <c r="A6" s="2012" t="s">
        <v>1948</v>
      </c>
      <c r="B6" s="2013" t="s">
        <v>1949</v>
      </c>
      <c r="C6" s="753">
        <f>SUMIF(L1:L12,G2,M1:M12)</f>
        <v>3770</v>
      </c>
      <c r="D6" s="2014"/>
      <c r="E6" s="2015"/>
      <c r="F6" s="2015"/>
      <c r="G6" s="2016"/>
      <c r="H6" s="2016"/>
      <c r="I6" s="2016"/>
      <c r="J6" s="2017"/>
      <c r="K6" s="1382"/>
      <c r="L6" s="2000" t="s">
        <v>1950</v>
      </c>
      <c r="M6" s="863">
        <f>SUMPRODUCT((区片价!B127:B189=I2)*(区片价!C3:G3=E2)*(区片价!C127:G189))</f>
        <v>0</v>
      </c>
      <c r="N6" s="865">
        <f>SUMPRODUCT((因素修正幅度!B127:B189=I2)*(因素修正幅度!C3:G3=E2)*(因素修正幅度!C127:G189))</f>
        <v>0</v>
      </c>
      <c r="O6" s="1118"/>
      <c r="P6" s="1118"/>
      <c r="Q6" s="1118"/>
      <c r="R6" s="1210">
        <v>5</v>
      </c>
      <c r="S6" s="3357">
        <f>ROUND(SUMPRODUCT((B106:B110=R6)*(C105:N105=G2)*(C106:N110)),4)</f>
        <v>0.74980000000000002</v>
      </c>
      <c r="T6" s="3357">
        <f t="shared" si="0"/>
        <v>2155</v>
      </c>
      <c r="U6" s="1211"/>
      <c r="V6" s="3357">
        <f t="shared" si="1"/>
        <v>0</v>
      </c>
      <c r="W6" s="1214"/>
      <c r="X6" s="1214"/>
      <c r="Y6" s="1214"/>
      <c r="Z6" s="1214"/>
      <c r="AA6" s="1214"/>
      <c r="AB6" s="1214"/>
      <c r="AC6" s="2008"/>
      <c r="AD6" s="2009"/>
      <c r="AE6" s="2009"/>
      <c r="AF6" s="2009"/>
      <c r="AG6" s="2009"/>
      <c r="AH6" s="2009"/>
      <c r="AI6" s="2009"/>
      <c r="AJ6" s="2010"/>
    </row>
    <row r="7" spans="1:36" ht="24.75" thickBot="1">
      <c r="A7" s="3300" t="s">
        <v>3240</v>
      </c>
      <c r="B7" s="2018" t="s">
        <v>1951</v>
      </c>
      <c r="C7" s="754">
        <f>IF(C8="不临65条商业街",1,ROUND(1+(1.6*E8+1.2*E9+0.8*E10+0.4*E11)*C9,4))</f>
        <v>1</v>
      </c>
      <c r="D7" s="2019" t="s">
        <v>1952</v>
      </c>
      <c r="E7" s="775"/>
      <c r="F7" s="2020"/>
      <c r="G7" s="2021"/>
      <c r="H7" s="2021"/>
      <c r="I7" s="2021"/>
      <c r="J7" s="2022"/>
      <c r="K7" s="1382"/>
      <c r="L7" s="2000" t="s">
        <v>1953</v>
      </c>
      <c r="M7" s="863">
        <f>SUMPRODUCT((区片价!B190:B233=I2)*(区片价!C3:G3=E2)*(区片价!C190:G233))</f>
        <v>0</v>
      </c>
      <c r="N7" s="865">
        <f>SUMPRODUCT((因素修正幅度!B190:B233=I2)*(因素修正幅度!C3:G3=E2)*(因素修正幅度!C190:G233))</f>
        <v>0</v>
      </c>
      <c r="O7" s="1118"/>
      <c r="P7" s="1118"/>
      <c r="Q7" s="1118"/>
      <c r="R7" s="1210">
        <v>6</v>
      </c>
      <c r="S7" s="3415"/>
      <c r="T7" s="3357">
        <f t="shared" si="0"/>
        <v>0</v>
      </c>
      <c r="U7" s="1211"/>
      <c r="V7" s="3357">
        <f t="shared" si="1"/>
        <v>0</v>
      </c>
      <c r="W7" s="1356" t="s">
        <v>1954</v>
      </c>
      <c r="X7" s="1212" t="str">
        <f>G2</f>
        <v>十级</v>
      </c>
      <c r="Y7" s="1212" t="s">
        <v>1955</v>
      </c>
      <c r="Z7" s="1213">
        <f>G3</f>
        <v>1.5</v>
      </c>
      <c r="AA7" s="1214"/>
      <c r="AB7" s="1214"/>
      <c r="AC7" s="1215"/>
      <c r="AD7" s="1216"/>
      <c r="AE7" s="1216"/>
      <c r="AF7" s="1216"/>
      <c r="AG7" s="1216"/>
      <c r="AH7" s="1216"/>
      <c r="AI7" s="1216"/>
      <c r="AJ7" s="1217"/>
    </row>
    <row r="8" spans="1:36" ht="25.5">
      <c r="A8" s="3295"/>
      <c r="B8" s="170" t="s">
        <v>1956</v>
      </c>
      <c r="C8" s="2023" t="s">
        <v>3383</v>
      </c>
      <c r="D8" s="755" t="s">
        <v>112</v>
      </c>
      <c r="E8" s="756" t="e">
        <f>ROUND(C11/E7,4)</f>
        <v>#DIV/0!</v>
      </c>
      <c r="F8" s="2024" t="s">
        <v>1957</v>
      </c>
      <c r="G8" s="2025"/>
      <c r="H8" s="2025"/>
      <c r="I8" s="2025"/>
      <c r="J8" s="2026"/>
      <c r="K8" s="1118"/>
      <c r="L8" s="2000" t="s">
        <v>1958</v>
      </c>
      <c r="M8" s="863">
        <f>SUMPRODUCT((区片价!B234:B276=I2)*(区片价!C3:G3=E2)*(区片价!C234:G276))</f>
        <v>0</v>
      </c>
      <c r="N8" s="865">
        <f>SUMPRODUCT((因素修正幅度!B234:B276=I2)*(因素修正幅度!C3:G3=E2)*(因素修正幅度!C234:G276))</f>
        <v>0</v>
      </c>
      <c r="O8" s="1118"/>
      <c r="P8" s="1118"/>
      <c r="Q8" s="1118"/>
      <c r="R8" s="1210">
        <v>7</v>
      </c>
      <c r="S8" s="1211"/>
      <c r="T8" s="3357">
        <f t="shared" si="0"/>
        <v>0</v>
      </c>
      <c r="U8" s="1211"/>
      <c r="V8" s="3357">
        <f t="shared" si="1"/>
        <v>0</v>
      </c>
      <c r="W8" s="3801" t="s">
        <v>1959</v>
      </c>
      <c r="X8" s="3802"/>
      <c r="Y8" s="1218" t="s">
        <v>1960</v>
      </c>
      <c r="Z8" s="1218" t="s">
        <v>1961</v>
      </c>
      <c r="AA8" s="1218" t="s">
        <v>1962</v>
      </c>
      <c r="AB8" s="1218" t="s">
        <v>1963</v>
      </c>
      <c r="AC8" s="1218" t="s">
        <v>1964</v>
      </c>
      <c r="AD8" s="1218" t="s">
        <v>1965</v>
      </c>
      <c r="AE8" s="1218" t="s">
        <v>1966</v>
      </c>
      <c r="AF8" s="1218" t="s">
        <v>1967</v>
      </c>
      <c r="AG8" s="1218" t="s">
        <v>1968</v>
      </c>
      <c r="AH8" s="1218" t="s">
        <v>1969</v>
      </c>
      <c r="AI8" s="1218" t="s">
        <v>1970</v>
      </c>
      <c r="AJ8" s="1218" t="s">
        <v>1971</v>
      </c>
    </row>
    <row r="9" spans="1:36" ht="15">
      <c r="A9" s="3295"/>
      <c r="B9" s="170" t="s">
        <v>1972</v>
      </c>
      <c r="C9" s="757">
        <f>SUMIF(修正!C71:C138,C8,修正!E71:E138)</f>
        <v>0</v>
      </c>
      <c r="D9" s="171" t="s">
        <v>113</v>
      </c>
      <c r="E9" s="171" t="e">
        <f>ROUND(C11/E7,4)</f>
        <v>#DIV/0!</v>
      </c>
      <c r="F9" s="2024" t="s">
        <v>1973</v>
      </c>
      <c r="G9" s="2025"/>
      <c r="H9" s="2025"/>
      <c r="I9" s="2025"/>
      <c r="J9" s="2026"/>
      <c r="K9" s="1118"/>
      <c r="L9" s="2000" t="s">
        <v>1974</v>
      </c>
      <c r="M9" s="863">
        <f>SUMPRODUCT((区片价!B277:B326=I2)*(区片价!C3:G3=E2)*(区片价!C277:G326))</f>
        <v>0</v>
      </c>
      <c r="N9" s="865">
        <f>SUMPRODUCT((因素修正幅度!B277:B326=I2)*(因素修正幅度!C3:G3=E2)*(因素修正幅度!C277:G326))</f>
        <v>0</v>
      </c>
      <c r="O9" s="1118"/>
      <c r="P9" s="1118"/>
      <c r="Q9" s="1118"/>
      <c r="R9" s="1210">
        <v>8</v>
      </c>
      <c r="S9" s="1211"/>
      <c r="T9" s="3357">
        <f t="shared" si="0"/>
        <v>0</v>
      </c>
      <c r="U9" s="1211"/>
      <c r="V9" s="3357">
        <f t="shared" si="1"/>
        <v>0</v>
      </c>
      <c r="W9" s="3803"/>
      <c r="X9" s="3358" t="s">
        <v>3270</v>
      </c>
      <c r="Y9" s="3359">
        <v>6</v>
      </c>
      <c r="Z9" s="3360">
        <f>$Y$9</f>
        <v>6</v>
      </c>
      <c r="AA9" s="3360">
        <f t="shared" ref="AA9:AJ9" si="2">$Y$9</f>
        <v>6</v>
      </c>
      <c r="AB9" s="3360">
        <f t="shared" si="2"/>
        <v>6</v>
      </c>
      <c r="AC9" s="3360">
        <f t="shared" si="2"/>
        <v>6</v>
      </c>
      <c r="AD9" s="3360">
        <f t="shared" si="2"/>
        <v>6</v>
      </c>
      <c r="AE9" s="3360">
        <f t="shared" si="2"/>
        <v>6</v>
      </c>
      <c r="AF9" s="3360">
        <f t="shared" si="2"/>
        <v>6</v>
      </c>
      <c r="AG9" s="3360">
        <f t="shared" si="2"/>
        <v>6</v>
      </c>
      <c r="AH9" s="3360">
        <f t="shared" si="2"/>
        <v>6</v>
      </c>
      <c r="AI9" s="3360">
        <f t="shared" si="2"/>
        <v>6</v>
      </c>
      <c r="AJ9" s="3360">
        <f t="shared" si="2"/>
        <v>6</v>
      </c>
    </row>
    <row r="10" spans="1:36" ht="15">
      <c r="A10" s="3295"/>
      <c r="B10" s="170" t="s">
        <v>1975</v>
      </c>
      <c r="C10" s="171">
        <f>SUMIF(修正!C71:C138,C8,修正!F71:F138)</f>
        <v>0</v>
      </c>
      <c r="D10" s="171" t="s">
        <v>114</v>
      </c>
      <c r="E10" s="171" t="e">
        <f>ROUND(C11/E7,4)</f>
        <v>#DIV/0!</v>
      </c>
      <c r="F10" s="2024" t="s">
        <v>1976</v>
      </c>
      <c r="G10" s="2025"/>
      <c r="H10" s="2025"/>
      <c r="I10" s="2025"/>
      <c r="J10" s="2026"/>
      <c r="K10" s="1118"/>
      <c r="L10" s="2000" t="s">
        <v>1977</v>
      </c>
      <c r="M10" s="863">
        <f>SUMPRODUCT((区片价!B327:B357=I2)*(区片价!C3:G3=E2)*(区片价!C327:G357))</f>
        <v>3770</v>
      </c>
      <c r="N10" s="865">
        <f>SUMPRODUCT((因素修正幅度!B327:B357=I2)*(因素修正幅度!C3:G3=E2)*(因素修正幅度!C327:G357))</f>
        <v>0.15</v>
      </c>
      <c r="O10" s="1118"/>
      <c r="P10" s="1118"/>
      <c r="Q10" s="1118"/>
      <c r="R10" s="1210">
        <v>9</v>
      </c>
      <c r="S10" s="1211"/>
      <c r="T10" s="3357">
        <f t="shared" si="0"/>
        <v>0</v>
      </c>
      <c r="U10" s="1211"/>
      <c r="V10" s="3357">
        <f t="shared" si="1"/>
        <v>0</v>
      </c>
      <c r="W10" s="3803"/>
      <c r="X10" s="3358">
        <v>6</v>
      </c>
      <c r="Y10" s="3361">
        <f>ROUND((-0.5556*(Y9^2)-0.2719*Y9+8944)*(10^(-4)),4)</f>
        <v>0.89219999999999999</v>
      </c>
      <c r="Z10" s="3361">
        <f>ROUND((-0.5556*(Z9^2)-0.2719*Z9+8944)*(10^(-4)),4)</f>
        <v>0.89219999999999999</v>
      </c>
      <c r="AA10" s="3361">
        <f>ROUND((-0.7912*(AA9^2)-11.3794*AA9+8482)*(10^(-4)),4)</f>
        <v>0.83850000000000002</v>
      </c>
      <c r="AB10" s="3361">
        <f>ROUND((-0.7912*(AB9^2)-11.3794*AB9+8482)*(10^(-4)),4)</f>
        <v>0.83850000000000002</v>
      </c>
      <c r="AC10" s="3361">
        <f>ROUND((-0.7912*(AC9^2)-11.3794*AC9+8482)*(10^(-4)),4)</f>
        <v>0.83850000000000002</v>
      </c>
      <c r="AD10" s="3361">
        <f>ROUND((-0.7912*(AD9^2)-11.3794*AD9+8482)*(10^(-4)),4)</f>
        <v>0.83850000000000002</v>
      </c>
      <c r="AE10" s="3361">
        <f>ROUND((-0.7912*(AE9^2)-11.3794*AE9+8482)*(10^(-4)),4)</f>
        <v>0.83850000000000002</v>
      </c>
      <c r="AF10" s="3361">
        <f>ROUND((-0.989*(AF9^2)-63.78*AF9+7771)*(10^(-4)),4)</f>
        <v>0.73529999999999995</v>
      </c>
      <c r="AG10" s="3361">
        <f>ROUND((-0.989*(AG9^2)-63.78*AG9+7771)*(10^(-4)),4)</f>
        <v>0.73529999999999995</v>
      </c>
      <c r="AH10" s="3361">
        <f>ROUND((-0.989*(AH9^2)-63.78*AH9+7771)*(10^(-4)),4)</f>
        <v>0.73529999999999995</v>
      </c>
      <c r="AI10" s="3361">
        <f>ROUND((-0.989*(AI9^2)-63.78*AI9+7771)*(10^(-4)),4)</f>
        <v>0.73529999999999995</v>
      </c>
      <c r="AJ10" s="3361">
        <f>ROUND((-0.989*(AJ9^2)-63.78*AJ9+7771)*(10^(-4)),4)</f>
        <v>0.73529999999999995</v>
      </c>
    </row>
    <row r="11" spans="1:36" ht="15.75" thickBot="1">
      <c r="A11" s="3299"/>
      <c r="B11" s="2027" t="s">
        <v>1978</v>
      </c>
      <c r="C11" s="758">
        <f>C10/4</f>
        <v>0</v>
      </c>
      <c r="D11" s="758" t="s">
        <v>115</v>
      </c>
      <c r="E11" s="758" t="e">
        <f>ROUND(C11/E7,4)</f>
        <v>#DIV/0!</v>
      </c>
      <c r="F11" s="2028" t="s">
        <v>1979</v>
      </c>
      <c r="G11" s="2029"/>
      <c r="H11" s="2029"/>
      <c r="I11" s="2029"/>
      <c r="J11" s="2030"/>
      <c r="K11" s="1118"/>
      <c r="L11" s="2000" t="s">
        <v>1980</v>
      </c>
      <c r="M11" s="863">
        <f>SUMPRODUCT((区片价!B358:B377=I2)*(区片价!C3:G3=E2)*(区片价!C358:G377))</f>
        <v>0</v>
      </c>
      <c r="N11" s="865">
        <f>SUMPRODUCT((因素修正幅度!B358:B377=I2)*(因素修正幅度!C3:G3=E2)*(因素修正幅度!C358:G377))</f>
        <v>0</v>
      </c>
      <c r="O11" s="1118"/>
      <c r="P11" s="1118"/>
      <c r="Q11" s="1118"/>
      <c r="R11" s="1210">
        <v>10</v>
      </c>
      <c r="S11" s="1211"/>
      <c r="T11" s="3357">
        <f t="shared" si="0"/>
        <v>0</v>
      </c>
      <c r="U11" s="1211"/>
      <c r="V11" s="3357">
        <f t="shared" si="1"/>
        <v>0</v>
      </c>
      <c r="W11" s="1214"/>
      <c r="X11" s="1214"/>
      <c r="Y11" s="1214"/>
      <c r="Z11" s="1214"/>
      <c r="AA11" s="1214"/>
      <c r="AB11" s="1214"/>
      <c r="AC11" s="1215"/>
      <c r="AD11" s="2785"/>
      <c r="AE11" s="2785"/>
      <c r="AF11" s="2785"/>
      <c r="AG11" s="2785"/>
      <c r="AH11" s="2785"/>
      <c r="AI11" s="2785"/>
      <c r="AJ11" s="2786"/>
    </row>
    <row r="12" spans="1:36" ht="25.5" thickBot="1">
      <c r="A12" s="3300" t="s">
        <v>3241</v>
      </c>
      <c r="B12" s="3301" t="s">
        <v>3242</v>
      </c>
      <c r="C12" s="3302"/>
      <c r="D12" s="3303" t="s">
        <v>3243</v>
      </c>
      <c r="E12" s="3304" t="s">
        <v>3244</v>
      </c>
      <c r="F12" s="3305"/>
      <c r="G12" s="3306"/>
      <c r="H12" s="3306"/>
      <c r="I12" s="3306"/>
      <c r="J12" s="3307"/>
      <c r="K12" s="1118"/>
      <c r="L12" s="2036" t="s">
        <v>1983</v>
      </c>
      <c r="M12" s="864">
        <f>SUMPRODUCT((区片价!B378:B384=I2)*(区片价!C3:G3=E2)*(区片价!C378:G384))</f>
        <v>0</v>
      </c>
      <c r="N12" s="865">
        <f>SUMPRODUCT((因素修正幅度!B378:B384=I2)*(因素修正幅度!C3:G3=E2)*(因素修正幅度!C378:G384))</f>
        <v>0</v>
      </c>
      <c r="O12" s="1118"/>
      <c r="P12" s="1118"/>
      <c r="Q12" s="1118"/>
      <c r="R12" s="1210">
        <v>11</v>
      </c>
      <c r="S12" s="1211"/>
      <c r="T12" s="3357">
        <f t="shared" si="0"/>
        <v>0</v>
      </c>
      <c r="U12" s="1211"/>
      <c r="V12" s="3357">
        <f t="shared" si="1"/>
        <v>0</v>
      </c>
      <c r="W12" s="1214"/>
      <c r="X12" s="1214"/>
      <c r="Y12" s="1214"/>
      <c r="Z12" s="1214"/>
      <c r="AA12" s="1214"/>
      <c r="AB12" s="1214"/>
      <c r="AC12" s="1215"/>
      <c r="AD12" s="2785"/>
      <c r="AE12" s="2785"/>
      <c r="AF12" s="2785"/>
      <c r="AG12" s="2785"/>
      <c r="AH12" s="2785"/>
      <c r="AI12" s="2785"/>
      <c r="AJ12" s="2786"/>
    </row>
    <row r="13" spans="1:36" ht="15.75" thickBot="1">
      <c r="A13" s="3300" t="s">
        <v>3245</v>
      </c>
      <c r="B13" s="2031" t="s">
        <v>1981</v>
      </c>
      <c r="C13" s="754">
        <f>ROUND(C16*D16*E16*F16*G16*H16*I16*J16,4)</f>
        <v>0</v>
      </c>
      <c r="D13" s="2032" t="s">
        <v>1982</v>
      </c>
      <c r="E13" s="2033"/>
      <c r="F13" s="2033"/>
      <c r="G13" s="2034"/>
      <c r="H13" s="2034"/>
      <c r="I13" s="2034"/>
      <c r="J13" s="2035"/>
      <c r="K13" s="1118"/>
      <c r="L13" s="3296"/>
      <c r="M13" s="3297"/>
      <c r="N13" s="3298"/>
      <c r="O13" s="1118"/>
      <c r="P13" s="1118"/>
      <c r="Q13" s="1118"/>
      <c r="R13" s="1210">
        <v>12</v>
      </c>
      <c r="S13" s="1211"/>
      <c r="T13" s="3357">
        <f t="shared" si="0"/>
        <v>0</v>
      </c>
      <c r="U13" s="1211"/>
      <c r="V13" s="3357">
        <f t="shared" si="1"/>
        <v>0</v>
      </c>
      <c r="W13" s="1214"/>
      <c r="X13" s="1214"/>
      <c r="Y13" s="1214"/>
      <c r="Z13" s="1214"/>
      <c r="AA13" s="1214"/>
      <c r="AB13" s="1214"/>
      <c r="AC13" s="1215"/>
      <c r="AD13" s="2785"/>
      <c r="AE13" s="2785"/>
      <c r="AF13" s="2785"/>
      <c r="AG13" s="2785"/>
      <c r="AH13" s="2785"/>
      <c r="AI13" s="2785"/>
      <c r="AJ13" s="2786"/>
    </row>
    <row r="14" spans="1:36" ht="15">
      <c r="A14" s="3294"/>
      <c r="B14" s="2037" t="s">
        <v>1984</v>
      </c>
      <c r="C14" s="2038" t="s">
        <v>1985</v>
      </c>
      <c r="D14" s="1348" t="s">
        <v>1986</v>
      </c>
      <c r="E14" s="27" t="s">
        <v>1987</v>
      </c>
      <c r="F14" s="3308" t="s">
        <v>3246</v>
      </c>
      <c r="G14" s="3308" t="s">
        <v>3246</v>
      </c>
      <c r="H14" s="3308" t="s">
        <v>3246</v>
      </c>
      <c r="I14" s="3308" t="s">
        <v>3246</v>
      </c>
      <c r="J14" s="3308" t="s">
        <v>3246</v>
      </c>
      <c r="K14" s="1118"/>
      <c r="L14" s="1118"/>
      <c r="M14" s="1118"/>
      <c r="N14" s="1118"/>
      <c r="O14" s="1118"/>
      <c r="P14" s="1118"/>
      <c r="Q14" s="1118"/>
      <c r="R14" s="1210">
        <v>13</v>
      </c>
      <c r="S14" s="1211"/>
      <c r="T14" s="3357">
        <f t="shared" si="0"/>
        <v>0</v>
      </c>
      <c r="U14" s="1211"/>
      <c r="V14" s="3357">
        <f t="shared" si="1"/>
        <v>0</v>
      </c>
      <c r="W14" s="1214"/>
      <c r="X14" s="1214"/>
      <c r="Y14" s="1214"/>
      <c r="Z14" s="1214"/>
      <c r="AA14" s="1214"/>
      <c r="AB14" s="1214"/>
      <c r="AC14" s="1215"/>
      <c r="AD14" s="2785"/>
      <c r="AE14" s="2785"/>
      <c r="AF14" s="2785"/>
      <c r="AG14" s="2785"/>
      <c r="AH14" s="2785"/>
      <c r="AI14" s="2785"/>
      <c r="AJ14" s="2786"/>
    </row>
    <row r="15" spans="1:36" ht="15">
      <c r="A15" s="3294"/>
      <c r="B15" s="2039"/>
      <c r="C15" s="2040"/>
      <c r="D15" s="2041"/>
      <c r="E15" s="2042"/>
      <c r="F15" s="3309" t="s">
        <v>3247</v>
      </c>
      <c r="G15" s="3310"/>
      <c r="H15" s="3311"/>
      <c r="I15" s="3312"/>
      <c r="J15" s="3313"/>
      <c r="K15" s="1118"/>
      <c r="L15" s="1118"/>
      <c r="M15" s="1118"/>
      <c r="N15" s="1118"/>
      <c r="O15" s="1118"/>
      <c r="P15" s="1118"/>
      <c r="Q15" s="1118"/>
      <c r="R15" s="1210">
        <v>14</v>
      </c>
      <c r="S15" s="1211"/>
      <c r="T15" s="3357">
        <f t="shared" si="0"/>
        <v>0</v>
      </c>
      <c r="U15" s="1211"/>
      <c r="V15" s="3357">
        <f t="shared" si="1"/>
        <v>0</v>
      </c>
      <c r="W15" s="1214"/>
      <c r="X15" s="1214"/>
      <c r="Y15" s="1214"/>
      <c r="Z15" s="1214"/>
      <c r="AA15" s="1214"/>
      <c r="AB15" s="1214"/>
      <c r="AC15" s="1215"/>
      <c r="AD15" s="2785"/>
      <c r="AE15" s="2785"/>
      <c r="AF15" s="2785"/>
      <c r="AG15" s="2785"/>
      <c r="AH15" s="2785"/>
      <c r="AI15" s="2785"/>
      <c r="AJ15" s="2786"/>
    </row>
    <row r="16" spans="1:36" ht="15.75" thickBot="1">
      <c r="A16" s="3294"/>
      <c r="B16" s="3316" t="s">
        <v>1988</v>
      </c>
      <c r="C16" s="3314"/>
      <c r="D16" s="3314"/>
      <c r="E16" s="3314"/>
      <c r="F16" s="3314">
        <v>1</v>
      </c>
      <c r="G16" s="3314">
        <v>1</v>
      </c>
      <c r="H16" s="3314">
        <v>1</v>
      </c>
      <c r="I16" s="3314">
        <v>1</v>
      </c>
      <c r="J16" s="3315">
        <v>1</v>
      </c>
      <c r="K16" s="1118"/>
      <c r="L16" s="1994"/>
      <c r="M16" s="1994"/>
      <c r="N16" s="1994"/>
      <c r="O16" s="1994"/>
      <c r="P16" s="1994"/>
      <c r="Q16" s="1118"/>
      <c r="R16" s="1210">
        <v>15</v>
      </c>
      <c r="S16" s="1211"/>
      <c r="T16" s="3357">
        <f t="shared" si="0"/>
        <v>0</v>
      </c>
      <c r="U16" s="1211"/>
      <c r="V16" s="3357">
        <f t="shared" si="1"/>
        <v>0</v>
      </c>
      <c r="W16" s="1214"/>
      <c r="X16" s="1214"/>
      <c r="Y16" s="1214"/>
      <c r="Z16" s="1214"/>
      <c r="AA16" s="1214"/>
      <c r="AB16" s="1214"/>
      <c r="AC16" s="1215"/>
      <c r="AD16" s="2785"/>
      <c r="AE16" s="2785"/>
      <c r="AF16" s="2785"/>
      <c r="AG16" s="2785"/>
      <c r="AH16" s="2785"/>
      <c r="AI16" s="2785"/>
      <c r="AJ16" s="2786"/>
    </row>
    <row r="17" spans="1:37">
      <c r="A17" s="3326" t="s">
        <v>3248</v>
      </c>
      <c r="B17" s="3317" t="s">
        <v>3249</v>
      </c>
      <c r="C17" s="3327">
        <f>ROUND(IF(OR(E2="工业",E2="公共服务"),1,IF(AND(E18=0,E19=0),1,IF(AND(E18=J24,E19=G19),0.8,IF(E19=0,1+E17*(-0.2),1+E17*G17*(-0.2))))),4)</f>
        <v>1</v>
      </c>
      <c r="D17" s="3318" t="s">
        <v>3250</v>
      </c>
      <c r="E17" s="3327">
        <f>ROUND(G18/I18,2)</f>
        <v>0</v>
      </c>
      <c r="F17" s="3318" t="s">
        <v>3253</v>
      </c>
      <c r="G17" s="3327" t="e">
        <f>ROUND(E19/G19,2)</f>
        <v>#DIV/0!</v>
      </c>
      <c r="H17" s="3327"/>
      <c r="I17" s="3327"/>
      <c r="J17" s="3328"/>
      <c r="K17" s="1118"/>
      <c r="L17" s="1994"/>
      <c r="M17" s="1994"/>
      <c r="N17" s="1994"/>
      <c r="O17" s="1994"/>
      <c r="P17" s="1994"/>
      <c r="Q17" s="1118"/>
      <c r="R17" s="1118"/>
      <c r="S17" s="1118"/>
      <c r="T17" s="1118"/>
      <c r="U17" s="1118"/>
      <c r="V17" s="1118"/>
      <c r="W17" s="1118"/>
      <c r="X17" s="1118"/>
      <c r="Y17" s="1118"/>
      <c r="Z17" s="1119"/>
      <c r="AA17" s="1119"/>
      <c r="AB17" s="1119"/>
      <c r="AC17" s="1119"/>
      <c r="AD17" s="1119"/>
      <c r="AE17" s="1118"/>
      <c r="AF17" s="1118"/>
      <c r="AG17" s="1994"/>
      <c r="AH17" s="1994"/>
      <c r="AI17" s="1994"/>
      <c r="AJ17" s="1994"/>
    </row>
    <row r="18" spans="1:37" s="2011" customFormat="1" ht="14.25">
      <c r="A18" s="3329"/>
      <c r="B18" s="3006"/>
      <c r="C18" s="3324"/>
      <c r="D18" s="3319" t="s">
        <v>3251</v>
      </c>
      <c r="E18" s="3325"/>
      <c r="F18" s="3320" t="s">
        <v>3254</v>
      </c>
      <c r="G18" s="3324">
        <f>ROUND(1-(1/(POWER(1+G24,E18))),4)</f>
        <v>0</v>
      </c>
      <c r="H18" s="3320" t="s">
        <v>3256</v>
      </c>
      <c r="I18" s="3324">
        <f>ROUND(1-(1/(POWER(1+G24,J24))),4)</f>
        <v>0.88249999999999995</v>
      </c>
      <c r="J18" s="3330"/>
      <c r="K18" s="1118"/>
      <c r="L18" s="1994"/>
      <c r="M18" s="1994"/>
      <c r="N18" s="1994"/>
      <c r="O18" s="1994"/>
      <c r="P18" s="1994"/>
      <c r="Q18" s="1118"/>
      <c r="R18" s="1123"/>
      <c r="S18" s="1123"/>
      <c r="T18" s="1119"/>
      <c r="U18" s="1119"/>
      <c r="V18" s="1119"/>
      <c r="W18" s="1118"/>
      <c r="X18" s="1118"/>
      <c r="Y18" s="1118"/>
      <c r="Z18" s="1124"/>
      <c r="AA18" s="1124"/>
      <c r="AB18" s="1124"/>
      <c r="AC18" s="1124"/>
      <c r="AD18" s="1124"/>
      <c r="AE18" s="1119"/>
      <c r="AF18" s="1119"/>
      <c r="AG18" s="2138"/>
      <c r="AH18" s="2138"/>
      <c r="AI18" s="2138"/>
      <c r="AJ18" s="2784"/>
    </row>
    <row r="19" spans="1:37" s="2011" customFormat="1" ht="15" thickBot="1">
      <c r="A19" s="3331"/>
      <c r="B19" s="3332"/>
      <c r="C19" s="3333"/>
      <c r="D19" s="3333" t="s">
        <v>3252</v>
      </c>
      <c r="E19" s="3334"/>
      <c r="F19" s="3335" t="s">
        <v>3255</v>
      </c>
      <c r="G19" s="3334"/>
      <c r="H19" s="3333"/>
      <c r="I19" s="3333"/>
      <c r="J19" s="3336"/>
      <c r="K19" s="1118"/>
      <c r="L19" s="1994"/>
      <c r="M19" s="1994"/>
      <c r="N19" s="1994"/>
      <c r="O19" s="1994"/>
      <c r="P19" s="1994"/>
      <c r="Q19" s="1123"/>
      <c r="R19" s="1123"/>
      <c r="S19" s="1123"/>
      <c r="T19" s="1119"/>
      <c r="U19" s="1119"/>
      <c r="V19" s="1119"/>
      <c r="W19" s="1118"/>
      <c r="X19" s="1118"/>
      <c r="Y19" s="1118"/>
      <c r="Z19" s="1124"/>
      <c r="AA19" s="1124"/>
      <c r="AB19" s="1124"/>
      <c r="AC19" s="1124"/>
      <c r="AD19" s="1124"/>
      <c r="AE19" s="1124"/>
      <c r="AF19" s="1123"/>
      <c r="AG19" s="2787"/>
      <c r="AH19" s="2138"/>
      <c r="AI19" s="2788"/>
      <c r="AJ19" s="2788"/>
      <c r="AK19" s="2054"/>
    </row>
    <row r="20" spans="1:37" s="2011" customFormat="1" ht="14.25">
      <c r="A20" s="3808" t="s">
        <v>3257</v>
      </c>
      <c r="B20" s="167" t="s">
        <v>1993</v>
      </c>
      <c r="C20" s="3321">
        <f>ROUND(IF(F21="与级别开发程度一致",0,(G21-E21)/C21),0)</f>
        <v>0</v>
      </c>
      <c r="D20" s="3337" t="s">
        <v>1997</v>
      </c>
      <c r="E20" s="3338"/>
      <c r="F20" s="3814" t="s">
        <v>1994</v>
      </c>
      <c r="G20" s="3815"/>
      <c r="H20" s="3322" t="s">
        <v>3384</v>
      </c>
      <c r="I20" s="3322" t="s">
        <v>3385</v>
      </c>
      <c r="J20" s="3323" t="s">
        <v>3386</v>
      </c>
      <c r="K20" s="2044" t="s">
        <v>3387</v>
      </c>
      <c r="L20" s="2044" t="s">
        <v>3388</v>
      </c>
      <c r="M20" s="2044" t="s">
        <v>3389</v>
      </c>
      <c r="N20" s="2044"/>
      <c r="O20" s="2045"/>
      <c r="P20" s="1994"/>
      <c r="Q20" s="1123"/>
      <c r="R20" s="1123"/>
      <c r="S20" s="1123"/>
      <c r="T20" s="1119"/>
      <c r="U20" s="1119"/>
      <c r="V20" s="1119"/>
      <c r="W20" s="1118"/>
      <c r="X20" s="1118"/>
      <c r="Y20" s="1118"/>
      <c r="Z20" s="1124"/>
      <c r="AA20" s="1124"/>
      <c r="AB20" s="1124"/>
      <c r="AC20" s="1124"/>
      <c r="AD20" s="1124"/>
      <c r="AE20" s="1124"/>
      <c r="AF20" s="1124"/>
      <c r="AG20" s="2784"/>
      <c r="AH20" s="2784"/>
      <c r="AI20" s="2784"/>
      <c r="AJ20" s="2784"/>
    </row>
    <row r="21" spans="1:37" s="2011" customFormat="1" ht="26.25" thickBot="1">
      <c r="A21" s="3809"/>
      <c r="B21" s="2161" t="s">
        <v>1996</v>
      </c>
      <c r="C21" s="2162">
        <f>IF(E3="M4科研用地",SUMPRODUCT((修正!A2:A7=E3)*(修正!B1:M1=G2)*(修正!B2:M7)),SUMPRODUCT((修正!A2:A7=E2)*(修正!B1:M1=G2)*(修正!B2:M7)))</f>
        <v>2</v>
      </c>
      <c r="D21" s="187" t="str">
        <f>IF(OR(G2="八级",G2="九级",G2="十级",G2="十一级",G2="十二级"),"五通一平","七通一平")</f>
        <v>五通一平</v>
      </c>
      <c r="E21" s="2152">
        <f>SUMPRODUCT((修正!B1:M1=G2)*(修正!B17:M17))</f>
        <v>185</v>
      </c>
      <c r="F21" s="2153" t="s">
        <v>3390</v>
      </c>
      <c r="G21" s="2154">
        <f>SUM(H21:O21)</f>
        <v>185</v>
      </c>
      <c r="H21" s="2162">
        <f>SUMPRODUCT((七通一平=H20)*(修正!B1:M1=G2)*(修正!B8:M16))</f>
        <v>60</v>
      </c>
      <c r="I21" s="2162">
        <f>SUMPRODUCT((七通一平=I20)*(修正!B1:M1=G2)*(修正!B8:M16))</f>
        <v>50</v>
      </c>
      <c r="J21" s="2163">
        <f>SUMPRODUCT((七通一平=J20)*(修正!B1:M1=G2)*(修正!B8:M16))</f>
        <v>10</v>
      </c>
      <c r="K21" s="2162">
        <f>SUMPRODUCT((七通一平=K20)*(修正!B1:M1=G2)*(修正!B8:M16))</f>
        <v>20</v>
      </c>
      <c r="L21" s="2162">
        <f>SUMPRODUCT((七通一平=L20)*(修正!B1:M1=G2)*(修正!B8:M16))</f>
        <v>35</v>
      </c>
      <c r="M21" s="2162">
        <f>SUMPRODUCT((七通一平=M20)*(修正!B1:M1=G2)*(修正!B8:M16))</f>
        <v>10</v>
      </c>
      <c r="N21" s="2162">
        <f>SUMPRODUCT((七通一平=N20)*(修正!B1:M1=G2)*(修正!B8:M16))</f>
        <v>0</v>
      </c>
      <c r="O21" s="2164">
        <f>SUMPRODUCT((七通一平=O20)*(修正!B1:M1=G2)*(修正!B8:M16))</f>
        <v>0</v>
      </c>
      <c r="P21" s="1994"/>
      <c r="Q21" s="2784"/>
      <c r="R21" s="1123"/>
      <c r="S21" s="1123"/>
      <c r="T21" s="1119"/>
      <c r="U21" s="1119"/>
      <c r="V21" s="1119"/>
      <c r="W21" s="1118"/>
      <c r="X21" s="1118"/>
      <c r="Y21" s="1118"/>
      <c r="Z21" s="1124"/>
      <c r="AA21" s="1124"/>
      <c r="AB21" s="1124"/>
      <c r="AC21" s="1124"/>
      <c r="AD21" s="1124"/>
      <c r="AE21" s="1124"/>
      <c r="AF21" s="1124"/>
      <c r="AG21" s="2784"/>
      <c r="AH21" s="2784"/>
      <c r="AI21" s="2784"/>
      <c r="AJ21" s="2784"/>
    </row>
    <row r="22" spans="1:37" s="2011" customFormat="1" ht="15.75" thickBot="1">
      <c r="A22" s="2155" t="s">
        <v>363</v>
      </c>
      <c r="B22" s="2156" t="s">
        <v>1999</v>
      </c>
      <c r="C22" s="2157">
        <f>SUMIF(修正!C20:C51,E3,修正!E20:E51)</f>
        <v>1</v>
      </c>
      <c r="D22" s="2158"/>
      <c r="E22" s="2159"/>
      <c r="F22" s="2159"/>
      <c r="G22" s="2159"/>
      <c r="H22" s="2159"/>
      <c r="I22" s="2159"/>
      <c r="J22" s="2160"/>
      <c r="K22" s="1124"/>
      <c r="L22" s="2784"/>
      <c r="M22" s="2784"/>
      <c r="N22" s="2784"/>
      <c r="O22" s="1122"/>
      <c r="P22" s="1122"/>
      <c r="Q22" s="2784"/>
      <c r="R22" s="1123"/>
      <c r="S22" s="1123"/>
      <c r="T22" s="1119"/>
      <c r="U22" s="1119"/>
      <c r="V22" s="1119"/>
      <c r="W22" s="1118"/>
      <c r="X22" s="1118"/>
      <c r="Y22" s="1118"/>
      <c r="Z22" s="1124"/>
      <c r="AA22" s="1124"/>
      <c r="AB22" s="1124"/>
      <c r="AC22" s="1124"/>
      <c r="AD22" s="1124"/>
      <c r="AE22" s="1124"/>
      <c r="AF22" s="1124"/>
      <c r="AG22" s="2784"/>
      <c r="AH22" s="2784"/>
      <c r="AI22" s="2784"/>
      <c r="AJ22" s="2784"/>
    </row>
    <row r="23" spans="1:37" ht="26.25" thickBot="1">
      <c r="A23" s="2047" t="s">
        <v>364</v>
      </c>
      <c r="B23" s="2048" t="s">
        <v>2000</v>
      </c>
      <c r="C23" s="759">
        <f>ROUND(IF(J23="中心城区",SUMPRODUCT(('地价-分区'!A5:A16=YEAR(G23)&amp;"-"&amp;ROUNDUP(MONTH(G23)/3,0))*('地价-分区'!S2:W2=E2)*('地价-分区'!S5:W16)),IF(J23="中心城区以外",SUMPRODUCT(('地价-分区'!A25:A36=YEAR(G23)&amp;"-"&amp;ROUNDUP(MONTH(G23)/3,0))*('地价-分区'!S22:W22=E2)*('地价-分区'!S25:W36)),IF(J23="不用分区数据",IF(H23="按公示增长率计算",SUMPRODUCT((地价!A3:A16=YEAR(G23)&amp;"-"&amp;ROUNDUP(MONTH(G23)/3,0))*(地价!Y2:AD2=E2)*(地价!Y3:AD16)),IF(H23="地价指数",M24/M23,(1+I23)^O23))))),4)</f>
        <v>1.0344</v>
      </c>
      <c r="D23" s="2051" t="s">
        <v>2001</v>
      </c>
      <c r="E23" s="760">
        <v>44197</v>
      </c>
      <c r="F23" s="2051" t="s">
        <v>2002</v>
      </c>
      <c r="G23" s="761">
        <f>'数据-取费表'!B2</f>
        <v>45068</v>
      </c>
      <c r="H23" s="3339" t="s">
        <v>3258</v>
      </c>
      <c r="I23" s="3340" t="str">
        <f>IF(H23="季度增幅（自定义）",SUMIF(N25:N28,E2,O25:O28),"")</f>
        <v/>
      </c>
      <c r="J23" s="3442" t="s">
        <v>3391</v>
      </c>
      <c r="K23" s="1124"/>
      <c r="L23" s="2052" t="s">
        <v>2003</v>
      </c>
      <c r="M23" s="1326">
        <f>ROUND(SUMIF(地价!B2:G2,E2,地价!B16:G16),0)</f>
        <v>350</v>
      </c>
      <c r="N23" s="2053" t="s">
        <v>2004</v>
      </c>
      <c r="O23" s="762">
        <f>ROUNDDOWN(DATEDIF(E23,G23,"M")/3,0)</f>
        <v>9</v>
      </c>
      <c r="P23" s="1121"/>
      <c r="Q23" s="2784"/>
      <c r="R23" s="1123"/>
      <c r="S23" s="1123"/>
      <c r="T23" s="1119"/>
      <c r="U23" s="1119"/>
      <c r="V23" s="1119"/>
      <c r="W23" s="1118"/>
      <c r="X23" s="1118"/>
      <c r="Y23" s="1118"/>
      <c r="Z23" s="1124"/>
      <c r="AA23" s="1124"/>
      <c r="AB23" s="1124"/>
      <c r="AC23" s="1124"/>
      <c r="AD23" s="1124"/>
      <c r="AE23" s="1119"/>
      <c r="AF23" s="1119"/>
      <c r="AG23" s="2138"/>
      <c r="AH23" s="2138"/>
      <c r="AI23" s="2138"/>
      <c r="AJ23" s="2138"/>
      <c r="AK23" s="2050"/>
    </row>
    <row r="24" spans="1:37" s="2011" customFormat="1" ht="24.75" thickBot="1">
      <c r="A24" s="2055" t="s">
        <v>365</v>
      </c>
      <c r="B24" s="2056" t="s">
        <v>2005</v>
      </c>
      <c r="C24" s="763">
        <f>ROUND(POWER(1+G24,J24-I24)*(POWER(1+G24,I24)-1)/(POWER(1+G24,J24)-1),4)</f>
        <v>0.71989999999999998</v>
      </c>
      <c r="D24" s="2057" t="s">
        <v>2006</v>
      </c>
      <c r="E24" s="1333">
        <f>存贷款利率!E22/100</f>
        <v>4.3499999999999997E-2</v>
      </c>
      <c r="F24" s="2057" t="s">
        <v>1998</v>
      </c>
      <c r="G24" s="767">
        <f>SUMIF(M30:Q30,E2,M33:Q33)</f>
        <v>5.5E-2</v>
      </c>
      <c r="H24" s="2057" t="s">
        <v>2007</v>
      </c>
      <c r="I24" s="768">
        <f>SUMIF('数据-取费表'!C6:C15,E2,'数据-取费表'!F6:F15)/COUNTIF('数据-取费表'!C6:C15,E2)</f>
        <v>18.84</v>
      </c>
      <c r="J24" s="769">
        <f>IF(E2="住宅",70,IF(E2="商业",40,50))</f>
        <v>40</v>
      </c>
      <c r="K24" s="1124"/>
      <c r="L24" s="2058" t="s">
        <v>2008</v>
      </c>
      <c r="M24" s="1327">
        <f>ROUND(SUMPRODUCT((地价!A4:A16=YEAR(G23)&amp;"-"&amp;ROUNDUP(MONTH(G23)/3,0))*(地价!B2:G2=E2)*(地价!B4:G16)),0)</f>
        <v>0</v>
      </c>
      <c r="N24" s="2059" t="s">
        <v>2009</v>
      </c>
      <c r="O24" s="2060" t="s">
        <v>2010</v>
      </c>
      <c r="P24" s="2061" t="s">
        <v>2011</v>
      </c>
      <c r="Q24" s="1994"/>
      <c r="R24" s="1123"/>
      <c r="S24" s="1123"/>
      <c r="T24" s="1119"/>
      <c r="U24" s="1119"/>
      <c r="V24" s="1119"/>
      <c r="W24" s="1118"/>
      <c r="X24" s="1118"/>
      <c r="Y24" s="1118"/>
      <c r="Z24" s="1124"/>
      <c r="AA24" s="1124"/>
      <c r="AB24" s="1124"/>
      <c r="AC24" s="1124"/>
      <c r="AD24" s="1124"/>
      <c r="AE24" s="1124"/>
      <c r="AF24" s="1124"/>
      <c r="AG24" s="2784"/>
      <c r="AH24" s="2784"/>
      <c r="AI24" s="2784"/>
      <c r="AJ24" s="2784"/>
    </row>
    <row r="25" spans="1:37" ht="15">
      <c r="A25" s="2062" t="s">
        <v>366</v>
      </c>
      <c r="B25" s="2063" t="s">
        <v>3624</v>
      </c>
      <c r="C25" s="770">
        <f>IF(B25="容积率修正",IF(G3&lt;10,D26,J26),C27)</f>
        <v>1.0725</v>
      </c>
      <c r="D25" s="2064"/>
      <c r="E25" s="2064"/>
      <c r="F25" s="2064"/>
      <c r="G25" s="2064"/>
      <c r="H25" s="2064"/>
      <c r="I25" s="2064"/>
      <c r="J25" s="2065"/>
      <c r="K25" s="1124"/>
      <c r="L25" s="2784"/>
      <c r="M25" s="2784"/>
      <c r="N25" s="2066" t="s">
        <v>2012</v>
      </c>
      <c r="O25" s="1172"/>
      <c r="P25" s="1173">
        <f>SUMPRODUCT((地价!A3:A40=YEAR(G23)&amp;"-"&amp;ROUNDUP(MONTH(G23)/3,0))*(地价!AD2:AH2=N25)*(地价!AD3:AH40))</f>
        <v>0</v>
      </c>
      <c r="Q25" s="2784"/>
      <c r="R25" s="1123"/>
      <c r="S25" s="1123"/>
      <c r="T25" s="1119"/>
      <c r="U25" s="1119"/>
      <c r="V25" s="1119"/>
      <c r="W25" s="1118"/>
      <c r="X25" s="1118"/>
      <c r="Y25" s="1118"/>
      <c r="Z25" s="1124"/>
      <c r="AA25" s="1124"/>
      <c r="AB25" s="1124"/>
      <c r="AC25" s="1124"/>
      <c r="AD25" s="1124"/>
      <c r="AE25" s="1119"/>
      <c r="AF25" s="1119"/>
      <c r="AG25" s="2138"/>
      <c r="AH25" s="2138"/>
      <c r="AI25" s="2138"/>
      <c r="AJ25" s="2138"/>
    </row>
    <row r="26" spans="1:37" ht="14.25">
      <c r="A26" s="1953" t="s">
        <v>2013</v>
      </c>
      <c r="B26" s="2067" t="s">
        <v>2014</v>
      </c>
      <c r="C26" s="3341" t="s">
        <v>3259</v>
      </c>
      <c r="D26" s="1350">
        <f>IF(E26=G26,F26,IF(G3&lt;10,ROUND(F26+(H26-F26)*(G3-E26)/(G26-E26),4),"——"))</f>
        <v>1.0725</v>
      </c>
      <c r="E26" s="751">
        <f>ROUNDDOWN(G3,1)</f>
        <v>1.5</v>
      </c>
      <c r="F26" s="135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1.0725</v>
      </c>
      <c r="G26" s="751">
        <f>ROUNDUP(G3,1)</f>
        <v>1.5</v>
      </c>
      <c r="H26" s="135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1.0725</v>
      </c>
      <c r="I26" s="3341" t="s">
        <v>3260</v>
      </c>
      <c r="J26" s="771" t="str">
        <f>IF(G3&gt;=10,D115,"——")</f>
        <v>——</v>
      </c>
      <c r="K26" s="1124"/>
      <c r="L26" s="2784"/>
      <c r="M26" s="2784"/>
      <c r="N26" s="2066" t="s">
        <v>2015</v>
      </c>
      <c r="O26" s="1172"/>
      <c r="P26" s="1173">
        <f>SUMPRODUCT((地价!A3:A40=YEAR(G23)&amp;"-"&amp;ROUNDUP(MONTH(G23)/3,0))*(地价!AD2:AH2=N26)*(地价!AD3:AH40))</f>
        <v>0</v>
      </c>
      <c r="Q26" s="1994"/>
      <c r="R26" s="1123"/>
      <c r="S26" s="1123"/>
      <c r="T26" s="1119"/>
      <c r="U26" s="1119"/>
      <c r="V26" s="1119"/>
      <c r="W26" s="1118"/>
      <c r="X26" s="1118"/>
      <c r="Y26" s="1118"/>
      <c r="Z26" s="1124"/>
      <c r="AA26" s="1124"/>
      <c r="AB26" s="1124"/>
      <c r="AC26" s="1124"/>
      <c r="AD26" s="1124"/>
      <c r="AE26" s="1119"/>
      <c r="AF26" s="1119"/>
      <c r="AG26" s="2138"/>
      <c r="AH26" s="2138"/>
      <c r="AI26" s="2138"/>
      <c r="AJ26" s="2138"/>
    </row>
    <row r="27" spans="1:37" ht="15.75" thickBot="1">
      <c r="A27" s="1953" t="s">
        <v>2016</v>
      </c>
      <c r="B27" s="2068" t="s">
        <v>2017</v>
      </c>
      <c r="C27" s="840">
        <f>ROUND(IF(I3&lt;6,SUMPRODUCT((B106:B110=I3)*(C105:N105=G2)*(C106:N110)),SUMIF(C105:N105,G2,C112:N112)),4)</f>
        <v>1.5418000000000001</v>
      </c>
      <c r="D27" s="2043"/>
      <c r="E27" s="2043"/>
      <c r="F27" s="2069"/>
      <c r="G27" s="2070"/>
      <c r="H27" s="2071"/>
      <c r="I27" s="2072"/>
      <c r="J27" s="2073"/>
      <c r="K27" s="1118"/>
      <c r="L27" s="1994"/>
      <c r="M27" s="1994"/>
      <c r="N27" s="2066" t="s">
        <v>2018</v>
      </c>
      <c r="O27" s="1172"/>
      <c r="P27" s="1173">
        <f>SUMPRODUCT((地价!A3:A40=YEAR(G23)&amp;"-"&amp;ROUNDUP(MONTH(G23)/3,0))*(地价!AD2:AH2=N27)*(地价!AD3:AH40))</f>
        <v>0</v>
      </c>
      <c r="Q27" s="1994"/>
      <c r="R27" s="1123"/>
      <c r="S27" s="1123"/>
      <c r="T27" s="1119"/>
      <c r="U27" s="1119"/>
      <c r="V27" s="1119"/>
      <c r="W27" s="1118"/>
      <c r="X27" s="1118"/>
      <c r="Y27" s="1118"/>
      <c r="Z27" s="1124"/>
      <c r="AA27" s="1124"/>
      <c r="AB27" s="1124"/>
      <c r="AC27" s="1124"/>
      <c r="AD27" s="1124"/>
      <c r="AE27" s="1119"/>
      <c r="AF27" s="1119"/>
      <c r="AG27" s="2138"/>
      <c r="AH27" s="2138"/>
      <c r="AI27" s="2138"/>
      <c r="AJ27" s="2138"/>
    </row>
    <row r="28" spans="1:37" ht="15.75" thickBot="1">
      <c r="A28" s="2055" t="s">
        <v>367</v>
      </c>
      <c r="B28" s="2048" t="s">
        <v>2019</v>
      </c>
      <c r="C28" s="759">
        <f>SUMIF(A47:A101,E2,B47:B101)</f>
        <v>1.0238</v>
      </c>
      <c r="D28" s="2049"/>
      <c r="E28" s="2074"/>
      <c r="F28" s="2074"/>
      <c r="G28" s="2074"/>
      <c r="H28" s="2074"/>
      <c r="I28" s="2074"/>
      <c r="J28" s="2075"/>
      <c r="K28" s="1124"/>
      <c r="L28" s="2784"/>
      <c r="M28" s="2784"/>
      <c r="N28" s="2076" t="s">
        <v>2020</v>
      </c>
      <c r="O28" s="1174"/>
      <c r="P28" s="1175">
        <f>SUMPRODUCT((地价!A3:A40=YEAR(G23)&amp;"-"&amp;ROUNDUP(MONTH(G23)/3,0))*(地价!AD2:AH2=N28)*(地价!AD3:AH40))</f>
        <v>0</v>
      </c>
      <c r="Q28" s="1123"/>
      <c r="R28" s="1123"/>
      <c r="S28" s="1123"/>
      <c r="T28" s="1119"/>
      <c r="U28" s="1119"/>
      <c r="V28" s="1119"/>
      <c r="W28" s="1118"/>
      <c r="X28" s="1118"/>
      <c r="Y28" s="1118"/>
      <c r="Z28" s="1124"/>
      <c r="AA28" s="1124"/>
      <c r="AB28" s="1124"/>
      <c r="AC28" s="1124"/>
      <c r="AD28" s="1124"/>
      <c r="AE28" s="1119"/>
      <c r="AF28" s="1119"/>
      <c r="AG28" s="2138"/>
      <c r="AH28" s="2138"/>
      <c r="AI28" s="2138"/>
      <c r="AJ28" s="2138"/>
    </row>
    <row r="29" spans="1:37" ht="15.75" thickBot="1">
      <c r="A29" s="2055" t="s">
        <v>368</v>
      </c>
      <c r="B29" s="2077" t="s">
        <v>2021</v>
      </c>
      <c r="C29" s="764"/>
      <c r="D29" s="2021"/>
      <c r="E29" s="2021"/>
      <c r="F29" s="2078"/>
      <c r="G29" s="2021"/>
      <c r="H29" s="2021"/>
      <c r="I29" s="2021"/>
      <c r="J29" s="2022"/>
      <c r="K29" s="1118"/>
      <c r="L29" s="1994"/>
      <c r="M29" s="1994"/>
      <c r="N29" s="2781" t="s">
        <v>2022</v>
      </c>
      <c r="O29" s="2782"/>
      <c r="P29" s="2783">
        <f>SUMPRODUCT((地价!A3:A40=YEAR(G23)&amp;"-"&amp;ROUNDUP(MONTH(G23)/3,0))*(地价!AD2:AH2=N29)*(地价!AD3:AH40))</f>
        <v>0</v>
      </c>
      <c r="Q29" s="1123"/>
      <c r="R29" s="1123"/>
      <c r="S29" s="1123"/>
      <c r="T29" s="1119"/>
      <c r="U29" s="1119"/>
      <c r="V29" s="1119"/>
      <c r="W29" s="1118"/>
      <c r="X29" s="1118"/>
      <c r="Y29" s="1118"/>
      <c r="Z29" s="1124"/>
      <c r="AA29" s="1124"/>
      <c r="AB29" s="1124"/>
      <c r="AC29" s="1124"/>
      <c r="AD29" s="1124"/>
      <c r="AE29" s="1118"/>
      <c r="AF29" s="1118"/>
      <c r="AG29" s="1994"/>
      <c r="AH29" s="1994"/>
      <c r="AI29" s="1994"/>
      <c r="AJ29" s="1994"/>
    </row>
    <row r="30" spans="1:37" ht="15">
      <c r="A30" s="2079"/>
      <c r="B30" s="2067" t="s">
        <v>2023</v>
      </c>
      <c r="C30" s="2318">
        <f>IF(B25="容积率修正",E33+SUM(E37:E42),SUM(V2:V16)+SUM(E37:E42))</f>
        <v>5379</v>
      </c>
      <c r="D30" s="2080"/>
      <c r="E30" s="2043"/>
      <c r="F30" s="2081"/>
      <c r="G30" s="2043"/>
      <c r="H30" s="2043"/>
      <c r="I30" s="2043"/>
      <c r="J30" s="2082"/>
      <c r="K30" s="1118"/>
      <c r="L30" s="3347" t="s">
        <v>1935</v>
      </c>
      <c r="M30" s="3348" t="s">
        <v>1989</v>
      </c>
      <c r="N30" s="3348" t="s">
        <v>1990</v>
      </c>
      <c r="O30" s="3348" t="s">
        <v>1991</v>
      </c>
      <c r="P30" s="3348" t="s">
        <v>1992</v>
      </c>
      <c r="Q30" s="3351" t="s">
        <v>3264</v>
      </c>
      <c r="R30" s="1123"/>
      <c r="S30" s="1123"/>
      <c r="T30" s="1119"/>
      <c r="U30" s="1119"/>
      <c r="V30" s="1119"/>
      <c r="W30" s="1118"/>
      <c r="X30" s="1118"/>
      <c r="Y30" s="1118"/>
      <c r="Z30" s="1124"/>
      <c r="AA30" s="1124"/>
      <c r="AB30" s="1124"/>
      <c r="AC30" s="1124"/>
      <c r="AD30" s="1124"/>
      <c r="AE30" s="1118"/>
      <c r="AF30" s="1118"/>
      <c r="AG30" s="1994"/>
      <c r="AH30" s="1994"/>
      <c r="AI30" s="1994"/>
      <c r="AJ30" s="1994"/>
    </row>
    <row r="31" spans="1:37" ht="15.75" thickBot="1">
      <c r="A31" s="2079"/>
      <c r="B31" s="2083" t="s">
        <v>2024</v>
      </c>
      <c r="C31" s="765">
        <f>E34+SUM(I37:I42)</f>
        <v>20</v>
      </c>
      <c r="D31" s="2084"/>
      <c r="E31" s="2085"/>
      <c r="F31" s="2086"/>
      <c r="G31" s="2085"/>
      <c r="H31" s="2085"/>
      <c r="I31" s="2085"/>
      <c r="J31" s="2087"/>
      <c r="K31" s="1118"/>
      <c r="L31" s="3349" t="s">
        <v>1995</v>
      </c>
      <c r="M31" s="1997">
        <v>0.25</v>
      </c>
      <c r="N31" s="1997">
        <v>0.2</v>
      </c>
      <c r="O31" s="1997">
        <v>0.15</v>
      </c>
      <c r="P31" s="1997">
        <v>0.1</v>
      </c>
      <c r="Q31" s="3344">
        <v>0.15</v>
      </c>
      <c r="R31" s="1123"/>
      <c r="S31" s="1123"/>
      <c r="T31" s="1119"/>
      <c r="U31" s="1119"/>
      <c r="V31" s="1119"/>
      <c r="W31" s="1118"/>
      <c r="X31" s="1118"/>
      <c r="Y31" s="1118"/>
      <c r="Z31" s="1124"/>
      <c r="AA31" s="1124"/>
      <c r="AB31" s="1124"/>
      <c r="AC31" s="1124"/>
      <c r="AD31" s="1124"/>
      <c r="AE31" s="1118"/>
      <c r="AF31" s="1118"/>
      <c r="AG31" s="1994"/>
      <c r="AH31" s="1994"/>
      <c r="AI31" s="1994"/>
      <c r="AJ31" s="1994"/>
    </row>
    <row r="32" spans="1:37" ht="15.75" thickBot="1">
      <c r="A32" s="2088"/>
      <c r="B32" s="2089" t="s">
        <v>2025</v>
      </c>
      <c r="C32" s="2090" t="s">
        <v>2026</v>
      </c>
      <c r="D32" s="2090" t="s">
        <v>2027</v>
      </c>
      <c r="E32" s="2091" t="s">
        <v>2028</v>
      </c>
      <c r="F32" s="2092"/>
      <c r="G32" s="2034"/>
      <c r="H32" s="2034"/>
      <c r="I32" s="2034"/>
      <c r="J32" s="2035"/>
      <c r="K32" s="1118"/>
      <c r="L32" s="3350" t="s">
        <v>1998</v>
      </c>
      <c r="M32" s="2567">
        <f>ROUND($E$24*(1+M31),3)</f>
        <v>5.3999999999999999E-2</v>
      </c>
      <c r="N32" s="2567">
        <f>ROUND($E$24*(1+N31),3)</f>
        <v>5.1999999999999998E-2</v>
      </c>
      <c r="O32" s="2567">
        <f>ROUND($E$24*(1+O31),3)</f>
        <v>0.05</v>
      </c>
      <c r="P32" s="2567">
        <f>ROUND($E$24*(1+P31),3)</f>
        <v>4.8000000000000001E-2</v>
      </c>
      <c r="Q32" s="3352">
        <f>ROUND($E$24*(1+Q31),3)</f>
        <v>0.05</v>
      </c>
      <c r="R32" s="1123"/>
      <c r="S32" s="1123"/>
      <c r="T32" s="1119"/>
      <c r="U32" s="1119"/>
      <c r="V32" s="1119"/>
      <c r="W32" s="1118"/>
      <c r="X32" s="1118"/>
      <c r="Y32" s="1118"/>
      <c r="Z32" s="1124"/>
      <c r="AA32" s="1124"/>
      <c r="AB32" s="1124"/>
      <c r="AC32" s="1124"/>
      <c r="AD32" s="1124"/>
      <c r="AE32" s="1118"/>
      <c r="AF32" s="1118"/>
      <c r="AG32" s="1994"/>
      <c r="AH32" s="1994"/>
      <c r="AI32" s="1994"/>
      <c r="AJ32" s="1994"/>
    </row>
    <row r="33" spans="1:37" ht="14.25">
      <c r="A33" s="2093"/>
      <c r="B33" s="2094" t="s">
        <v>2029</v>
      </c>
      <c r="C33" s="175">
        <f>ROUND(C5*C22*C23*C24*C25*C28,0)</f>
        <v>3083</v>
      </c>
      <c r="D33" s="2095">
        <f>U2+U3+U4</f>
        <v>17193.62</v>
      </c>
      <c r="E33" s="772">
        <f>ROUND(C33*D33/10000,0)</f>
        <v>5301</v>
      </c>
      <c r="F33" s="3342" t="s">
        <v>3262</v>
      </c>
      <c r="G33" s="2096"/>
      <c r="H33" s="2096"/>
      <c r="I33" s="2096"/>
      <c r="J33" s="2097"/>
      <c r="K33" s="1118"/>
      <c r="L33" s="3345" t="s">
        <v>3265</v>
      </c>
      <c r="M33" s="3346">
        <v>5.5E-2</v>
      </c>
      <c r="N33" s="3346">
        <v>5.5E-2</v>
      </c>
      <c r="O33" s="3346">
        <v>0.05</v>
      </c>
      <c r="P33" s="3346">
        <v>0.05</v>
      </c>
      <c r="Q33" s="3346">
        <v>0.05</v>
      </c>
      <c r="R33" s="1123"/>
      <c r="S33" s="1123"/>
      <c r="T33" s="1119"/>
      <c r="U33" s="1119"/>
      <c r="V33" s="1119"/>
      <c r="W33" s="1118"/>
      <c r="X33" s="1118"/>
      <c r="Y33" s="1118"/>
      <c r="Z33" s="1124"/>
      <c r="AA33" s="1124"/>
      <c r="AB33" s="1124"/>
      <c r="AC33" s="1124"/>
      <c r="AD33" s="1124"/>
      <c r="AE33" s="1119"/>
      <c r="AF33" s="1119"/>
      <c r="AG33" s="2138"/>
      <c r="AH33" s="2138"/>
      <c r="AI33" s="2138"/>
      <c r="AJ33" s="2138"/>
    </row>
    <row r="34" spans="1:37" ht="25.5" thickBot="1">
      <c r="A34" s="2098"/>
      <c r="B34" s="2099" t="s">
        <v>2030</v>
      </c>
      <c r="C34" s="187">
        <f>ROUND(IF(E2="工业",C33*M42,IF(B25="楼层修正",SUM(V2:V16)*M41*10000/D34,C33*M41)),0)</f>
        <v>771</v>
      </c>
      <c r="D34" s="2100"/>
      <c r="E34" s="772">
        <f>ROUND(IF(B25="楼层修正",SUM(V2:V16)*M40,C34*D34/10000),0)</f>
        <v>0</v>
      </c>
      <c r="F34" s="2101" t="s">
        <v>2031</v>
      </c>
      <c r="G34" s="2102"/>
      <c r="H34" s="2102"/>
      <c r="I34" s="2102"/>
      <c r="J34" s="2103"/>
      <c r="K34" s="1118"/>
      <c r="L34" s="3345" t="s">
        <v>3266</v>
      </c>
      <c r="M34" s="3346">
        <v>6.5000000000000002E-2</v>
      </c>
      <c r="N34" s="3346">
        <v>6.5000000000000002E-2</v>
      </c>
      <c r="O34" s="3346">
        <v>0.06</v>
      </c>
      <c r="P34" s="3346">
        <v>0.06</v>
      </c>
      <c r="Q34" s="3346">
        <v>0.06</v>
      </c>
      <c r="R34" s="1123"/>
      <c r="S34" s="1123"/>
      <c r="T34" s="1119"/>
      <c r="U34" s="1119"/>
      <c r="V34" s="1119"/>
      <c r="W34" s="1118"/>
      <c r="X34" s="1118"/>
      <c r="Y34" s="1118"/>
      <c r="Z34" s="1124"/>
      <c r="AA34" s="1124"/>
      <c r="AB34" s="1124"/>
      <c r="AC34" s="1124"/>
      <c r="AD34" s="1124"/>
      <c r="AE34" s="1119"/>
      <c r="AF34" s="1119"/>
      <c r="AG34" s="2138"/>
      <c r="AH34" s="2138"/>
      <c r="AI34" s="2138"/>
      <c r="AJ34" s="2138"/>
    </row>
    <row r="35" spans="1:37">
      <c r="A35" s="2104"/>
      <c r="B35" s="2105" t="s">
        <v>2032</v>
      </c>
      <c r="C35" s="3343" t="s">
        <v>3263</v>
      </c>
      <c r="D35" s="2034"/>
      <c r="E35" s="2106"/>
      <c r="F35" s="2106"/>
      <c r="G35" s="2032" t="s">
        <v>2033</v>
      </c>
      <c r="H35" s="2034"/>
      <c r="I35" s="2107"/>
      <c r="J35" s="2035"/>
      <c r="K35" s="1118"/>
      <c r="L35" s="1118"/>
      <c r="M35" s="1118"/>
      <c r="N35" s="1118"/>
      <c r="O35" s="1122"/>
      <c r="P35" s="1122"/>
      <c r="Q35" s="1123"/>
      <c r="R35" s="1118"/>
      <c r="S35" s="1118"/>
      <c r="T35" s="1118"/>
      <c r="U35" s="1118"/>
      <c r="V35" s="1118"/>
      <c r="W35" s="1118"/>
      <c r="X35" s="1118"/>
      <c r="Y35" s="1118"/>
      <c r="Z35" s="1119"/>
      <c r="AA35" s="1119"/>
      <c r="AB35" s="1119"/>
      <c r="AC35" s="1119"/>
      <c r="AD35" s="1119"/>
      <c r="AE35" s="1119"/>
      <c r="AF35" s="1119"/>
      <c r="AG35" s="2138"/>
      <c r="AH35" s="2138"/>
      <c r="AI35" s="2138"/>
      <c r="AJ35" s="2138"/>
    </row>
    <row r="36" spans="1:37" ht="24.75" thickBot="1">
      <c r="A36" s="2093"/>
      <c r="B36" s="2108"/>
      <c r="C36" s="450" t="s">
        <v>2026</v>
      </c>
      <c r="D36" s="447" t="s">
        <v>2027</v>
      </c>
      <c r="E36" s="447" t="s">
        <v>2028</v>
      </c>
      <c r="F36" s="342" t="s">
        <v>2034</v>
      </c>
      <c r="G36" s="2109" t="s">
        <v>2026</v>
      </c>
      <c r="H36" s="2109" t="s">
        <v>2027</v>
      </c>
      <c r="I36" s="2109" t="s">
        <v>2028</v>
      </c>
      <c r="J36" s="243"/>
      <c r="K36" s="3353" t="s">
        <v>3267</v>
      </c>
      <c r="L36" s="3443">
        <f ca="1">'数据-取费表'!B40</f>
        <v>4.1499999999999995E-2</v>
      </c>
      <c r="M36" s="3354">
        <f ca="1">ROUND($L$36*(1+M31),3)</f>
        <v>5.1999999999999998E-2</v>
      </c>
      <c r="N36" s="3354">
        <f ca="1">ROUND($L$36*(1+N31),3)</f>
        <v>0.05</v>
      </c>
      <c r="O36" s="3354">
        <f ca="1">ROUND($L$36*(1+O31),3)</f>
        <v>4.8000000000000001E-2</v>
      </c>
      <c r="P36" s="3354">
        <f ca="1">ROUND($L$36*(1+P31),3)</f>
        <v>4.5999999999999999E-2</v>
      </c>
      <c r="Q36" s="3354">
        <f ca="1">ROUND($L$36*(1+Q31),3)</f>
        <v>4.8000000000000001E-2</v>
      </c>
      <c r="R36" s="1118"/>
      <c r="S36" s="1118"/>
      <c r="T36" s="1118"/>
      <c r="U36" s="1118"/>
      <c r="V36" s="1118"/>
      <c r="W36" s="1118"/>
      <c r="X36" s="1118"/>
      <c r="Y36" s="1118"/>
      <c r="Z36" s="1119"/>
      <c r="AA36" s="1119"/>
      <c r="AB36" s="1119"/>
      <c r="AC36" s="1119"/>
      <c r="AD36" s="1119"/>
      <c r="AE36" s="1119"/>
      <c r="AF36" s="1119"/>
      <c r="AG36" s="2138"/>
      <c r="AH36" s="2138"/>
      <c r="AI36" s="2138"/>
      <c r="AJ36" s="2138"/>
    </row>
    <row r="37" spans="1:37" ht="24.75" thickBot="1">
      <c r="A37" s="3812"/>
      <c r="B37" s="2110" t="s">
        <v>2035</v>
      </c>
      <c r="C37" s="175">
        <f>ROUND(D5*C22*C23*C24*C28*F37,0)</f>
        <v>1437</v>
      </c>
      <c r="D37" s="2095"/>
      <c r="E37" s="171">
        <f>ROUND(C37*D37/10000,0)</f>
        <v>0</v>
      </c>
      <c r="F37" s="171">
        <f>SUMIF(修正!A57:A68,G2,修正!B57:B68)</f>
        <v>0.5</v>
      </c>
      <c r="G37" s="171">
        <f>ROUND(IF(E2="工业",C37*$M$42,C37*$M$41),0)</f>
        <v>359</v>
      </c>
      <c r="H37" s="171">
        <f>D37</f>
        <v>0</v>
      </c>
      <c r="I37" s="171">
        <f>ROUND(G37*H37/10000,0)</f>
        <v>0</v>
      </c>
      <c r="J37" s="3008"/>
      <c r="K37" s="3355" t="s">
        <v>3268</v>
      </c>
      <c r="L37" s="3353">
        <f ca="1">L36+K38</f>
        <v>4.6499999999999993E-2</v>
      </c>
      <c r="M37" s="3354">
        <f ca="1">ROUND($L$37*(1+M31),3)</f>
        <v>5.8000000000000003E-2</v>
      </c>
      <c r="N37" s="3354">
        <f t="shared" ref="N37:Q37" ca="1" si="3">ROUND($L$37*(1+N31),3)</f>
        <v>5.6000000000000001E-2</v>
      </c>
      <c r="O37" s="3354">
        <f t="shared" ca="1" si="3"/>
        <v>5.2999999999999999E-2</v>
      </c>
      <c r="P37" s="3354">
        <f t="shared" ca="1" si="3"/>
        <v>5.0999999999999997E-2</v>
      </c>
      <c r="Q37" s="3354">
        <f t="shared" ca="1" si="3"/>
        <v>5.2999999999999999E-2</v>
      </c>
      <c r="R37" s="1118"/>
      <c r="S37" s="1118"/>
      <c r="T37" s="1118"/>
      <c r="U37" s="1118"/>
      <c r="V37" s="1118"/>
      <c r="W37" s="1118"/>
      <c r="X37" s="1118"/>
      <c r="Y37" s="1118"/>
      <c r="Z37" s="1119"/>
      <c r="AA37" s="1119"/>
      <c r="AB37" s="1119"/>
      <c r="AC37" s="1119"/>
      <c r="AD37" s="1119"/>
      <c r="AE37" s="1119"/>
      <c r="AF37" s="1119"/>
      <c r="AG37" s="2138"/>
      <c r="AH37" s="2138"/>
      <c r="AI37" s="2138"/>
      <c r="AJ37" s="2138"/>
    </row>
    <row r="38" spans="1:37">
      <c r="A38" s="3813"/>
      <c r="B38" s="2038" t="s">
        <v>2036</v>
      </c>
      <c r="C38" s="175">
        <f>ROUND(D5*C22*C23*C24*C28*F38,0)</f>
        <v>575</v>
      </c>
      <c r="D38" s="2095"/>
      <c r="E38" s="171">
        <f t="shared" ref="E38:E42" si="4">ROUND(C38*D38/10000,0)</f>
        <v>0</v>
      </c>
      <c r="F38" s="171">
        <f>SUMIF(修正!A57:A68,G2,修正!C57:C68)</f>
        <v>0.2</v>
      </c>
      <c r="G38" s="171">
        <f>ROUND(IF(E2="工业",C38*$M$42,C38*$M$41),0)</f>
        <v>144</v>
      </c>
      <c r="H38" s="171">
        <f t="shared" ref="H38:H42" si="5">D38</f>
        <v>0</v>
      </c>
      <c r="I38" s="171">
        <f t="shared" ref="I38:I42" si="6">ROUND(G38*H38/10000,0)</f>
        <v>0</v>
      </c>
      <c r="J38" s="3007"/>
      <c r="K38" s="3353">
        <v>5.0000000000000001E-3</v>
      </c>
      <c r="L38" s="3353"/>
      <c r="M38" s="3353"/>
      <c r="N38" s="3353"/>
      <c r="O38" s="3353"/>
      <c r="P38" s="3353"/>
      <c r="Q38" s="3353"/>
      <c r="R38" s="1118"/>
      <c r="S38" s="1118"/>
      <c r="T38" s="1118"/>
      <c r="U38" s="1118"/>
      <c r="V38" s="1118"/>
      <c r="W38" s="1118"/>
      <c r="X38" s="1118"/>
      <c r="Y38" s="1118"/>
      <c r="Z38" s="1119"/>
      <c r="AA38" s="1119"/>
      <c r="AB38" s="1119"/>
      <c r="AC38" s="1119"/>
      <c r="AD38" s="1119"/>
    </row>
    <row r="39" spans="1:37" ht="13.5" thickBot="1">
      <c r="A39" s="3813"/>
      <c r="B39" s="2038" t="s">
        <v>3261</v>
      </c>
      <c r="C39" s="175">
        <f>ROUND(D5*C22*C23*C24*C28*F39,0)</f>
        <v>575</v>
      </c>
      <c r="D39" s="2095"/>
      <c r="E39" s="171">
        <f t="shared" si="4"/>
        <v>0</v>
      </c>
      <c r="F39" s="171">
        <f>SUMIF(修正!A57:A68,G2,修正!D57:D68)</f>
        <v>0.2</v>
      </c>
      <c r="G39" s="171">
        <f>ROUND(IF(E2="工业",C39*$M$42,C39*$M$41),0)</f>
        <v>144</v>
      </c>
      <c r="H39" s="171">
        <f t="shared" si="5"/>
        <v>0</v>
      </c>
      <c r="I39" s="171">
        <f t="shared" si="6"/>
        <v>0</v>
      </c>
      <c r="J39" s="3007"/>
      <c r="K39" s="1118"/>
      <c r="L39" s="1118"/>
      <c r="M39" s="1118"/>
      <c r="N39" s="1118"/>
      <c r="O39" s="1118"/>
      <c r="P39" s="1118"/>
      <c r="Q39" s="1118"/>
      <c r="R39" s="1118"/>
      <c r="S39" s="1118"/>
      <c r="T39" s="1118"/>
      <c r="U39" s="1118"/>
      <c r="V39" s="1118"/>
      <c r="W39" s="1118"/>
      <c r="X39" s="1118"/>
      <c r="Y39" s="1118"/>
      <c r="Z39" s="1119"/>
      <c r="AA39" s="1119"/>
      <c r="AB39" s="1119"/>
      <c r="AC39" s="1119"/>
      <c r="AD39" s="1119"/>
    </row>
    <row r="40" spans="1:37" s="1118" customFormat="1">
      <c r="A40" s="2112"/>
      <c r="B40" s="2038" t="s">
        <v>2037</v>
      </c>
      <c r="C40" s="171">
        <f>ROUND(D5*C22*C23*C24*C28*F40,0)</f>
        <v>575</v>
      </c>
      <c r="D40" s="2095"/>
      <c r="E40" s="171">
        <f t="shared" si="4"/>
        <v>0</v>
      </c>
      <c r="F40" s="175">
        <f>SUMIF(修正!A57:A68,G2,修正!E57:E68)</f>
        <v>0.2</v>
      </c>
      <c r="G40" s="171">
        <f>ROUND(IF(E2="工业",C40*$M$42,C40*$M$41),0)</f>
        <v>144</v>
      </c>
      <c r="H40" s="171">
        <f t="shared" si="5"/>
        <v>0</v>
      </c>
      <c r="I40" s="171">
        <f t="shared" si="6"/>
        <v>0</v>
      </c>
      <c r="J40" s="2111"/>
      <c r="L40" s="2113" t="s">
        <v>2038</v>
      </c>
      <c r="M40" s="2114"/>
      <c r="Z40" s="1119"/>
      <c r="AA40" s="1119"/>
      <c r="AB40" s="1119"/>
      <c r="AC40" s="1119"/>
      <c r="AD40" s="1119"/>
      <c r="AE40" s="1119"/>
      <c r="AF40" s="1119"/>
      <c r="AG40" s="1119"/>
      <c r="AH40" s="1119"/>
      <c r="AI40" s="1119"/>
      <c r="AJ40" s="1119"/>
    </row>
    <row r="41" spans="1:37" s="1118" customFormat="1">
      <c r="A41" s="2112"/>
      <c r="B41" s="2038" t="s">
        <v>2039</v>
      </c>
      <c r="C41" s="171">
        <f>ROUND(D5*C22*C23*C44*C28*F41,0)</f>
        <v>545</v>
      </c>
      <c r="D41" s="2095"/>
      <c r="E41" s="171">
        <f t="shared" si="4"/>
        <v>0</v>
      </c>
      <c r="F41" s="175">
        <f>SUMIF(修正!A57:A68,G2,修正!F57:F68)</f>
        <v>0.2</v>
      </c>
      <c r="G41" s="171">
        <f>ROUND(IF(E2="工业",C41*$M$42,C41*$M$41),0)</f>
        <v>136</v>
      </c>
      <c r="H41" s="171">
        <f t="shared" si="5"/>
        <v>0</v>
      </c>
      <c r="I41" s="171">
        <f t="shared" si="6"/>
        <v>0</v>
      </c>
      <c r="J41" s="2111"/>
      <c r="L41" s="3356" t="s">
        <v>3269</v>
      </c>
      <c r="M41" s="2115">
        <v>0.25</v>
      </c>
      <c r="Z41" s="1119"/>
      <c r="AA41" s="1119"/>
      <c r="AB41" s="1119"/>
      <c r="AC41" s="1119"/>
      <c r="AD41" s="1119"/>
      <c r="AE41" s="1119"/>
      <c r="AF41" s="1119"/>
      <c r="AG41" s="1119"/>
      <c r="AH41" s="1119"/>
      <c r="AI41" s="1119"/>
      <c r="AJ41" s="1119"/>
    </row>
    <row r="42" spans="1:37" s="1118" customFormat="1" ht="13.5" thickBot="1">
      <c r="A42" s="2098"/>
      <c r="B42" s="2116" t="s">
        <v>2040</v>
      </c>
      <c r="C42" s="187">
        <f>ROUND(D5*C22*C23*C44*C28*F42,0)</f>
        <v>272</v>
      </c>
      <c r="D42" s="2100">
        <v>2869.28</v>
      </c>
      <c r="E42" s="187">
        <f t="shared" si="4"/>
        <v>78</v>
      </c>
      <c r="F42" s="766">
        <f>SUMIF(修正!A57:A68,G2,修正!G57:G68)</f>
        <v>0.1</v>
      </c>
      <c r="G42" s="187">
        <f>ROUND(IF(E2="工业",C42*$M$42,C42*$M$41),0)</f>
        <v>68</v>
      </c>
      <c r="H42" s="187">
        <f t="shared" si="5"/>
        <v>2869.28</v>
      </c>
      <c r="I42" s="187">
        <f t="shared" si="6"/>
        <v>20</v>
      </c>
      <c r="J42" s="2117"/>
      <c r="L42" s="2118" t="s">
        <v>1992</v>
      </c>
      <c r="M42" s="2119">
        <v>0.15</v>
      </c>
      <c r="Z42" s="1119"/>
      <c r="AA42" s="1119"/>
      <c r="AB42" s="1119"/>
      <c r="AC42" s="1119"/>
      <c r="AD42" s="1119"/>
      <c r="AE42" s="1119"/>
      <c r="AF42" s="1119"/>
      <c r="AG42" s="1119"/>
      <c r="AH42" s="1119"/>
      <c r="AI42" s="1119"/>
      <c r="AJ42" s="1119"/>
    </row>
    <row r="43" spans="1:37" s="1118" customFormat="1">
      <c r="Z43" s="1119"/>
      <c r="AA43" s="1119"/>
      <c r="AB43" s="1119"/>
      <c r="AC43" s="1119"/>
      <c r="AD43" s="1119"/>
      <c r="AE43" s="1119"/>
      <c r="AF43" s="1119"/>
      <c r="AG43" s="1119"/>
      <c r="AH43" s="1119"/>
      <c r="AI43" s="1119"/>
      <c r="AJ43" s="1119"/>
    </row>
    <row r="44" spans="1:37" s="1118" customFormat="1">
      <c r="A44" s="1119"/>
      <c r="B44" s="2151" t="s">
        <v>2120</v>
      </c>
      <c r="C44" s="342">
        <f>ROUND(POWER(1+E44,H44-G44)*(POWER(1+E44,G44)-1)/(POWER(1+E44,H44)-1),4)</f>
        <v>0.68220000000000003</v>
      </c>
      <c r="D44" s="171" t="s">
        <v>1998</v>
      </c>
      <c r="E44" s="2150">
        <f>G24</f>
        <v>5.5E-2</v>
      </c>
      <c r="F44" s="171" t="s">
        <v>2007</v>
      </c>
      <c r="G44" s="183">
        <f>项目基本情况!F15</f>
        <v>18.84</v>
      </c>
      <c r="H44" s="171">
        <v>50</v>
      </c>
      <c r="Z44" s="1119"/>
      <c r="AA44" s="1119"/>
      <c r="AB44" s="1119"/>
      <c r="AC44" s="1119"/>
      <c r="AD44" s="1119"/>
      <c r="AE44" s="1119"/>
      <c r="AF44" s="1119"/>
      <c r="AG44" s="1119"/>
      <c r="AH44" s="1119"/>
      <c r="AI44" s="1119"/>
      <c r="AJ44" s="1119"/>
    </row>
    <row r="45" spans="1:37" s="1118" customFormat="1">
      <c r="A45" s="1119"/>
      <c r="B45" s="2120"/>
      <c r="Z45" s="1119"/>
      <c r="AA45" s="1119"/>
      <c r="AB45" s="1119"/>
      <c r="AC45" s="1119"/>
      <c r="AD45" s="1119"/>
      <c r="AE45" s="1119"/>
      <c r="AF45" s="1119"/>
      <c r="AG45" s="1119"/>
      <c r="AH45" s="1119"/>
      <c r="AI45" s="1119"/>
      <c r="AJ45" s="1119"/>
    </row>
    <row r="46" spans="1:37" s="1118" customFormat="1">
      <c r="A46" s="1119"/>
      <c r="B46" s="2120"/>
      <c r="AA46" s="1119"/>
      <c r="AB46" s="1119"/>
      <c r="AC46" s="1119"/>
      <c r="AD46" s="1119"/>
      <c r="AE46" s="1119"/>
      <c r="AF46" s="1119"/>
      <c r="AG46" s="1119"/>
      <c r="AH46" s="1119"/>
      <c r="AI46" s="1119"/>
      <c r="AJ46" s="1119"/>
      <c r="AK46" s="1119"/>
    </row>
    <row r="47" spans="1:37" s="1118" customFormat="1" ht="15.75" thickBot="1">
      <c r="A47" s="2121" t="s">
        <v>2041</v>
      </c>
      <c r="B47" s="2122"/>
      <c r="C47" s="4"/>
      <c r="D47" s="4"/>
      <c r="E47" s="4"/>
      <c r="F47" s="3"/>
      <c r="G47" s="3"/>
      <c r="H47" s="3"/>
      <c r="I47" s="1819"/>
      <c r="J47" s="1819"/>
      <c r="K47" s="1819"/>
      <c r="L47" s="1819"/>
      <c r="M47" s="1819"/>
      <c r="AA47" s="1119"/>
      <c r="AB47" s="1119"/>
      <c r="AC47" s="1119"/>
      <c r="AD47" s="1119"/>
      <c r="AE47" s="1119"/>
      <c r="AF47" s="1119"/>
      <c r="AG47" s="1119"/>
      <c r="AH47" s="1119"/>
      <c r="AI47" s="1119"/>
      <c r="AJ47" s="1119"/>
      <c r="AK47" s="1119"/>
    </row>
    <row r="48" spans="1:37" s="1118" customFormat="1" ht="15">
      <c r="A48" s="2123" t="s">
        <v>2042</v>
      </c>
      <c r="B48" s="2124">
        <f>1+E50</f>
        <v>1.0238</v>
      </c>
      <c r="C48" s="2125"/>
      <c r="D48" s="740"/>
      <c r="E48" s="741"/>
      <c r="F48" s="2126"/>
      <c r="G48" s="3"/>
      <c r="H48" s="4"/>
      <c r="I48" s="1819"/>
      <c r="J48" s="1819"/>
      <c r="K48" s="1819"/>
      <c r="L48" s="1819"/>
      <c r="M48" s="1819"/>
      <c r="AA48" s="1119"/>
      <c r="AB48" s="1119"/>
      <c r="AC48" s="1119"/>
      <c r="AD48" s="1119"/>
      <c r="AE48" s="1119"/>
      <c r="AF48" s="1119"/>
      <c r="AG48" s="1119"/>
      <c r="AH48" s="1119"/>
      <c r="AI48" s="1119"/>
      <c r="AJ48" s="1119"/>
      <c r="AK48" s="1119"/>
    </row>
    <row r="49" spans="1:37" s="1118" customFormat="1" ht="24.75">
      <c r="A49" s="2127" t="s">
        <v>2043</v>
      </c>
      <c r="B49" s="1349" t="s">
        <v>2044</v>
      </c>
      <c r="C49" s="1349" t="s">
        <v>2045</v>
      </c>
      <c r="D49" s="1349" t="s">
        <v>2046</v>
      </c>
      <c r="E49" s="742" t="s">
        <v>2047</v>
      </c>
      <c r="F49" s="2128" t="s">
        <v>2048</v>
      </c>
      <c r="G49" s="1349" t="s">
        <v>310</v>
      </c>
      <c r="H49" s="2129" t="s">
        <v>2049</v>
      </c>
      <c r="I49" s="1349" t="s">
        <v>2050</v>
      </c>
      <c r="J49" s="552" t="s">
        <v>1721</v>
      </c>
      <c r="K49" s="552" t="s">
        <v>1722</v>
      </c>
      <c r="L49" s="552" t="s">
        <v>1723</v>
      </c>
      <c r="M49" s="552" t="s">
        <v>1724</v>
      </c>
      <c r="N49" s="552" t="s">
        <v>1725</v>
      </c>
      <c r="AA49" s="1119"/>
      <c r="AB49" s="1119"/>
      <c r="AC49" s="1119"/>
      <c r="AD49" s="1119"/>
      <c r="AE49" s="1119"/>
      <c r="AF49" s="1119"/>
      <c r="AG49" s="1119"/>
      <c r="AH49" s="1119"/>
      <c r="AI49" s="1119"/>
      <c r="AJ49" s="1119"/>
      <c r="AK49" s="1119"/>
    </row>
    <row r="50" spans="1:37" s="1118" customFormat="1" ht="38.25">
      <c r="A50" s="2127" t="s">
        <v>2051</v>
      </c>
      <c r="B50" s="2130" t="str">
        <f>估价对象房地状况!C4</f>
        <v>估价对象位于XX商圈，周边商业氛围成熟，人流量大，商业繁华度好</v>
      </c>
      <c r="C50" s="2041" t="s">
        <v>3393</v>
      </c>
      <c r="D50" s="1064">
        <f t="shared" ref="D50:D58" si="7">SUMIF($J$49:$N$49,C50,J50:N50)</f>
        <v>0</v>
      </c>
      <c r="E50" s="743">
        <f>ROUND(SUM(D50:D58),4)</f>
        <v>2.3800000000000002E-2</v>
      </c>
      <c r="F50" s="1812">
        <f>IF(E2="商业",SUMIF(L1:L12,G2,N1:N12),"——")</f>
        <v>0.15</v>
      </c>
      <c r="G50" s="1062">
        <f>H50</f>
        <v>2.2499999999999999E-2</v>
      </c>
      <c r="H50" s="1065">
        <f t="shared" ref="H50:H58" si="8">IFERROR(ROUNDDOWN($F$50*I50/2,4),"——")</f>
        <v>2.2499999999999999E-2</v>
      </c>
      <c r="I50" s="3363">
        <v>0.3</v>
      </c>
      <c r="J50" s="1063">
        <f t="shared" ref="J50:J58" si="9">K50+$G50</f>
        <v>4.4999999999999998E-2</v>
      </c>
      <c r="K50" s="1063">
        <f t="shared" ref="K50:K58" si="10">$L50+$G50</f>
        <v>2.2499999999999999E-2</v>
      </c>
      <c r="L50" s="1063">
        <v>0</v>
      </c>
      <c r="M50" s="1063">
        <f t="shared" ref="M50:N58" si="11">L50-$G50</f>
        <v>-2.2499999999999999E-2</v>
      </c>
      <c r="N50" s="1063">
        <f t="shared" si="11"/>
        <v>-4.4999999999999998E-2</v>
      </c>
      <c r="AA50" s="1119"/>
      <c r="AB50" s="1119"/>
      <c r="AC50" s="1119"/>
      <c r="AD50" s="1119"/>
      <c r="AE50" s="1119"/>
      <c r="AF50" s="1119"/>
      <c r="AG50" s="1119"/>
      <c r="AH50" s="1119"/>
      <c r="AI50" s="1119"/>
      <c r="AJ50" s="1119"/>
      <c r="AK50" s="1119"/>
    </row>
    <row r="51" spans="1:37" s="1118" customFormat="1" ht="38.25">
      <c r="A51" s="2127" t="s">
        <v>2052</v>
      </c>
      <c r="B51" s="2131" t="str">
        <f>估价对象房地状况!C18</f>
        <v>估价对象周边道路状况、公共交通通达情况、停车便捷程度，综合评价交通便捷度较好</v>
      </c>
      <c r="C51" s="2041" t="s">
        <v>3393</v>
      </c>
      <c r="D51" s="1064">
        <f t="shared" si="7"/>
        <v>0</v>
      </c>
      <c r="E51" s="744"/>
      <c r="F51" s="1812"/>
      <c r="G51" s="1062">
        <f t="shared" ref="G51:G58" si="12">H51</f>
        <v>1.6500000000000001E-2</v>
      </c>
      <c r="H51" s="1065">
        <f t="shared" si="8"/>
        <v>1.6500000000000001E-2</v>
      </c>
      <c r="I51" s="3363">
        <v>0.22</v>
      </c>
      <c r="J51" s="1063">
        <f t="shared" si="9"/>
        <v>3.3000000000000002E-2</v>
      </c>
      <c r="K51" s="1063">
        <f t="shared" si="10"/>
        <v>1.6500000000000001E-2</v>
      </c>
      <c r="L51" s="1063">
        <v>0</v>
      </c>
      <c r="M51" s="1063">
        <f t="shared" si="11"/>
        <v>-1.6500000000000001E-2</v>
      </c>
      <c r="N51" s="1063">
        <f t="shared" si="11"/>
        <v>-3.3000000000000002E-2</v>
      </c>
      <c r="AA51" s="1119"/>
      <c r="AB51" s="1119"/>
      <c r="AC51" s="1119"/>
      <c r="AD51" s="1119"/>
      <c r="AE51" s="1119"/>
      <c r="AF51" s="1119"/>
      <c r="AG51" s="1119"/>
      <c r="AH51" s="1119"/>
      <c r="AI51" s="1119"/>
      <c r="AJ51" s="1119"/>
      <c r="AK51" s="1119"/>
    </row>
    <row r="52" spans="1:37" s="1118" customFormat="1" ht="36">
      <c r="A52" s="3365" t="s">
        <v>3271</v>
      </c>
      <c r="B52" s="2131">
        <f>估价对象房地状况!C19</f>
        <v>0</v>
      </c>
      <c r="C52" s="2041" t="s">
        <v>3392</v>
      </c>
      <c r="D52" s="1064">
        <f t="shared" si="7"/>
        <v>8.9999999999999993E-3</v>
      </c>
      <c r="E52" s="744"/>
      <c r="F52" s="1812"/>
      <c r="G52" s="1062">
        <f t="shared" si="12"/>
        <v>8.9999999999999993E-3</v>
      </c>
      <c r="H52" s="1065">
        <f t="shared" si="8"/>
        <v>8.9999999999999993E-3</v>
      </c>
      <c r="I52" s="3363">
        <v>0.12</v>
      </c>
      <c r="J52" s="1063">
        <f t="shared" si="9"/>
        <v>1.7999999999999999E-2</v>
      </c>
      <c r="K52" s="1063">
        <f t="shared" si="10"/>
        <v>8.9999999999999993E-3</v>
      </c>
      <c r="L52" s="1063">
        <v>0</v>
      </c>
      <c r="M52" s="1063">
        <f t="shared" si="11"/>
        <v>-8.9999999999999993E-3</v>
      </c>
      <c r="N52" s="1063">
        <f t="shared" si="11"/>
        <v>-1.7999999999999999E-2</v>
      </c>
      <c r="AA52" s="1119"/>
      <c r="AB52" s="1119"/>
      <c r="AC52" s="1119"/>
      <c r="AD52" s="1119"/>
      <c r="AE52" s="1119"/>
      <c r="AF52" s="1119"/>
      <c r="AG52" s="1119"/>
      <c r="AH52" s="1119"/>
      <c r="AI52" s="1119"/>
      <c r="AJ52" s="1119"/>
      <c r="AK52" s="1119"/>
    </row>
    <row r="53" spans="1:37" s="1118" customFormat="1" ht="36.75">
      <c r="A53" s="2127" t="s">
        <v>2053</v>
      </c>
      <c r="B53" s="2132" t="s">
        <v>2054</v>
      </c>
      <c r="C53" s="2041" t="s">
        <v>3392</v>
      </c>
      <c r="D53" s="1064">
        <f t="shared" si="7"/>
        <v>3.7000000000000002E-3</v>
      </c>
      <c r="E53" s="744"/>
      <c r="F53" s="1812"/>
      <c r="G53" s="1062">
        <f t="shared" si="12"/>
        <v>3.7000000000000002E-3</v>
      </c>
      <c r="H53" s="1065">
        <f t="shared" si="8"/>
        <v>3.7000000000000002E-3</v>
      </c>
      <c r="I53" s="3363">
        <v>0.05</v>
      </c>
      <c r="J53" s="1063">
        <f t="shared" si="9"/>
        <v>7.4000000000000003E-3</v>
      </c>
      <c r="K53" s="1063">
        <f t="shared" si="10"/>
        <v>3.7000000000000002E-3</v>
      </c>
      <c r="L53" s="1063">
        <v>0</v>
      </c>
      <c r="M53" s="1063">
        <f t="shared" si="11"/>
        <v>-3.7000000000000002E-3</v>
      </c>
      <c r="N53" s="1063">
        <f t="shared" si="11"/>
        <v>-7.4000000000000003E-3</v>
      </c>
      <c r="AA53" s="1119"/>
      <c r="AB53" s="1119"/>
      <c r="AC53" s="1119"/>
      <c r="AD53" s="1119"/>
      <c r="AE53" s="1119"/>
      <c r="AF53" s="1119"/>
      <c r="AG53" s="1119"/>
      <c r="AH53" s="1119"/>
      <c r="AI53" s="1119"/>
      <c r="AJ53" s="1119"/>
      <c r="AK53" s="1119"/>
    </row>
    <row r="54" spans="1:37" s="1118" customFormat="1" ht="24">
      <c r="A54" s="2127" t="s">
        <v>2055</v>
      </c>
      <c r="B54" s="2131">
        <f>估价对象房地状况!C24</f>
        <v>0</v>
      </c>
      <c r="C54" s="2041" t="s">
        <v>3393</v>
      </c>
      <c r="D54" s="1064">
        <f t="shared" si="7"/>
        <v>0</v>
      </c>
      <c r="E54" s="744"/>
      <c r="F54" s="1812"/>
      <c r="G54" s="1062">
        <f t="shared" si="12"/>
        <v>6.0000000000000001E-3</v>
      </c>
      <c r="H54" s="1065">
        <f t="shared" si="8"/>
        <v>6.0000000000000001E-3</v>
      </c>
      <c r="I54" s="3363">
        <v>0.08</v>
      </c>
      <c r="J54" s="1063">
        <f t="shared" si="9"/>
        <v>1.2E-2</v>
      </c>
      <c r="K54" s="1063">
        <f t="shared" si="10"/>
        <v>6.0000000000000001E-3</v>
      </c>
      <c r="L54" s="1063">
        <v>0</v>
      </c>
      <c r="M54" s="1063">
        <f t="shared" si="11"/>
        <v>-6.0000000000000001E-3</v>
      </c>
      <c r="N54" s="1063">
        <f t="shared" si="11"/>
        <v>-1.2E-2</v>
      </c>
      <c r="AA54" s="1119"/>
      <c r="AB54" s="1119"/>
      <c r="AC54" s="1119"/>
      <c r="AD54" s="1119"/>
      <c r="AE54" s="1119"/>
      <c r="AF54" s="1119"/>
      <c r="AG54" s="1119"/>
      <c r="AH54" s="1119"/>
      <c r="AI54" s="1119"/>
      <c r="AJ54" s="1119"/>
      <c r="AK54" s="1119"/>
    </row>
    <row r="55" spans="1:37" s="1118" customFormat="1" ht="24">
      <c r="A55" s="2127" t="s">
        <v>2056</v>
      </c>
      <c r="B55" s="2133" t="s">
        <v>2057</v>
      </c>
      <c r="C55" s="2041" t="s">
        <v>3392</v>
      </c>
      <c r="D55" s="1064">
        <f t="shared" si="7"/>
        <v>3.7000000000000002E-3</v>
      </c>
      <c r="E55" s="744"/>
      <c r="F55" s="1812"/>
      <c r="G55" s="1062">
        <f t="shared" si="12"/>
        <v>3.7000000000000002E-3</v>
      </c>
      <c r="H55" s="1065">
        <f t="shared" si="8"/>
        <v>3.7000000000000002E-3</v>
      </c>
      <c r="I55" s="3363">
        <v>0.05</v>
      </c>
      <c r="J55" s="1063">
        <f t="shared" si="9"/>
        <v>7.4000000000000003E-3</v>
      </c>
      <c r="K55" s="1063">
        <f t="shared" si="10"/>
        <v>3.7000000000000002E-3</v>
      </c>
      <c r="L55" s="1063">
        <v>0</v>
      </c>
      <c r="M55" s="1063">
        <f t="shared" si="11"/>
        <v>-3.7000000000000002E-3</v>
      </c>
      <c r="N55" s="1063">
        <f t="shared" si="11"/>
        <v>-7.4000000000000003E-3</v>
      </c>
      <c r="AA55" s="1119"/>
      <c r="AB55" s="1119"/>
      <c r="AC55" s="1119"/>
      <c r="AD55" s="1119"/>
      <c r="AE55" s="1119"/>
      <c r="AF55" s="1119"/>
      <c r="AG55" s="1119"/>
      <c r="AH55" s="1119"/>
      <c r="AI55" s="1119"/>
      <c r="AJ55" s="1119"/>
      <c r="AK55" s="1119"/>
    </row>
    <row r="56" spans="1:37" s="1118" customFormat="1" ht="25.5">
      <c r="A56" s="2134" t="s">
        <v>2058</v>
      </c>
      <c r="B56" s="1324" t="str">
        <f>估价对象房地状况!C21</f>
        <v>估价对象所在区域公共配套设施齐备情况</v>
      </c>
      <c r="C56" s="2041" t="s">
        <v>3392</v>
      </c>
      <c r="D56" s="1064">
        <f t="shared" si="7"/>
        <v>3.7000000000000002E-3</v>
      </c>
      <c r="E56" s="744"/>
      <c r="F56" s="1812"/>
      <c r="G56" s="1062">
        <f t="shared" si="12"/>
        <v>3.7000000000000002E-3</v>
      </c>
      <c r="H56" s="1065">
        <f t="shared" si="8"/>
        <v>3.7000000000000002E-3</v>
      </c>
      <c r="I56" s="3363">
        <v>0.05</v>
      </c>
      <c r="J56" s="1063">
        <f t="shared" si="9"/>
        <v>7.4000000000000003E-3</v>
      </c>
      <c r="K56" s="1063">
        <f t="shared" si="10"/>
        <v>3.7000000000000002E-3</v>
      </c>
      <c r="L56" s="1063">
        <v>0</v>
      </c>
      <c r="M56" s="1063">
        <f t="shared" si="11"/>
        <v>-3.7000000000000002E-3</v>
      </c>
      <c r="N56" s="1063">
        <f t="shared" si="11"/>
        <v>-7.4000000000000003E-3</v>
      </c>
      <c r="AA56" s="1119"/>
      <c r="AB56" s="1119"/>
      <c r="AC56" s="1119"/>
      <c r="AD56" s="1119"/>
      <c r="AE56" s="1119"/>
      <c r="AF56" s="1119"/>
      <c r="AG56" s="1119"/>
      <c r="AH56" s="1119"/>
      <c r="AI56" s="1119"/>
      <c r="AJ56" s="1119"/>
      <c r="AK56" s="1119"/>
    </row>
    <row r="57" spans="1:37" s="1118" customFormat="1" ht="25.5">
      <c r="A57" s="2134" t="s">
        <v>2059</v>
      </c>
      <c r="B57" s="2131" t="str">
        <f>估价对象房地状况!C22</f>
        <v>估价对象所在区域基础设施水平</v>
      </c>
      <c r="C57" s="2041" t="s">
        <v>3393</v>
      </c>
      <c r="D57" s="1064">
        <f t="shared" si="7"/>
        <v>0</v>
      </c>
      <c r="E57" s="744"/>
      <c r="F57" s="1812"/>
      <c r="G57" s="1062">
        <f t="shared" si="12"/>
        <v>6.0000000000000001E-3</v>
      </c>
      <c r="H57" s="1065">
        <f t="shared" si="8"/>
        <v>6.0000000000000001E-3</v>
      </c>
      <c r="I57" s="3363">
        <v>0.08</v>
      </c>
      <c r="J57" s="1063">
        <f t="shared" si="9"/>
        <v>1.2E-2</v>
      </c>
      <c r="K57" s="1063">
        <f t="shared" si="10"/>
        <v>6.0000000000000001E-3</v>
      </c>
      <c r="L57" s="1063">
        <v>0</v>
      </c>
      <c r="M57" s="1063">
        <f t="shared" si="11"/>
        <v>-6.0000000000000001E-3</v>
      </c>
      <c r="N57" s="1063">
        <f t="shared" si="11"/>
        <v>-1.2E-2</v>
      </c>
      <c r="AA57" s="1119"/>
      <c r="AB57" s="1119"/>
      <c r="AC57" s="1119"/>
      <c r="AD57" s="1119"/>
      <c r="AE57" s="1119"/>
      <c r="AF57" s="1119"/>
      <c r="AG57" s="1119"/>
      <c r="AH57" s="1119"/>
      <c r="AI57" s="1119"/>
      <c r="AJ57" s="1119"/>
      <c r="AK57" s="1119"/>
    </row>
    <row r="58" spans="1:37" s="1118" customFormat="1" ht="26.25" thickBot="1">
      <c r="A58" s="2135" t="s">
        <v>2060</v>
      </c>
      <c r="B58" s="2136" t="str">
        <f>估价对象房地状况!C20</f>
        <v>区域自然环境：；人文环境；综合评价环境状况一般</v>
      </c>
      <c r="C58" s="2041" t="s">
        <v>3392</v>
      </c>
      <c r="D58" s="1064">
        <f t="shared" si="7"/>
        <v>3.7000000000000002E-3</v>
      </c>
      <c r="E58" s="745"/>
      <c r="F58" s="1812"/>
      <c r="G58" s="1062">
        <f t="shared" si="12"/>
        <v>3.7000000000000002E-3</v>
      </c>
      <c r="H58" s="1065">
        <f t="shared" si="8"/>
        <v>3.7000000000000002E-3</v>
      </c>
      <c r="I58" s="3364">
        <v>0.05</v>
      </c>
      <c r="J58" s="1063">
        <f t="shared" si="9"/>
        <v>7.4000000000000003E-3</v>
      </c>
      <c r="K58" s="1063">
        <f t="shared" si="10"/>
        <v>3.7000000000000002E-3</v>
      </c>
      <c r="L58" s="1063">
        <v>0</v>
      </c>
      <c r="M58" s="1063">
        <f t="shared" si="11"/>
        <v>-3.7000000000000002E-3</v>
      </c>
      <c r="N58" s="1063">
        <f t="shared" si="11"/>
        <v>-7.4000000000000003E-3</v>
      </c>
      <c r="AA58" s="1119"/>
      <c r="AB58" s="1119"/>
      <c r="AC58" s="1119"/>
      <c r="AD58" s="1119"/>
      <c r="AE58" s="1119"/>
      <c r="AF58" s="1119"/>
      <c r="AG58" s="1119"/>
      <c r="AH58" s="1119"/>
      <c r="AI58" s="1119"/>
      <c r="AJ58" s="1119"/>
      <c r="AK58" s="1119"/>
    </row>
    <row r="59" spans="1:37" s="1118" customFormat="1" ht="15">
      <c r="A59" s="2123" t="s">
        <v>2061</v>
      </c>
      <c r="B59" s="2124">
        <f>1+E61</f>
        <v>1</v>
      </c>
      <c r="C59" s="740"/>
      <c r="D59" s="740"/>
      <c r="E59" s="741"/>
      <c r="F59" s="2126"/>
      <c r="G59" s="3"/>
      <c r="H59" s="3"/>
      <c r="I59" s="3"/>
      <c r="J59" s="4"/>
      <c r="K59" s="4"/>
      <c r="L59" s="4"/>
      <c r="M59" s="4"/>
      <c r="N59" s="4"/>
      <c r="AA59" s="1119"/>
      <c r="AB59" s="1119"/>
      <c r="AC59" s="1119"/>
      <c r="AD59" s="1119"/>
      <c r="AE59" s="1119"/>
      <c r="AF59" s="1119"/>
      <c r="AG59" s="1119"/>
      <c r="AH59" s="1119"/>
      <c r="AI59" s="1119"/>
      <c r="AJ59" s="1119"/>
      <c r="AK59" s="1119"/>
    </row>
    <row r="60" spans="1:37" s="1118" customFormat="1" ht="24.75">
      <c r="A60" s="2127" t="s">
        <v>2043</v>
      </c>
      <c r="B60" s="1349"/>
      <c r="C60" s="1349" t="s">
        <v>2045</v>
      </c>
      <c r="D60" s="1349" t="s">
        <v>2046</v>
      </c>
      <c r="E60" s="742" t="s">
        <v>2047</v>
      </c>
      <c r="F60" s="2128" t="s">
        <v>2062</v>
      </c>
      <c r="G60" s="1349" t="s">
        <v>310</v>
      </c>
      <c r="H60" s="2129" t="s">
        <v>2049</v>
      </c>
      <c r="I60" s="1349" t="s">
        <v>2050</v>
      </c>
      <c r="J60" s="552" t="s">
        <v>1721</v>
      </c>
      <c r="K60" s="552" t="s">
        <v>1722</v>
      </c>
      <c r="L60" s="552" t="s">
        <v>1723</v>
      </c>
      <c r="M60" s="552" t="s">
        <v>1724</v>
      </c>
      <c r="N60" s="552" t="s">
        <v>1725</v>
      </c>
      <c r="AA60" s="1119"/>
      <c r="AB60" s="1119"/>
      <c r="AC60" s="1119"/>
      <c r="AD60" s="1119"/>
      <c r="AE60" s="1119"/>
      <c r="AF60" s="1119"/>
      <c r="AG60" s="1119"/>
      <c r="AH60" s="1119"/>
      <c r="AI60" s="1119"/>
      <c r="AJ60" s="1119"/>
      <c r="AK60" s="1119"/>
    </row>
    <row r="61" spans="1:37" s="1118" customFormat="1" ht="38.25">
      <c r="A61" s="2127" t="s">
        <v>2063</v>
      </c>
      <c r="B61" s="2130" t="str">
        <f>估价对象房地状况!C17</f>
        <v>估价对象位于XX商圈，周边办公楼项目较多，入驻率高，办公集聚程度较好</v>
      </c>
      <c r="C61" s="2041"/>
      <c r="D61" s="1064">
        <f t="shared" ref="D61:D69" si="13">SUMIF($J$60:$N$60,C61,J61:N61)</f>
        <v>0</v>
      </c>
      <c r="E61" s="743">
        <f>ROUND(SUM(D61:D69),4)</f>
        <v>0</v>
      </c>
      <c r="F61" s="1812" t="str">
        <f>IF(E2="办公",SUMIF(L1:L12,G2,N1:N12),"——")</f>
        <v>——</v>
      </c>
      <c r="G61" s="1062"/>
      <c r="H61" s="1065" t="str">
        <f t="shared" ref="H61:H69" si="14">IFERROR(ROUNDDOWN($F$61*I61/2,4),"——")</f>
        <v>——</v>
      </c>
      <c r="I61" s="3363">
        <v>0.25</v>
      </c>
      <c r="J61" s="1063">
        <f t="shared" ref="J61:J69" si="15">K61+$G61</f>
        <v>0</v>
      </c>
      <c r="K61" s="1063">
        <f t="shared" ref="K61:K69" si="16">$L61+$G61</f>
        <v>0</v>
      </c>
      <c r="L61" s="1063">
        <v>0</v>
      </c>
      <c r="M61" s="1063">
        <f t="shared" ref="M61:N69" si="17">L61-$G61</f>
        <v>0</v>
      </c>
      <c r="N61" s="1063">
        <f t="shared" si="17"/>
        <v>0</v>
      </c>
      <c r="AA61" s="1119"/>
      <c r="AB61" s="1119"/>
      <c r="AC61" s="1119"/>
      <c r="AD61" s="1119"/>
      <c r="AE61" s="1119"/>
      <c r="AF61" s="1119"/>
      <c r="AG61" s="1119"/>
      <c r="AH61" s="1119"/>
      <c r="AI61" s="1119"/>
      <c r="AJ61" s="1119"/>
      <c r="AK61" s="1119"/>
    </row>
    <row r="62" spans="1:37" s="1118" customFormat="1" ht="38.25">
      <c r="A62" s="2127" t="s">
        <v>2052</v>
      </c>
      <c r="B62" s="2131" t="str">
        <f>估价对象房地状况!C18</f>
        <v>估价对象周边道路状况、公共交通通达情况、停车便捷程度，综合评价交通便捷度较好</v>
      </c>
      <c r="C62" s="2041"/>
      <c r="D62" s="1064">
        <f t="shared" si="13"/>
        <v>0</v>
      </c>
      <c r="E62" s="744"/>
      <c r="F62" s="1812"/>
      <c r="G62" s="1062"/>
      <c r="H62" s="1065" t="str">
        <f t="shared" si="14"/>
        <v>——</v>
      </c>
      <c r="I62" s="3363">
        <v>0.26</v>
      </c>
      <c r="J62" s="1063">
        <f t="shared" si="15"/>
        <v>0</v>
      </c>
      <c r="K62" s="1063">
        <f t="shared" si="16"/>
        <v>0</v>
      </c>
      <c r="L62" s="1063">
        <v>0</v>
      </c>
      <c r="M62" s="1063">
        <f t="shared" si="17"/>
        <v>0</v>
      </c>
      <c r="N62" s="1063">
        <f t="shared" si="17"/>
        <v>0</v>
      </c>
      <c r="AA62" s="1119"/>
      <c r="AB62" s="1119"/>
      <c r="AC62" s="1119"/>
      <c r="AD62" s="1119"/>
      <c r="AE62" s="1119"/>
      <c r="AF62" s="1119"/>
      <c r="AG62" s="1119"/>
      <c r="AH62" s="1119"/>
      <c r="AI62" s="1119"/>
      <c r="AJ62" s="1119"/>
      <c r="AK62" s="1119"/>
    </row>
    <row r="63" spans="1:37" s="1118" customFormat="1" ht="36">
      <c r="A63" s="3365" t="s">
        <v>3271</v>
      </c>
      <c r="B63" s="2131">
        <f>估价对象房地状况!C19</f>
        <v>0</v>
      </c>
      <c r="C63" s="2041"/>
      <c r="D63" s="1064">
        <f t="shared" si="13"/>
        <v>0</v>
      </c>
      <c r="E63" s="744"/>
      <c r="F63" s="1812"/>
      <c r="G63" s="1062"/>
      <c r="H63" s="1065" t="str">
        <f t="shared" si="14"/>
        <v>——</v>
      </c>
      <c r="I63" s="3363">
        <v>0.11</v>
      </c>
      <c r="J63" s="1063">
        <f t="shared" si="15"/>
        <v>0</v>
      </c>
      <c r="K63" s="1063">
        <f t="shared" si="16"/>
        <v>0</v>
      </c>
      <c r="L63" s="1063">
        <v>0</v>
      </c>
      <c r="M63" s="1063">
        <f t="shared" si="17"/>
        <v>0</v>
      </c>
      <c r="N63" s="1063">
        <f t="shared" si="17"/>
        <v>0</v>
      </c>
      <c r="AA63" s="1119"/>
      <c r="AB63" s="1119"/>
      <c r="AC63" s="1119"/>
      <c r="AD63" s="1119"/>
      <c r="AE63" s="1119"/>
      <c r="AF63" s="1119"/>
      <c r="AG63" s="1119"/>
      <c r="AH63" s="1119"/>
      <c r="AI63" s="1119"/>
      <c r="AJ63" s="1119"/>
      <c r="AK63" s="1119"/>
    </row>
    <row r="64" spans="1:37" s="1118" customFormat="1" ht="36.75">
      <c r="A64" s="2127" t="s">
        <v>2053</v>
      </c>
      <c r="B64" s="2132" t="s">
        <v>2054</v>
      </c>
      <c r="C64" s="2041"/>
      <c r="D64" s="1064">
        <f t="shared" si="13"/>
        <v>0</v>
      </c>
      <c r="E64" s="744"/>
      <c r="F64" s="1812"/>
      <c r="G64" s="1062"/>
      <c r="H64" s="1065" t="str">
        <f t="shared" si="14"/>
        <v>——</v>
      </c>
      <c r="I64" s="3363">
        <v>0.05</v>
      </c>
      <c r="J64" s="1063">
        <f t="shared" si="15"/>
        <v>0</v>
      </c>
      <c r="K64" s="1063">
        <f t="shared" si="16"/>
        <v>0</v>
      </c>
      <c r="L64" s="1063">
        <v>0</v>
      </c>
      <c r="M64" s="1063">
        <f t="shared" si="17"/>
        <v>0</v>
      </c>
      <c r="N64" s="1063">
        <f t="shared" si="17"/>
        <v>0</v>
      </c>
      <c r="AA64" s="1119"/>
      <c r="AB64" s="1119"/>
      <c r="AC64" s="1119"/>
      <c r="AD64" s="1119"/>
      <c r="AE64" s="1119"/>
      <c r="AF64" s="1119"/>
      <c r="AG64" s="1119"/>
      <c r="AH64" s="1119"/>
      <c r="AI64" s="1119"/>
      <c r="AJ64" s="1119"/>
      <c r="AK64" s="1119"/>
    </row>
    <row r="65" spans="1:37" s="1118" customFormat="1" ht="24">
      <c r="A65" s="2127" t="s">
        <v>2055</v>
      </c>
      <c r="B65" s="2131">
        <f>估价对象房地状况!C24</f>
        <v>0</v>
      </c>
      <c r="C65" s="2041"/>
      <c r="D65" s="1064">
        <f t="shared" si="13"/>
        <v>0</v>
      </c>
      <c r="E65" s="744"/>
      <c r="F65" s="1812"/>
      <c r="G65" s="1062"/>
      <c r="H65" s="1065" t="str">
        <f t="shared" si="14"/>
        <v>——</v>
      </c>
      <c r="I65" s="3363">
        <v>0.05</v>
      </c>
      <c r="J65" s="1063">
        <f t="shared" si="15"/>
        <v>0</v>
      </c>
      <c r="K65" s="1063">
        <f t="shared" si="16"/>
        <v>0</v>
      </c>
      <c r="L65" s="1063">
        <v>0</v>
      </c>
      <c r="M65" s="1063">
        <f t="shared" si="17"/>
        <v>0</v>
      </c>
      <c r="N65" s="1063">
        <f t="shared" si="17"/>
        <v>0</v>
      </c>
      <c r="AA65" s="1119"/>
      <c r="AB65" s="1119"/>
      <c r="AC65" s="1119"/>
      <c r="AD65" s="1119"/>
      <c r="AE65" s="1119"/>
      <c r="AF65" s="1119"/>
      <c r="AG65" s="1119"/>
      <c r="AH65" s="1119"/>
      <c r="AI65" s="1119"/>
      <c r="AJ65" s="1119"/>
      <c r="AK65" s="1119"/>
    </row>
    <row r="66" spans="1:37" s="1118" customFormat="1" ht="24">
      <c r="A66" s="2127" t="s">
        <v>2056</v>
      </c>
      <c r="B66" s="2133" t="s">
        <v>2057</v>
      </c>
      <c r="C66" s="2041"/>
      <c r="D66" s="1064">
        <f t="shared" si="13"/>
        <v>0</v>
      </c>
      <c r="E66" s="744"/>
      <c r="F66" s="1812"/>
      <c r="G66" s="1062"/>
      <c r="H66" s="1065" t="str">
        <f t="shared" si="14"/>
        <v>——</v>
      </c>
      <c r="I66" s="3363">
        <v>0.06</v>
      </c>
      <c r="J66" s="1063">
        <f t="shared" si="15"/>
        <v>0</v>
      </c>
      <c r="K66" s="1063">
        <f t="shared" si="16"/>
        <v>0</v>
      </c>
      <c r="L66" s="1063">
        <v>0</v>
      </c>
      <c r="M66" s="1063">
        <f t="shared" si="17"/>
        <v>0</v>
      </c>
      <c r="N66" s="1063">
        <f t="shared" si="17"/>
        <v>0</v>
      </c>
      <c r="AA66" s="1119"/>
      <c r="AB66" s="1119"/>
      <c r="AC66" s="1119"/>
      <c r="AD66" s="1119"/>
      <c r="AE66" s="1119"/>
      <c r="AF66" s="1119"/>
      <c r="AG66" s="1119"/>
      <c r="AH66" s="1119"/>
      <c r="AI66" s="1119"/>
      <c r="AJ66" s="1119"/>
      <c r="AK66" s="1119"/>
    </row>
    <row r="67" spans="1:37" s="1118" customFormat="1" ht="25.5">
      <c r="A67" s="2127" t="s">
        <v>2058</v>
      </c>
      <c r="B67" s="1324" t="str">
        <f>估价对象房地状况!C21</f>
        <v>估价对象所在区域公共配套设施齐备情况</v>
      </c>
      <c r="C67" s="2041"/>
      <c r="D67" s="1064">
        <f t="shared" si="13"/>
        <v>0</v>
      </c>
      <c r="E67" s="744"/>
      <c r="F67" s="1812"/>
      <c r="G67" s="1062"/>
      <c r="H67" s="1065" t="str">
        <f t="shared" si="14"/>
        <v>——</v>
      </c>
      <c r="I67" s="3363">
        <v>0.06</v>
      </c>
      <c r="J67" s="1063">
        <f t="shared" si="15"/>
        <v>0</v>
      </c>
      <c r="K67" s="1063">
        <f t="shared" si="16"/>
        <v>0</v>
      </c>
      <c r="L67" s="1063">
        <v>0</v>
      </c>
      <c r="M67" s="1063">
        <f t="shared" si="17"/>
        <v>0</v>
      </c>
      <c r="N67" s="1063">
        <f t="shared" si="17"/>
        <v>0</v>
      </c>
      <c r="AA67" s="1119"/>
      <c r="AB67" s="1119"/>
      <c r="AC67" s="1119"/>
      <c r="AD67" s="1119"/>
      <c r="AE67" s="1119"/>
      <c r="AF67" s="1119"/>
      <c r="AG67" s="1119"/>
      <c r="AH67" s="1119"/>
      <c r="AI67" s="1119"/>
      <c r="AJ67" s="1119"/>
      <c r="AK67" s="1119"/>
    </row>
    <row r="68" spans="1:37" s="1118" customFormat="1" ht="25.5">
      <c r="A68" s="2127" t="s">
        <v>2059</v>
      </c>
      <c r="B68" s="1324" t="str">
        <f>估价对象房地状况!C22</f>
        <v>估价对象所在区域基础设施水平</v>
      </c>
      <c r="C68" s="2041"/>
      <c r="D68" s="1064">
        <f t="shared" si="13"/>
        <v>0</v>
      </c>
      <c r="E68" s="744"/>
      <c r="F68" s="1812"/>
      <c r="G68" s="1062"/>
      <c r="H68" s="1065" t="str">
        <f t="shared" si="14"/>
        <v>——</v>
      </c>
      <c r="I68" s="3363">
        <v>0.09</v>
      </c>
      <c r="J68" s="1063">
        <f t="shared" si="15"/>
        <v>0</v>
      </c>
      <c r="K68" s="1063">
        <f t="shared" si="16"/>
        <v>0</v>
      </c>
      <c r="L68" s="1063">
        <v>0</v>
      </c>
      <c r="M68" s="1063">
        <f t="shared" si="17"/>
        <v>0</v>
      </c>
      <c r="N68" s="1063">
        <f t="shared" si="17"/>
        <v>0</v>
      </c>
      <c r="AA68" s="1119"/>
      <c r="AB68" s="1119"/>
      <c r="AC68" s="1119"/>
      <c r="AD68" s="1119"/>
      <c r="AE68" s="1119"/>
      <c r="AF68" s="1119"/>
      <c r="AG68" s="1119"/>
      <c r="AH68" s="1119"/>
      <c r="AI68" s="1119"/>
      <c r="AJ68" s="1119"/>
      <c r="AK68" s="1119"/>
    </row>
    <row r="69" spans="1:37" s="1118" customFormat="1" ht="26.25" thickBot="1">
      <c r="A69" s="2135" t="s">
        <v>2060</v>
      </c>
      <c r="B69" s="2137" t="str">
        <f>估价对象房地状况!C20</f>
        <v>区域自然环境：；人文环境；综合评价环境状况一般</v>
      </c>
      <c r="C69" s="2041"/>
      <c r="D69" s="1064">
        <f t="shared" si="13"/>
        <v>0</v>
      </c>
      <c r="E69" s="745"/>
      <c r="F69" s="1812"/>
      <c r="G69" s="1062"/>
      <c r="H69" s="1065" t="str">
        <f t="shared" si="14"/>
        <v>——</v>
      </c>
      <c r="I69" s="3364">
        <v>7.0000000000000007E-2</v>
      </c>
      <c r="J69" s="1063">
        <f t="shared" si="15"/>
        <v>0</v>
      </c>
      <c r="K69" s="1063">
        <f t="shared" si="16"/>
        <v>0</v>
      </c>
      <c r="L69" s="1063">
        <v>0</v>
      </c>
      <c r="M69" s="1063">
        <f t="shared" si="17"/>
        <v>0</v>
      </c>
      <c r="N69" s="1063">
        <f t="shared" si="17"/>
        <v>0</v>
      </c>
      <c r="AA69" s="1119"/>
      <c r="AB69" s="1119"/>
      <c r="AC69" s="1119"/>
      <c r="AD69" s="1119"/>
      <c r="AE69" s="1119"/>
      <c r="AF69" s="1119"/>
      <c r="AG69" s="1119"/>
      <c r="AH69" s="1119"/>
      <c r="AI69" s="1119"/>
      <c r="AJ69" s="1119"/>
      <c r="AK69" s="1119"/>
    </row>
    <row r="70" spans="1:37" s="1118" customFormat="1" ht="15">
      <c r="A70" s="2123" t="s">
        <v>2064</v>
      </c>
      <c r="B70" s="2124">
        <f>1+E72</f>
        <v>1</v>
      </c>
      <c r="C70" s="740"/>
      <c r="D70" s="740"/>
      <c r="E70" s="741"/>
      <c r="F70" s="2126"/>
      <c r="G70" s="3"/>
      <c r="H70" s="3"/>
      <c r="I70" s="3"/>
      <c r="J70" s="4"/>
      <c r="K70" s="4"/>
      <c r="L70" s="4"/>
      <c r="M70" s="4"/>
      <c r="N70" s="4"/>
      <c r="AA70" s="1119"/>
      <c r="AB70" s="1119"/>
      <c r="AC70" s="1119"/>
      <c r="AD70" s="1119"/>
      <c r="AE70" s="1119"/>
      <c r="AF70" s="1119"/>
      <c r="AG70" s="1119"/>
      <c r="AH70" s="1119"/>
      <c r="AI70" s="1119"/>
      <c r="AJ70" s="1119"/>
      <c r="AK70" s="1119"/>
    </row>
    <row r="71" spans="1:37" s="1118" customFormat="1" ht="24.75">
      <c r="A71" s="2127" t="s">
        <v>2043</v>
      </c>
      <c r="B71" s="1349"/>
      <c r="C71" s="1349" t="s">
        <v>2045</v>
      </c>
      <c r="D71" s="1349" t="s">
        <v>2046</v>
      </c>
      <c r="E71" s="742" t="s">
        <v>2047</v>
      </c>
      <c r="F71" s="2128" t="s">
        <v>2062</v>
      </c>
      <c r="G71" s="1349" t="s">
        <v>310</v>
      </c>
      <c r="H71" s="2129" t="s">
        <v>2049</v>
      </c>
      <c r="I71" s="1349" t="s">
        <v>2050</v>
      </c>
      <c r="J71" s="552" t="s">
        <v>1721</v>
      </c>
      <c r="K71" s="552" t="s">
        <v>1722</v>
      </c>
      <c r="L71" s="552" t="s">
        <v>1723</v>
      </c>
      <c r="M71" s="552" t="s">
        <v>1724</v>
      </c>
      <c r="N71" s="552" t="s">
        <v>1725</v>
      </c>
      <c r="AA71" s="1119"/>
      <c r="AB71" s="1119"/>
      <c r="AC71" s="1119"/>
      <c r="AD71" s="1119"/>
      <c r="AE71" s="1119"/>
      <c r="AF71" s="1119"/>
      <c r="AG71" s="1119"/>
      <c r="AH71" s="1119"/>
      <c r="AI71" s="1119"/>
      <c r="AJ71" s="1119"/>
      <c r="AK71" s="1119"/>
    </row>
    <row r="72" spans="1:37" s="1118" customFormat="1" ht="51">
      <c r="A72" s="2127" t="s">
        <v>2065</v>
      </c>
      <c r="B72" s="2130" t="str">
        <f>估价对象房地状况!C15</f>
        <v>估价对象周边居住用地比例、居住小区规模和社区发展完善程度，综合评价居住社区成熟度一般</v>
      </c>
      <c r="C72" s="2041"/>
      <c r="D72" s="1064">
        <f t="shared" ref="D72:D80" si="18">SUMIF($J$71:$N$71,C72,J72:N72)</f>
        <v>0</v>
      </c>
      <c r="E72" s="743">
        <f>ROUND(SUM(D72:D80),4)</f>
        <v>0</v>
      </c>
      <c r="F72" s="1812" t="str">
        <f>IF(E2="住宅",SUMIF(L1:L12,G2,N1:N12),"——")</f>
        <v>——</v>
      </c>
      <c r="G72" s="1062"/>
      <c r="H72" s="1065" t="str">
        <f t="shared" ref="H72:H80" si="19">IFERROR(ROUNDDOWN($F$72*I72/2,4),"——")</f>
        <v>——</v>
      </c>
      <c r="I72" s="3363">
        <v>0.2</v>
      </c>
      <c r="J72" s="1063">
        <f t="shared" ref="J72:J80" si="20">K72+$G72</f>
        <v>0</v>
      </c>
      <c r="K72" s="1063">
        <f t="shared" ref="K72:K80" si="21">$L72+$G72</f>
        <v>0</v>
      </c>
      <c r="L72" s="1063">
        <v>0</v>
      </c>
      <c r="M72" s="1063">
        <f t="shared" ref="M72:N80" si="22">L72-$G72</f>
        <v>0</v>
      </c>
      <c r="N72" s="1063">
        <f t="shared" si="22"/>
        <v>0</v>
      </c>
      <c r="AA72" s="1119"/>
      <c r="AB72" s="1119"/>
      <c r="AC72" s="1119"/>
      <c r="AD72" s="1119"/>
      <c r="AE72" s="1119"/>
      <c r="AF72" s="1119"/>
      <c r="AG72" s="1119"/>
      <c r="AH72" s="1119"/>
      <c r="AI72" s="1119"/>
      <c r="AJ72" s="1119"/>
      <c r="AK72" s="1119"/>
    </row>
    <row r="73" spans="1:37" s="1118" customFormat="1" ht="38.25">
      <c r="A73" s="2127" t="s">
        <v>2052</v>
      </c>
      <c r="B73" s="2131" t="str">
        <f>估价对象房地状况!C18</f>
        <v>估价对象周边道路状况、公共交通通达情况、停车便捷程度，综合评价交通便捷度较好</v>
      </c>
      <c r="C73" s="2041"/>
      <c r="D73" s="1064">
        <f t="shared" si="18"/>
        <v>0</v>
      </c>
      <c r="E73" s="746"/>
      <c r="F73" s="1812"/>
      <c r="G73" s="1062"/>
      <c r="H73" s="1065" t="str">
        <f t="shared" si="19"/>
        <v>——</v>
      </c>
      <c r="I73" s="3363">
        <v>0.26</v>
      </c>
      <c r="J73" s="1063">
        <f t="shared" si="20"/>
        <v>0</v>
      </c>
      <c r="K73" s="1063">
        <f t="shared" si="21"/>
        <v>0</v>
      </c>
      <c r="L73" s="1063">
        <v>0</v>
      </c>
      <c r="M73" s="1063">
        <f t="shared" si="22"/>
        <v>0</v>
      </c>
      <c r="N73" s="1063">
        <f t="shared" si="22"/>
        <v>0</v>
      </c>
      <c r="AA73" s="1119"/>
      <c r="AB73" s="1119"/>
      <c r="AC73" s="1119"/>
      <c r="AD73" s="1119"/>
      <c r="AE73" s="1119"/>
      <c r="AF73" s="1119"/>
      <c r="AG73" s="1119"/>
      <c r="AH73" s="1119"/>
      <c r="AI73" s="1119"/>
      <c r="AJ73" s="1119"/>
      <c r="AK73" s="1119"/>
    </row>
    <row r="74" spans="1:37" s="1994" customFormat="1" ht="36">
      <c r="A74" s="3365" t="s">
        <v>3271</v>
      </c>
      <c r="B74" s="2131">
        <f>估价对象房地状况!C19</f>
        <v>0</v>
      </c>
      <c r="C74" s="2041"/>
      <c r="D74" s="1064">
        <f t="shared" si="18"/>
        <v>0</v>
      </c>
      <c r="E74" s="746"/>
      <c r="F74" s="1812"/>
      <c r="G74" s="1062"/>
      <c r="H74" s="1065" t="str">
        <f t="shared" si="19"/>
        <v>——</v>
      </c>
      <c r="I74" s="3363">
        <v>0.1</v>
      </c>
      <c r="J74" s="1063">
        <f t="shared" si="20"/>
        <v>0</v>
      </c>
      <c r="K74" s="1063">
        <f t="shared" si="21"/>
        <v>0</v>
      </c>
      <c r="L74" s="1063">
        <v>0</v>
      </c>
      <c r="M74" s="1063">
        <f t="shared" si="22"/>
        <v>0</v>
      </c>
      <c r="N74" s="1063">
        <f t="shared" si="22"/>
        <v>0</v>
      </c>
      <c r="O74" s="1118"/>
      <c r="P74" s="1118"/>
      <c r="Q74" s="1118"/>
      <c r="AA74" s="2138"/>
      <c r="AB74" s="1119"/>
      <c r="AC74" s="1119"/>
      <c r="AD74" s="1119"/>
      <c r="AE74" s="1119"/>
      <c r="AF74" s="1119"/>
      <c r="AG74" s="1119"/>
      <c r="AH74" s="2138"/>
      <c r="AI74" s="2138"/>
      <c r="AJ74" s="2138"/>
      <c r="AK74" s="2138"/>
    </row>
    <row r="75" spans="1:37" ht="14.25">
      <c r="A75" s="2127" t="s">
        <v>2066</v>
      </c>
      <c r="B75" s="2131">
        <f>估价对象房地状况!C24</f>
        <v>0</v>
      </c>
      <c r="C75" s="2041"/>
      <c r="D75" s="1064">
        <f t="shared" si="18"/>
        <v>0</v>
      </c>
      <c r="E75" s="746"/>
      <c r="F75" s="1812"/>
      <c r="G75" s="1062"/>
      <c r="H75" s="1065" t="str">
        <f t="shared" si="19"/>
        <v>——</v>
      </c>
      <c r="I75" s="3363">
        <v>0.05</v>
      </c>
      <c r="J75" s="1063">
        <f t="shared" si="20"/>
        <v>0</v>
      </c>
      <c r="K75" s="1063">
        <f t="shared" si="21"/>
        <v>0</v>
      </c>
      <c r="L75" s="1063">
        <v>0</v>
      </c>
      <c r="M75" s="1063">
        <f t="shared" si="22"/>
        <v>0</v>
      </c>
      <c r="N75" s="1063">
        <f t="shared" si="22"/>
        <v>0</v>
      </c>
      <c r="O75" s="1118"/>
      <c r="P75" s="1118"/>
      <c r="Q75" s="1994"/>
      <c r="Z75" s="1995"/>
      <c r="AA75" s="2050"/>
      <c r="AG75" s="1120"/>
      <c r="AK75" s="2050"/>
    </row>
    <row r="76" spans="1:37" ht="25.5">
      <c r="A76" s="2127" t="s">
        <v>2058</v>
      </c>
      <c r="B76" s="1324" t="str">
        <f>估价对象房地状况!C21</f>
        <v>估价对象所在区域公共配套设施齐备情况</v>
      </c>
      <c r="C76" s="2041"/>
      <c r="D76" s="1064">
        <f t="shared" si="18"/>
        <v>0</v>
      </c>
      <c r="E76" s="746"/>
      <c r="F76" s="1812"/>
      <c r="G76" s="1062"/>
      <c r="H76" s="1065" t="str">
        <f t="shared" si="19"/>
        <v>——</v>
      </c>
      <c r="I76" s="3363">
        <v>0.08</v>
      </c>
      <c r="J76" s="1063">
        <f t="shared" si="20"/>
        <v>0</v>
      </c>
      <c r="K76" s="1063">
        <f t="shared" si="21"/>
        <v>0</v>
      </c>
      <c r="L76" s="1063">
        <v>0</v>
      </c>
      <c r="M76" s="1063">
        <f t="shared" si="22"/>
        <v>0</v>
      </c>
      <c r="N76" s="1063">
        <f t="shared" si="22"/>
        <v>0</v>
      </c>
      <c r="O76" s="1118"/>
      <c r="P76" s="1118"/>
      <c r="Z76" s="1995"/>
      <c r="AA76" s="2050"/>
      <c r="AG76" s="1120"/>
      <c r="AK76" s="2050"/>
    </row>
    <row r="77" spans="1:37" ht="25.5">
      <c r="A77" s="2127" t="s">
        <v>2059</v>
      </c>
      <c r="B77" s="1324" t="str">
        <f>估价对象房地状况!C22</f>
        <v>估价对象所在区域基础设施水平</v>
      </c>
      <c r="C77" s="2041"/>
      <c r="D77" s="1064">
        <f t="shared" si="18"/>
        <v>0</v>
      </c>
      <c r="E77" s="746"/>
      <c r="F77" s="1812"/>
      <c r="G77" s="1062"/>
      <c r="H77" s="1065" t="str">
        <f t="shared" si="19"/>
        <v>——</v>
      </c>
      <c r="I77" s="3363">
        <v>0.09</v>
      </c>
      <c r="J77" s="1063">
        <f t="shared" si="20"/>
        <v>0</v>
      </c>
      <c r="K77" s="1063">
        <f t="shared" si="21"/>
        <v>0</v>
      </c>
      <c r="L77" s="1063">
        <v>0</v>
      </c>
      <c r="M77" s="1063">
        <f t="shared" si="22"/>
        <v>0</v>
      </c>
      <c r="N77" s="1063">
        <f t="shared" si="22"/>
        <v>0</v>
      </c>
      <c r="O77" s="1118"/>
      <c r="P77" s="1118"/>
      <c r="Z77" s="1995"/>
      <c r="AA77" s="2050"/>
      <c r="AG77" s="1120"/>
      <c r="AK77" s="2050"/>
    </row>
    <row r="78" spans="1:37" ht="24">
      <c r="A78" s="2127" t="s">
        <v>2056</v>
      </c>
      <c r="B78" s="2133" t="s">
        <v>2057</v>
      </c>
      <c r="C78" s="2041"/>
      <c r="D78" s="1064">
        <f t="shared" si="18"/>
        <v>0</v>
      </c>
      <c r="E78" s="746"/>
      <c r="F78" s="1812"/>
      <c r="G78" s="1062"/>
      <c r="H78" s="1065" t="str">
        <f t="shared" si="19"/>
        <v>——</v>
      </c>
      <c r="I78" s="3363">
        <v>0.05</v>
      </c>
      <c r="J78" s="1063">
        <f t="shared" si="20"/>
        <v>0</v>
      </c>
      <c r="K78" s="1063">
        <f t="shared" si="21"/>
        <v>0</v>
      </c>
      <c r="L78" s="1063">
        <v>0</v>
      </c>
      <c r="M78" s="1063">
        <f t="shared" si="22"/>
        <v>0</v>
      </c>
      <c r="N78" s="1063">
        <f t="shared" si="22"/>
        <v>0</v>
      </c>
      <c r="O78" s="1994"/>
      <c r="P78" s="1994"/>
      <c r="Z78" s="1995"/>
      <c r="AA78" s="2050"/>
      <c r="AG78" s="1120"/>
      <c r="AK78" s="2050"/>
    </row>
    <row r="79" spans="1:37" ht="25.5">
      <c r="A79" s="2127" t="s">
        <v>2060</v>
      </c>
      <c r="B79" s="2130" t="str">
        <f>估价对象房地状况!C20</f>
        <v>区域自然环境：；人文环境；综合评价环境状况一般</v>
      </c>
      <c r="C79" s="2041"/>
      <c r="D79" s="1064">
        <f t="shared" si="18"/>
        <v>0</v>
      </c>
      <c r="E79" s="746"/>
      <c r="F79" s="1812"/>
      <c r="G79" s="1062"/>
      <c r="H79" s="1065" t="str">
        <f t="shared" si="19"/>
        <v>——</v>
      </c>
      <c r="I79" s="3363">
        <v>0.12</v>
      </c>
      <c r="J79" s="1063">
        <f t="shared" si="20"/>
        <v>0</v>
      </c>
      <c r="K79" s="1063">
        <f t="shared" si="21"/>
        <v>0</v>
      </c>
      <c r="L79" s="1063">
        <v>0</v>
      </c>
      <c r="M79" s="1063">
        <f t="shared" si="22"/>
        <v>0</v>
      </c>
      <c r="N79" s="1063">
        <f t="shared" si="22"/>
        <v>0</v>
      </c>
      <c r="Z79" s="1995"/>
      <c r="AA79" s="2050"/>
      <c r="AG79" s="1120"/>
      <c r="AK79" s="2050"/>
    </row>
    <row r="80" spans="1:37" ht="24.75" thickBot="1">
      <c r="A80" s="2135" t="s">
        <v>2067</v>
      </c>
      <c r="B80" s="2139"/>
      <c r="C80" s="2041"/>
      <c r="D80" s="1064">
        <f t="shared" si="18"/>
        <v>0</v>
      </c>
      <c r="E80" s="747"/>
      <c r="F80" s="1812"/>
      <c r="G80" s="1062"/>
      <c r="H80" s="1065" t="str">
        <f t="shared" si="19"/>
        <v>——</v>
      </c>
      <c r="I80" s="3364">
        <v>0.05</v>
      </c>
      <c r="J80" s="1063">
        <f t="shared" si="20"/>
        <v>0</v>
      </c>
      <c r="K80" s="1063">
        <f t="shared" si="21"/>
        <v>0</v>
      </c>
      <c r="L80" s="1063">
        <v>0</v>
      </c>
      <c r="M80" s="1063">
        <f t="shared" si="22"/>
        <v>0</v>
      </c>
      <c r="N80" s="1063">
        <f t="shared" si="22"/>
        <v>0</v>
      </c>
      <c r="Z80" s="1995"/>
      <c r="AA80" s="2050"/>
      <c r="AG80" s="1120"/>
      <c r="AK80" s="2050"/>
    </row>
    <row r="81" spans="1:37" ht="15">
      <c r="A81" s="2123" t="s">
        <v>2068</v>
      </c>
      <c r="B81" s="2124">
        <f>1+E83</f>
        <v>1</v>
      </c>
      <c r="C81" s="740"/>
      <c r="D81" s="740"/>
      <c r="E81" s="741"/>
      <c r="F81" s="2126"/>
      <c r="G81" s="3"/>
      <c r="H81" s="3"/>
      <c r="I81" s="3"/>
      <c r="J81" s="4"/>
      <c r="K81" s="4"/>
      <c r="L81" s="4"/>
      <c r="M81" s="4"/>
      <c r="N81" s="4"/>
      <c r="Z81" s="1995"/>
      <c r="AA81" s="2050"/>
      <c r="AG81" s="1120"/>
      <c r="AK81" s="2050"/>
    </row>
    <row r="82" spans="1:37" ht="24.75">
      <c r="A82" s="2127" t="s">
        <v>2043</v>
      </c>
      <c r="B82" s="1349"/>
      <c r="C82" s="1349" t="s">
        <v>2045</v>
      </c>
      <c r="D82" s="1349" t="s">
        <v>2046</v>
      </c>
      <c r="E82" s="742" t="s">
        <v>2047</v>
      </c>
      <c r="F82" s="2128" t="s">
        <v>2062</v>
      </c>
      <c r="G82" s="1349" t="s">
        <v>310</v>
      </c>
      <c r="H82" s="2129" t="s">
        <v>2049</v>
      </c>
      <c r="I82" s="1349" t="s">
        <v>2050</v>
      </c>
      <c r="J82" s="552" t="s">
        <v>1721</v>
      </c>
      <c r="K82" s="552" t="s">
        <v>1722</v>
      </c>
      <c r="L82" s="552" t="s">
        <v>1723</v>
      </c>
      <c r="M82" s="552" t="s">
        <v>1724</v>
      </c>
      <c r="N82" s="552" t="s">
        <v>1725</v>
      </c>
      <c r="Z82" s="1995"/>
      <c r="AA82" s="2050"/>
      <c r="AG82" s="1120"/>
      <c r="AK82" s="2050"/>
    </row>
    <row r="83" spans="1:37" ht="38.25">
      <c r="A83" s="2127" t="s">
        <v>2069</v>
      </c>
      <c r="B83" s="2131" t="str">
        <f>估价对象房地状况!G15</f>
        <v>估价对象位于XX开发区，园区建设成熟度XX，产业集聚程度XX</v>
      </c>
      <c r="C83" s="2041"/>
      <c r="D83" s="1064">
        <f t="shared" ref="D83:D90" si="23">SUMIF($J$82:$N$82,C83,J83:N83)</f>
        <v>0</v>
      </c>
      <c r="E83" s="743">
        <f>ROUND(SUM(D83:D90),4)</f>
        <v>0</v>
      </c>
      <c r="F83" s="1812" t="str">
        <f>IF(E2="工业",SUMIF(L1:L12,G2,N1:N12),"——")</f>
        <v>——</v>
      </c>
      <c r="G83" s="1062"/>
      <c r="H83" s="1065" t="str">
        <f t="shared" ref="H83:H90" si="24">IFERROR(ROUNDDOWN($F$83*I83/2,4),"——")</f>
        <v>——</v>
      </c>
      <c r="I83" s="3363">
        <v>0.26</v>
      </c>
      <c r="J83" s="1063">
        <f t="shared" ref="J83:J90" si="25">K83+$G83</f>
        <v>0</v>
      </c>
      <c r="K83" s="1063">
        <f t="shared" ref="K83:K90" si="26">$L83+$G83</f>
        <v>0</v>
      </c>
      <c r="L83" s="1063">
        <v>0</v>
      </c>
      <c r="M83" s="1063">
        <f t="shared" ref="M83:N90" si="27">L83-$G83</f>
        <v>0</v>
      </c>
      <c r="N83" s="1063">
        <f t="shared" si="27"/>
        <v>0</v>
      </c>
      <c r="Z83" s="1995"/>
      <c r="AA83" s="2050"/>
      <c r="AG83" s="1120"/>
      <c r="AK83" s="2050"/>
    </row>
    <row r="84" spans="1:37" ht="38.25">
      <c r="A84" s="2127" t="s">
        <v>2052</v>
      </c>
      <c r="B84" s="2131" t="str">
        <f>估价对象房地状况!G16</f>
        <v>估价对象周边道路状况、公共交通通达情况、停车便捷程度，综合评价交通便捷度较好</v>
      </c>
      <c r="C84" s="2041"/>
      <c r="D84" s="1064">
        <f t="shared" si="23"/>
        <v>0</v>
      </c>
      <c r="E84" s="746"/>
      <c r="F84" s="1812"/>
      <c r="G84" s="1062"/>
      <c r="H84" s="1065" t="str">
        <f t="shared" si="24"/>
        <v>——</v>
      </c>
      <c r="I84" s="3363">
        <v>0.3</v>
      </c>
      <c r="J84" s="1063">
        <f t="shared" si="25"/>
        <v>0</v>
      </c>
      <c r="K84" s="1063">
        <f t="shared" si="26"/>
        <v>0</v>
      </c>
      <c r="L84" s="1063">
        <v>0</v>
      </c>
      <c r="M84" s="1063">
        <f t="shared" si="27"/>
        <v>0</v>
      </c>
      <c r="N84" s="1063">
        <f t="shared" si="27"/>
        <v>0</v>
      </c>
      <c r="Z84" s="1995"/>
      <c r="AA84" s="2050"/>
      <c r="AG84" s="1120"/>
      <c r="AK84" s="2050"/>
    </row>
    <row r="85" spans="1:37" ht="36">
      <c r="A85" s="3365" t="s">
        <v>3272</v>
      </c>
      <c r="B85" s="2131">
        <f>估价对象房地状况!G17</f>
        <v>0</v>
      </c>
      <c r="C85" s="2041"/>
      <c r="D85" s="1064">
        <f t="shared" si="23"/>
        <v>0</v>
      </c>
      <c r="E85" s="746"/>
      <c r="F85" s="1812"/>
      <c r="G85" s="1062"/>
      <c r="H85" s="1065" t="str">
        <f t="shared" si="24"/>
        <v>——</v>
      </c>
      <c r="I85" s="3363">
        <v>0.1</v>
      </c>
      <c r="J85" s="1063">
        <f t="shared" si="25"/>
        <v>0</v>
      </c>
      <c r="K85" s="1063">
        <f t="shared" si="26"/>
        <v>0</v>
      </c>
      <c r="L85" s="1063">
        <v>0</v>
      </c>
      <c r="M85" s="1063">
        <f t="shared" si="27"/>
        <v>0</v>
      </c>
      <c r="N85" s="1063">
        <f t="shared" si="27"/>
        <v>0</v>
      </c>
      <c r="Z85" s="1995"/>
      <c r="AA85" s="2050"/>
      <c r="AG85" s="1120"/>
      <c r="AK85" s="2050"/>
    </row>
    <row r="86" spans="1:37" ht="14.25">
      <c r="A86" s="2127" t="s">
        <v>2066</v>
      </c>
      <c r="B86" s="2131">
        <f>估价对象房地状况!G22</f>
        <v>0</v>
      </c>
      <c r="C86" s="2041"/>
      <c r="D86" s="1064">
        <f t="shared" si="23"/>
        <v>0</v>
      </c>
      <c r="E86" s="746"/>
      <c r="F86" s="1812"/>
      <c r="G86" s="1062"/>
      <c r="H86" s="1065" t="str">
        <f t="shared" si="24"/>
        <v>——</v>
      </c>
      <c r="I86" s="3363">
        <v>0.05</v>
      </c>
      <c r="J86" s="1063">
        <f t="shared" si="25"/>
        <v>0</v>
      </c>
      <c r="K86" s="1063">
        <f t="shared" si="26"/>
        <v>0</v>
      </c>
      <c r="L86" s="1063">
        <v>0</v>
      </c>
      <c r="M86" s="1063">
        <f t="shared" si="27"/>
        <v>0</v>
      </c>
      <c r="N86" s="1063">
        <f t="shared" si="27"/>
        <v>0</v>
      </c>
      <c r="Z86" s="1995"/>
      <c r="AA86" s="2050"/>
      <c r="AG86" s="1120"/>
      <c r="AK86" s="2050"/>
    </row>
    <row r="87" spans="1:37" ht="25.5">
      <c r="A87" s="2127" t="s">
        <v>2058</v>
      </c>
      <c r="B87" s="1324" t="str">
        <f>估价对象房地状况!G19</f>
        <v>估价对象所在区域公共配套设施齐备情况</v>
      </c>
      <c r="C87" s="2041"/>
      <c r="D87" s="1064">
        <f t="shared" si="23"/>
        <v>0</v>
      </c>
      <c r="E87" s="746"/>
      <c r="F87" s="1812"/>
      <c r="G87" s="1062"/>
      <c r="H87" s="1065" t="str">
        <f t="shared" si="24"/>
        <v>——</v>
      </c>
      <c r="I87" s="3363">
        <v>0.06</v>
      </c>
      <c r="J87" s="1063">
        <f t="shared" si="25"/>
        <v>0</v>
      </c>
      <c r="K87" s="1063">
        <f t="shared" si="26"/>
        <v>0</v>
      </c>
      <c r="L87" s="1063">
        <v>0</v>
      </c>
      <c r="M87" s="1063">
        <f t="shared" si="27"/>
        <v>0</v>
      </c>
      <c r="N87" s="1063">
        <f t="shared" si="27"/>
        <v>0</v>
      </c>
    </row>
    <row r="88" spans="1:37" ht="25.5">
      <c r="A88" s="2127" t="s">
        <v>2059</v>
      </c>
      <c r="B88" s="1324" t="str">
        <f>估价对象房地状况!G20</f>
        <v>估价对象所在区域基础设施水平</v>
      </c>
      <c r="C88" s="2041"/>
      <c r="D88" s="1064">
        <f t="shared" si="23"/>
        <v>0</v>
      </c>
      <c r="E88" s="746"/>
      <c r="F88" s="1812"/>
      <c r="G88" s="1062"/>
      <c r="H88" s="1065" t="str">
        <f t="shared" si="24"/>
        <v>——</v>
      </c>
      <c r="I88" s="3363">
        <v>0.12</v>
      </c>
      <c r="J88" s="1063">
        <f t="shared" si="25"/>
        <v>0</v>
      </c>
      <c r="K88" s="1063">
        <f t="shared" si="26"/>
        <v>0</v>
      </c>
      <c r="L88" s="1063">
        <v>0</v>
      </c>
      <c r="M88" s="1063">
        <f t="shared" si="27"/>
        <v>0</v>
      </c>
      <c r="N88" s="1063">
        <f t="shared" si="27"/>
        <v>0</v>
      </c>
    </row>
    <row r="89" spans="1:37" ht="24">
      <c r="A89" s="2127" t="s">
        <v>2056</v>
      </c>
      <c r="B89" s="2133" t="s">
        <v>2070</v>
      </c>
      <c r="C89" s="2041"/>
      <c r="D89" s="1064">
        <f t="shared" si="23"/>
        <v>0</v>
      </c>
      <c r="E89" s="746"/>
      <c r="F89" s="1812"/>
      <c r="G89" s="1062"/>
      <c r="H89" s="1065" t="str">
        <f t="shared" si="24"/>
        <v>——</v>
      </c>
      <c r="I89" s="3363">
        <v>0.06</v>
      </c>
      <c r="J89" s="1063">
        <f t="shared" si="25"/>
        <v>0</v>
      </c>
      <c r="K89" s="1063">
        <f t="shared" si="26"/>
        <v>0</v>
      </c>
      <c r="L89" s="1063">
        <v>0</v>
      </c>
      <c r="M89" s="1063">
        <f t="shared" si="27"/>
        <v>0</v>
      </c>
      <c r="N89" s="1063">
        <f t="shared" si="27"/>
        <v>0</v>
      </c>
    </row>
    <row r="90" spans="1:37" ht="39" thickBot="1">
      <c r="A90" s="2135" t="s">
        <v>2071</v>
      </c>
      <c r="B90" s="2140" t="str">
        <f>估价对象房地状况!G18</f>
        <v>该园区内是否有污染型企业，绿化情况，卫生条件，整体环境状况判断</v>
      </c>
      <c r="C90" s="2041"/>
      <c r="D90" s="1064">
        <f t="shared" si="23"/>
        <v>0</v>
      </c>
      <c r="E90" s="747"/>
      <c r="F90" s="1812"/>
      <c r="G90" s="1062"/>
      <c r="H90" s="1065" t="str">
        <f t="shared" si="24"/>
        <v>——</v>
      </c>
      <c r="I90" s="3364">
        <v>0.05</v>
      </c>
      <c r="J90" s="1063">
        <f t="shared" si="25"/>
        <v>0</v>
      </c>
      <c r="K90" s="1063">
        <f t="shared" si="26"/>
        <v>0</v>
      </c>
      <c r="L90" s="1063">
        <v>0</v>
      </c>
      <c r="M90" s="1063">
        <f t="shared" si="27"/>
        <v>0</v>
      </c>
      <c r="N90" s="1063">
        <f t="shared" si="27"/>
        <v>0</v>
      </c>
    </row>
    <row r="91" spans="1:37" ht="15">
      <c r="A91" s="3373" t="s">
        <v>2613</v>
      </c>
      <c r="B91" s="3374">
        <f>1+E93</f>
        <v>1</v>
      </c>
      <c r="C91" s="3367"/>
      <c r="D91" s="3368"/>
      <c r="E91" s="1812"/>
      <c r="F91" s="1812"/>
      <c r="G91" s="3369"/>
      <c r="H91" s="3370"/>
      <c r="I91" s="3371"/>
      <c r="J91" s="3372"/>
      <c r="K91" s="3372"/>
      <c r="L91" s="3372"/>
      <c r="M91" s="3372"/>
      <c r="N91" s="3372"/>
    </row>
    <row r="92" spans="1:37" ht="24.75">
      <c r="A92" s="3375" t="s">
        <v>3273</v>
      </c>
      <c r="B92" s="3362"/>
      <c r="C92" s="3362" t="s">
        <v>3282</v>
      </c>
      <c r="D92" s="3362" t="s">
        <v>3283</v>
      </c>
      <c r="E92" s="3344" t="s">
        <v>3284</v>
      </c>
      <c r="F92" s="3377" t="s">
        <v>3285</v>
      </c>
      <c r="G92" s="3362" t="s">
        <v>3286</v>
      </c>
      <c r="H92" s="3384" t="s">
        <v>3289</v>
      </c>
      <c r="I92" s="3362" t="s">
        <v>3290</v>
      </c>
      <c r="J92" s="3385" t="s">
        <v>3291</v>
      </c>
      <c r="K92" s="3385" t="s">
        <v>3292</v>
      </c>
      <c r="L92" s="3385" t="s">
        <v>3293</v>
      </c>
      <c r="M92" s="3385" t="s">
        <v>3294</v>
      </c>
      <c r="N92" s="3385" t="s">
        <v>3295</v>
      </c>
    </row>
    <row r="93" spans="1:37" ht="24">
      <c r="A93" s="3365" t="s">
        <v>3274</v>
      </c>
      <c r="B93" s="1304"/>
      <c r="C93" s="2041"/>
      <c r="D93" s="3362">
        <f>SUMIF($J$92:$N$92,C93,J93:N93)</f>
        <v>0</v>
      </c>
      <c r="E93" s="3378">
        <f>ROUND(SUM(D93:D101),4)</f>
        <v>0</v>
      </c>
      <c r="F93" s="1812" t="str">
        <f>IF(E2="公共服务",SUMIF(L1:L12,G2,N1:N12),"——")</f>
        <v>——</v>
      </c>
      <c r="G93" s="3369"/>
      <c r="H93" s="3417" t="str">
        <f>IFERROR(ROUNDDOWN($F$93*I93/2,4),"——")</f>
        <v>——</v>
      </c>
      <c r="I93" s="3363">
        <v>0.25</v>
      </c>
      <c r="J93" s="3341">
        <f t="shared" ref="J93:J101" si="28">K93+$G93</f>
        <v>0</v>
      </c>
      <c r="K93" s="3341">
        <f t="shared" ref="K93:K101" si="29">$L93+$G93</f>
        <v>0</v>
      </c>
      <c r="L93" s="3341">
        <v>0</v>
      </c>
      <c r="M93" s="3341">
        <f t="shared" ref="M93:N101" si="30">L93-$G93</f>
        <v>0</v>
      </c>
      <c r="N93" s="3341">
        <f t="shared" si="30"/>
        <v>0</v>
      </c>
    </row>
    <row r="94" spans="1:37" ht="38.25">
      <c r="A94" s="3375" t="s">
        <v>3275</v>
      </c>
      <c r="B94" s="3366" t="str">
        <f>估价对象房地状况!C18</f>
        <v>估价对象周边道路状况、公共交通通达情况、停车便捷程度，综合评价交通便捷度较好</v>
      </c>
      <c r="C94" s="2041"/>
      <c r="D94" s="3362">
        <f t="shared" ref="D94:D101" si="31">SUMIF($J$60:$N$60,C94,J94:N94)</f>
        <v>0</v>
      </c>
      <c r="E94" s="3379"/>
      <c r="F94" s="1812"/>
      <c r="G94" s="3369"/>
      <c r="H94" s="3417" t="str">
        <f>IFERROR(ROUNDDOWN($F$93*I94/2,4),"——")</f>
        <v>——</v>
      </c>
      <c r="I94" s="3363">
        <v>0.26</v>
      </c>
      <c r="J94" s="3341">
        <f t="shared" si="28"/>
        <v>0</v>
      </c>
      <c r="K94" s="3341">
        <f t="shared" si="29"/>
        <v>0</v>
      </c>
      <c r="L94" s="3341">
        <v>0</v>
      </c>
      <c r="M94" s="3341">
        <f t="shared" si="30"/>
        <v>0</v>
      </c>
      <c r="N94" s="3341">
        <f t="shared" si="30"/>
        <v>0</v>
      </c>
    </row>
    <row r="95" spans="1:37" ht="36">
      <c r="A95" s="3365" t="s">
        <v>3271</v>
      </c>
      <c r="B95" s="3366">
        <f>估价对象房地状况!C19</f>
        <v>0</v>
      </c>
      <c r="C95" s="2041"/>
      <c r="D95" s="3362">
        <f t="shared" si="31"/>
        <v>0</v>
      </c>
      <c r="E95" s="3379"/>
      <c r="F95" s="1812"/>
      <c r="G95" s="3369"/>
      <c r="H95" s="3417" t="str">
        <f t="shared" ref="H95:H101" si="32">IFERROR(ROUNDDOWN($F$93*I95/2,4),"——")</f>
        <v>——</v>
      </c>
      <c r="I95" s="3363">
        <v>0.11</v>
      </c>
      <c r="J95" s="3341">
        <f t="shared" si="28"/>
        <v>0</v>
      </c>
      <c r="K95" s="3341">
        <f t="shared" si="29"/>
        <v>0</v>
      </c>
      <c r="L95" s="3341">
        <v>0</v>
      </c>
      <c r="M95" s="3341">
        <f t="shared" si="30"/>
        <v>0</v>
      </c>
      <c r="N95" s="3341">
        <f t="shared" si="30"/>
        <v>0</v>
      </c>
    </row>
    <row r="96" spans="1:37" ht="36.75">
      <c r="A96" s="3375" t="s">
        <v>3276</v>
      </c>
      <c r="B96" s="3381" t="s">
        <v>3287</v>
      </c>
      <c r="C96" s="2041"/>
      <c r="D96" s="3362">
        <f t="shared" si="31"/>
        <v>0</v>
      </c>
      <c r="E96" s="3379"/>
      <c r="F96" s="1812"/>
      <c r="G96" s="3369"/>
      <c r="H96" s="3417" t="str">
        <f t="shared" si="32"/>
        <v>——</v>
      </c>
      <c r="I96" s="3363">
        <v>0.05</v>
      </c>
      <c r="J96" s="3341">
        <f t="shared" si="28"/>
        <v>0</v>
      </c>
      <c r="K96" s="3341">
        <f t="shared" si="29"/>
        <v>0</v>
      </c>
      <c r="L96" s="3341">
        <v>0</v>
      </c>
      <c r="M96" s="3341">
        <f t="shared" si="30"/>
        <v>0</v>
      </c>
      <c r="N96" s="3341">
        <f t="shared" si="30"/>
        <v>0</v>
      </c>
    </row>
    <row r="97" spans="1:14" ht="24">
      <c r="A97" s="3375" t="s">
        <v>3277</v>
      </c>
      <c r="B97" s="3366">
        <f>估价对象房地状况!C24</f>
        <v>0</v>
      </c>
      <c r="C97" s="2041"/>
      <c r="D97" s="3362">
        <f t="shared" si="31"/>
        <v>0</v>
      </c>
      <c r="E97" s="3379"/>
      <c r="F97" s="1812"/>
      <c r="G97" s="3369"/>
      <c r="H97" s="3417" t="str">
        <f t="shared" si="32"/>
        <v>——</v>
      </c>
      <c r="I97" s="3363">
        <v>0.05</v>
      </c>
      <c r="J97" s="3341">
        <f t="shared" si="28"/>
        <v>0</v>
      </c>
      <c r="K97" s="3341">
        <f t="shared" si="29"/>
        <v>0</v>
      </c>
      <c r="L97" s="3341">
        <v>0</v>
      </c>
      <c r="M97" s="3341">
        <f t="shared" si="30"/>
        <v>0</v>
      </c>
      <c r="N97" s="3341">
        <f t="shared" si="30"/>
        <v>0</v>
      </c>
    </row>
    <row r="98" spans="1:14" ht="24">
      <c r="A98" s="3375" t="s">
        <v>3278</v>
      </c>
      <c r="B98" s="3382" t="s">
        <v>3288</v>
      </c>
      <c r="C98" s="2041"/>
      <c r="D98" s="3362">
        <f t="shared" si="31"/>
        <v>0</v>
      </c>
      <c r="E98" s="3379"/>
      <c r="F98" s="1812"/>
      <c r="G98" s="3369"/>
      <c r="H98" s="3417" t="str">
        <f t="shared" si="32"/>
        <v>——</v>
      </c>
      <c r="I98" s="3363">
        <v>0.06</v>
      </c>
      <c r="J98" s="3341">
        <f t="shared" si="28"/>
        <v>0</v>
      </c>
      <c r="K98" s="3341">
        <f t="shared" si="29"/>
        <v>0</v>
      </c>
      <c r="L98" s="3341">
        <v>0</v>
      </c>
      <c r="M98" s="3341">
        <f t="shared" si="30"/>
        <v>0</v>
      </c>
      <c r="N98" s="3341">
        <f t="shared" si="30"/>
        <v>0</v>
      </c>
    </row>
    <row r="99" spans="1:14" ht="25.5">
      <c r="A99" s="3375" t="s">
        <v>3279</v>
      </c>
      <c r="B99" s="3366" t="str">
        <f>估价对象房地状况!C21</f>
        <v>估价对象所在区域公共配套设施齐备情况</v>
      </c>
      <c r="C99" s="2041"/>
      <c r="D99" s="3362">
        <f t="shared" si="31"/>
        <v>0</v>
      </c>
      <c r="E99" s="3379"/>
      <c r="F99" s="1812"/>
      <c r="G99" s="3369"/>
      <c r="H99" s="3417" t="str">
        <f t="shared" si="32"/>
        <v>——</v>
      </c>
      <c r="I99" s="3363">
        <v>0.06</v>
      </c>
      <c r="J99" s="3341">
        <f t="shared" si="28"/>
        <v>0</v>
      </c>
      <c r="K99" s="3341">
        <f t="shared" si="29"/>
        <v>0</v>
      </c>
      <c r="L99" s="3341">
        <v>0</v>
      </c>
      <c r="M99" s="3341">
        <f t="shared" si="30"/>
        <v>0</v>
      </c>
      <c r="N99" s="3341">
        <f t="shared" si="30"/>
        <v>0</v>
      </c>
    </row>
    <row r="100" spans="1:14" ht="25.5">
      <c r="A100" s="3375" t="s">
        <v>3280</v>
      </c>
      <c r="B100" s="3366" t="str">
        <f>估价对象房地状况!C22</f>
        <v>估价对象所在区域基础设施水平</v>
      </c>
      <c r="C100" s="2041"/>
      <c r="D100" s="3362">
        <f t="shared" si="31"/>
        <v>0</v>
      </c>
      <c r="E100" s="3379"/>
      <c r="F100" s="1812"/>
      <c r="G100" s="3369"/>
      <c r="H100" s="3417" t="str">
        <f t="shared" si="32"/>
        <v>——</v>
      </c>
      <c r="I100" s="3363">
        <v>0.09</v>
      </c>
      <c r="J100" s="3341">
        <f t="shared" si="28"/>
        <v>0</v>
      </c>
      <c r="K100" s="3341">
        <f t="shared" si="29"/>
        <v>0</v>
      </c>
      <c r="L100" s="3341">
        <v>0</v>
      </c>
      <c r="M100" s="3341">
        <f t="shared" si="30"/>
        <v>0</v>
      </c>
      <c r="N100" s="3341">
        <f t="shared" si="30"/>
        <v>0</v>
      </c>
    </row>
    <row r="101" spans="1:14" ht="26.25" thickBot="1">
      <c r="A101" s="3376" t="s">
        <v>3281</v>
      </c>
      <c r="B101" s="3383" t="str">
        <f>估价对象房地状况!C20</f>
        <v>区域自然环境：；人文环境；综合评价环境状况一般</v>
      </c>
      <c r="C101" s="2041"/>
      <c r="D101" s="3362">
        <f t="shared" si="31"/>
        <v>0</v>
      </c>
      <c r="E101" s="3380"/>
      <c r="F101" s="1812"/>
      <c r="G101" s="3369"/>
      <c r="H101" s="3417" t="str">
        <f t="shared" si="32"/>
        <v>——</v>
      </c>
      <c r="I101" s="3364">
        <v>7.0000000000000007E-2</v>
      </c>
      <c r="J101" s="3341">
        <f t="shared" si="28"/>
        <v>0</v>
      </c>
      <c r="K101" s="3341">
        <f t="shared" si="29"/>
        <v>0</v>
      </c>
      <c r="L101" s="3341">
        <v>0</v>
      </c>
      <c r="M101" s="3341">
        <f t="shared" si="30"/>
        <v>0</v>
      </c>
      <c r="N101" s="3341">
        <f t="shared" si="30"/>
        <v>0</v>
      </c>
    </row>
    <row r="103" spans="1:14">
      <c r="A103" s="3810" t="s">
        <v>3296</v>
      </c>
      <c r="B103" s="3810"/>
      <c r="C103" s="3810"/>
      <c r="D103" s="3810"/>
      <c r="E103" s="3810"/>
      <c r="F103" s="3810"/>
      <c r="G103" s="3810"/>
      <c r="H103" s="3810"/>
      <c r="I103" s="3810"/>
      <c r="J103" s="3810"/>
      <c r="K103" s="3386"/>
      <c r="L103" s="3386"/>
      <c r="M103" s="3386"/>
      <c r="N103" s="3386"/>
    </row>
    <row r="104" spans="1:14">
      <c r="A104" s="3811" t="s">
        <v>3297</v>
      </c>
      <c r="B104" s="3811" t="s">
        <v>3298</v>
      </c>
      <c r="C104" s="3387" t="s">
        <v>3299</v>
      </c>
      <c r="D104" s="3388"/>
      <c r="E104" s="3388"/>
      <c r="F104" s="3388"/>
      <c r="G104" s="3388"/>
      <c r="H104" s="3388"/>
      <c r="I104" s="3388"/>
      <c r="J104" s="3389"/>
      <c r="K104" s="3390"/>
      <c r="L104" s="3390"/>
      <c r="M104" s="3390"/>
      <c r="N104" s="3390"/>
    </row>
    <row r="105" spans="1:14">
      <c r="A105" s="3811"/>
      <c r="B105" s="3811"/>
      <c r="C105" s="3391" t="s">
        <v>3300</v>
      </c>
      <c r="D105" s="3391" t="s">
        <v>3301</v>
      </c>
      <c r="E105" s="3391" t="s">
        <v>3302</v>
      </c>
      <c r="F105" s="3391" t="s">
        <v>3303</v>
      </c>
      <c r="G105" s="3391" t="s">
        <v>3304</v>
      </c>
      <c r="H105" s="3391" t="s">
        <v>3305</v>
      </c>
      <c r="I105" s="3391" t="s">
        <v>3306</v>
      </c>
      <c r="J105" s="3391" t="s">
        <v>3307</v>
      </c>
      <c r="K105" s="3391" t="s">
        <v>3308</v>
      </c>
      <c r="L105" s="3391" t="s">
        <v>3309</v>
      </c>
      <c r="M105" s="3391" t="s">
        <v>3310</v>
      </c>
      <c r="N105" s="3391" t="s">
        <v>3311</v>
      </c>
    </row>
    <row r="106" spans="1:14">
      <c r="A106" s="3797" t="s">
        <v>3312</v>
      </c>
      <c r="B106" s="3391">
        <v>1</v>
      </c>
      <c r="C106" s="3391">
        <v>1.5206</v>
      </c>
      <c r="D106" s="3391">
        <v>1.5206</v>
      </c>
      <c r="E106" s="3391">
        <v>1.5019</v>
      </c>
      <c r="F106" s="3391">
        <v>1.5019</v>
      </c>
      <c r="G106" s="3391">
        <v>1.5019</v>
      </c>
      <c r="H106" s="3391">
        <v>1.5019</v>
      </c>
      <c r="I106" s="3391">
        <v>1.5019</v>
      </c>
      <c r="J106" s="3391">
        <v>1.5418000000000001</v>
      </c>
      <c r="K106" s="3391">
        <v>1.5418000000000001</v>
      </c>
      <c r="L106" s="3391">
        <v>1.5418000000000001</v>
      </c>
      <c r="M106" s="3391">
        <v>1.5418000000000001</v>
      </c>
      <c r="N106" s="3391">
        <v>1.5418000000000001</v>
      </c>
    </row>
    <row r="107" spans="1:14">
      <c r="A107" s="3798"/>
      <c r="B107" s="3391">
        <v>2</v>
      </c>
      <c r="C107" s="3391">
        <v>1.2072000000000001</v>
      </c>
      <c r="D107" s="3391">
        <v>1.2072000000000001</v>
      </c>
      <c r="E107" s="3391">
        <v>1.1838</v>
      </c>
      <c r="F107" s="3391">
        <v>1.1838</v>
      </c>
      <c r="G107" s="3391">
        <v>1.1838</v>
      </c>
      <c r="H107" s="3391">
        <v>1.1838</v>
      </c>
      <c r="I107" s="3391">
        <v>1.1838</v>
      </c>
      <c r="J107" s="3391">
        <v>1.1883999999999999</v>
      </c>
      <c r="K107" s="3391">
        <v>1.1883999999999999</v>
      </c>
      <c r="L107" s="3391">
        <v>1.1883999999999999</v>
      </c>
      <c r="M107" s="3391">
        <v>1.1883999999999999</v>
      </c>
      <c r="N107" s="3391">
        <v>1.1883999999999999</v>
      </c>
    </row>
    <row r="108" spans="1:14">
      <c r="A108" s="3798"/>
      <c r="B108" s="3391">
        <v>3</v>
      </c>
      <c r="C108" s="3391">
        <v>1.0430999999999999</v>
      </c>
      <c r="D108" s="3391">
        <v>1.0430999999999999</v>
      </c>
      <c r="E108" s="3391">
        <v>1.0004999999999999</v>
      </c>
      <c r="F108" s="3391">
        <v>1.0004999999999999</v>
      </c>
      <c r="G108" s="3391">
        <v>1.0004999999999999</v>
      </c>
      <c r="H108" s="3391">
        <v>1.0004999999999999</v>
      </c>
      <c r="I108" s="3391">
        <v>1.0004999999999999</v>
      </c>
      <c r="J108" s="3391">
        <v>0.96940000000000004</v>
      </c>
      <c r="K108" s="3391">
        <v>0.96940000000000004</v>
      </c>
      <c r="L108" s="3391">
        <v>0.96940000000000004</v>
      </c>
      <c r="M108" s="3391">
        <v>0.96940000000000004</v>
      </c>
      <c r="N108" s="3391">
        <v>0.96940000000000004</v>
      </c>
    </row>
    <row r="109" spans="1:14">
      <c r="A109" s="3798"/>
      <c r="B109" s="3391">
        <v>4</v>
      </c>
      <c r="C109" s="3391">
        <v>0.94389999999999996</v>
      </c>
      <c r="D109" s="3391">
        <v>0.94389999999999996</v>
      </c>
      <c r="E109" s="3391">
        <v>0.88239999999999996</v>
      </c>
      <c r="F109" s="3391">
        <v>0.88239999999999996</v>
      </c>
      <c r="G109" s="3391">
        <v>0.88239999999999996</v>
      </c>
      <c r="H109" s="3391">
        <v>0.88239999999999996</v>
      </c>
      <c r="I109" s="3391">
        <v>0.88239999999999996</v>
      </c>
      <c r="J109" s="3391">
        <v>0.82299999999999995</v>
      </c>
      <c r="K109" s="3391">
        <v>0.82299999999999995</v>
      </c>
      <c r="L109" s="3391">
        <v>0.82299999999999995</v>
      </c>
      <c r="M109" s="3391">
        <v>0.82299999999999995</v>
      </c>
      <c r="N109" s="3391">
        <v>0.82299999999999995</v>
      </c>
    </row>
    <row r="110" spans="1:14">
      <c r="A110" s="3798"/>
      <c r="B110" s="3391">
        <v>5</v>
      </c>
      <c r="C110" s="3391">
        <v>0.89959999999999996</v>
      </c>
      <c r="D110" s="3391">
        <v>0.89959999999999996</v>
      </c>
      <c r="E110" s="3391">
        <v>0.84799999999999998</v>
      </c>
      <c r="F110" s="3391">
        <v>0.84799999999999998</v>
      </c>
      <c r="G110" s="3391">
        <v>0.84799999999999998</v>
      </c>
      <c r="H110" s="3391">
        <v>0.84799999999999998</v>
      </c>
      <c r="I110" s="3391">
        <v>0.84799999999999998</v>
      </c>
      <c r="J110" s="3391">
        <v>0.74980000000000002</v>
      </c>
      <c r="K110" s="3391">
        <v>0.74980000000000002</v>
      </c>
      <c r="L110" s="3391">
        <v>0.74980000000000002</v>
      </c>
      <c r="M110" s="3391">
        <v>0.74980000000000002</v>
      </c>
      <c r="N110" s="3391">
        <v>0.74980000000000002</v>
      </c>
    </row>
    <row r="111" spans="1:14">
      <c r="A111" s="3798"/>
      <c r="B111" s="3391" t="s">
        <v>3270</v>
      </c>
      <c r="C111" s="3392">
        <f>$I$3</f>
        <v>1</v>
      </c>
      <c r="D111" s="3392">
        <f t="shared" ref="D111:M111" si="33">$I$3</f>
        <v>1</v>
      </c>
      <c r="E111" s="3392">
        <f t="shared" si="33"/>
        <v>1</v>
      </c>
      <c r="F111" s="3392">
        <f t="shared" si="33"/>
        <v>1</v>
      </c>
      <c r="G111" s="3392">
        <f t="shared" si="33"/>
        <v>1</v>
      </c>
      <c r="H111" s="3392">
        <f t="shared" si="33"/>
        <v>1</v>
      </c>
      <c r="I111" s="3392">
        <f t="shared" si="33"/>
        <v>1</v>
      </c>
      <c r="J111" s="3392">
        <f t="shared" si="33"/>
        <v>1</v>
      </c>
      <c r="K111" s="3392">
        <f t="shared" si="33"/>
        <v>1</v>
      </c>
      <c r="L111" s="3392">
        <f t="shared" si="33"/>
        <v>1</v>
      </c>
      <c r="M111" s="3392">
        <f t="shared" si="33"/>
        <v>1</v>
      </c>
      <c r="N111" s="3392">
        <f>$I$3</f>
        <v>1</v>
      </c>
    </row>
    <row r="112" spans="1:14">
      <c r="A112" s="3799"/>
      <c r="B112" s="3391">
        <v>6</v>
      </c>
      <c r="C112" s="3384">
        <f>(-0.5556*(C111^2)-0.2719*C111+8944)*(10^(-4))</f>
        <v>0.89431725000000006</v>
      </c>
      <c r="D112" s="3384">
        <f>(-0.5556*(D111^2)-0.2719*D111+8944)*(10^(-4))</f>
        <v>0.89431725000000006</v>
      </c>
      <c r="E112" s="3384">
        <f>(-0.7912*(E111^2)-11.3794*E111+8482)*(10^(-4))</f>
        <v>0.84698294000000007</v>
      </c>
      <c r="F112" s="3384">
        <f t="shared" ref="F112:I112" si="34">(-0.7912*(F111^2)-11.3794*F111+8482)*(10^(-4))</f>
        <v>0.84698294000000007</v>
      </c>
      <c r="G112" s="3384">
        <f t="shared" si="34"/>
        <v>0.84698294000000007</v>
      </c>
      <c r="H112" s="3384">
        <f t="shared" si="34"/>
        <v>0.84698294000000007</v>
      </c>
      <c r="I112" s="3384">
        <f t="shared" si="34"/>
        <v>0.84698294000000007</v>
      </c>
      <c r="J112" s="3384">
        <f>(-0.989*(J111^2)-63.78*J111+7771)*(10^(-4))</f>
        <v>0.77062310000000001</v>
      </c>
      <c r="K112" s="3384">
        <f t="shared" ref="K112:N112" si="35">(-0.989*(K111^2)-63.78*K111+7771)*(10^(-4))</f>
        <v>0.77062310000000001</v>
      </c>
      <c r="L112" s="3384">
        <f t="shared" si="35"/>
        <v>0.77062310000000001</v>
      </c>
      <c r="M112" s="3384">
        <f t="shared" si="35"/>
        <v>0.77062310000000001</v>
      </c>
      <c r="N112" s="3384">
        <f t="shared" si="35"/>
        <v>0.77062310000000001</v>
      </c>
    </row>
    <row r="113" spans="1:14">
      <c r="A113" s="3800" t="s">
        <v>3313</v>
      </c>
      <c r="B113" s="3800"/>
      <c r="C113" s="3800"/>
      <c r="D113" s="3800"/>
      <c r="E113" s="3800"/>
      <c r="F113" s="3800"/>
      <c r="G113" s="3800"/>
      <c r="H113" s="3800"/>
      <c r="I113" s="3800"/>
      <c r="J113" s="3800"/>
      <c r="K113" s="3393"/>
      <c r="L113" s="3393"/>
      <c r="M113" s="3393"/>
      <c r="N113" s="3393"/>
    </row>
    <row r="114" spans="1:14">
      <c r="A114" s="3394"/>
      <c r="B114" s="3394"/>
      <c r="C114" s="3394"/>
      <c r="D114" s="3394"/>
      <c r="E114" s="3394"/>
      <c r="F114" s="3394"/>
      <c r="G114" s="3394"/>
      <c r="H114" s="3394"/>
      <c r="I114" s="3394"/>
      <c r="J114" s="3394"/>
      <c r="K114" s="3353"/>
      <c r="L114" s="3394"/>
      <c r="M114" s="3394"/>
      <c r="N114" s="3394"/>
    </row>
    <row r="115" spans="1:14" ht="13.5" thickBot="1">
      <c r="A115" s="3394"/>
      <c r="B115" s="3394"/>
      <c r="C115" s="3394"/>
      <c r="D115" s="3394"/>
      <c r="E115" s="3394"/>
      <c r="F115" s="3394"/>
      <c r="G115" s="3394"/>
      <c r="H115" s="3394"/>
      <c r="I115" s="3394"/>
      <c r="J115" s="3394"/>
      <c r="K115" s="3353"/>
      <c r="L115" s="3394"/>
      <c r="M115" s="3394"/>
      <c r="N115" s="3394"/>
    </row>
    <row r="116" spans="1:14" ht="25.5" thickBot="1">
      <c r="A116" s="3395" t="s">
        <v>3314</v>
      </c>
      <c r="B116" s="3412">
        <f>G3</f>
        <v>1.5</v>
      </c>
      <c r="C116" s="3396" t="s">
        <v>3315</v>
      </c>
      <c r="D116" s="3397">
        <f>SUMPRODUCT((A118:A122=F116)*(B117:M117=H116)*B118:M122)</f>
        <v>0.8216</v>
      </c>
      <c r="E116" s="1997" t="s">
        <v>3316</v>
      </c>
      <c r="F116" s="3398" t="str">
        <f>E2</f>
        <v>商业</v>
      </c>
      <c r="G116" s="1997" t="s">
        <v>3317</v>
      </c>
      <c r="H116" s="3398" t="str">
        <f>G2</f>
        <v>十级</v>
      </c>
      <c r="I116" s="1997"/>
      <c r="J116" s="3399"/>
      <c r="K116" s="3399"/>
      <c r="L116" s="3399"/>
      <c r="M116" s="3399"/>
      <c r="N116" s="3394"/>
    </row>
    <row r="117" spans="1:14">
      <c r="A117" s="3400"/>
      <c r="B117" s="3401" t="s">
        <v>3318</v>
      </c>
      <c r="C117" s="3401" t="s">
        <v>3319</v>
      </c>
      <c r="D117" s="3401" t="s">
        <v>3320</v>
      </c>
      <c r="E117" s="3402" t="s">
        <v>3321</v>
      </c>
      <c r="F117" s="3402" t="s">
        <v>3322</v>
      </c>
      <c r="G117" s="3402" t="s">
        <v>3323</v>
      </c>
      <c r="H117" s="3403" t="s">
        <v>3324</v>
      </c>
      <c r="I117" s="3403" t="s">
        <v>3325</v>
      </c>
      <c r="J117" s="3404" t="s">
        <v>3326</v>
      </c>
      <c r="K117" s="3404" t="s">
        <v>3327</v>
      </c>
      <c r="L117" s="3404" t="s">
        <v>3328</v>
      </c>
      <c r="M117" s="3405" t="s">
        <v>3329</v>
      </c>
      <c r="N117" s="3394"/>
    </row>
    <row r="118" spans="1:14">
      <c r="A118" s="3406" t="s">
        <v>3330</v>
      </c>
      <c r="B118" s="3384">
        <f>ROUND(0.9968-0.011*B116,4)</f>
        <v>0.98029999999999995</v>
      </c>
      <c r="C118" s="3384">
        <f>B118</f>
        <v>0.98029999999999995</v>
      </c>
      <c r="D118" s="3384">
        <f>ROUND(0.949-0.014*B116,4)</f>
        <v>0.92800000000000005</v>
      </c>
      <c r="E118" s="3384">
        <f>D118</f>
        <v>0.92800000000000005</v>
      </c>
      <c r="F118" s="3384">
        <f>E118</f>
        <v>0.92800000000000005</v>
      </c>
      <c r="G118" s="3384">
        <f>F118</f>
        <v>0.92800000000000005</v>
      </c>
      <c r="H118" s="3384">
        <f>G118</f>
        <v>0.92800000000000005</v>
      </c>
      <c r="I118" s="3384">
        <f>ROUND(0.8486-0.018*B116,4)</f>
        <v>0.8216</v>
      </c>
      <c r="J118" s="3384">
        <f t="shared" ref="J118:M122" si="36">I118</f>
        <v>0.8216</v>
      </c>
      <c r="K118" s="3384">
        <f t="shared" si="36"/>
        <v>0.8216</v>
      </c>
      <c r="L118" s="3384">
        <f t="shared" si="36"/>
        <v>0.8216</v>
      </c>
      <c r="M118" s="3407">
        <f t="shared" si="36"/>
        <v>0.8216</v>
      </c>
      <c r="N118" s="3394"/>
    </row>
    <row r="119" spans="1:14">
      <c r="A119" s="3406" t="s">
        <v>3331</v>
      </c>
      <c r="B119" s="3384">
        <f>ROUND(0.993-0.0112*B116,4)</f>
        <v>0.97619999999999996</v>
      </c>
      <c r="C119" s="3384">
        <f>B119</f>
        <v>0.97619999999999996</v>
      </c>
      <c r="D119" s="3384">
        <f>ROUND(0.9415-0.0142*B116,4)</f>
        <v>0.92020000000000002</v>
      </c>
      <c r="E119" s="3384">
        <f t="shared" ref="E119:H120" si="37">D119</f>
        <v>0.92020000000000002</v>
      </c>
      <c r="F119" s="3384">
        <f t="shared" si="37"/>
        <v>0.92020000000000002</v>
      </c>
      <c r="G119" s="3384">
        <f t="shared" si="37"/>
        <v>0.92020000000000002</v>
      </c>
      <c r="H119" s="3384">
        <f t="shared" si="37"/>
        <v>0.92020000000000002</v>
      </c>
      <c r="I119" s="3384">
        <f>ROUND(0.838-0.0182*B116,4)</f>
        <v>0.81069999999999998</v>
      </c>
      <c r="J119" s="3384">
        <f t="shared" si="36"/>
        <v>0.81069999999999998</v>
      </c>
      <c r="K119" s="3384">
        <f t="shared" si="36"/>
        <v>0.81069999999999998</v>
      </c>
      <c r="L119" s="3384">
        <f t="shared" si="36"/>
        <v>0.81069999999999998</v>
      </c>
      <c r="M119" s="3407">
        <f t="shared" si="36"/>
        <v>0.81069999999999998</v>
      </c>
      <c r="N119" s="3394"/>
    </row>
    <row r="120" spans="1:14">
      <c r="A120" s="3406" t="s">
        <v>3332</v>
      </c>
      <c r="B120" s="3384">
        <f>ROUND(0.9448-0.0115*B116,4)</f>
        <v>0.92759999999999998</v>
      </c>
      <c r="C120" s="3384">
        <f>B120</f>
        <v>0.92759999999999998</v>
      </c>
      <c r="D120" s="3384">
        <f>ROUND(0.937-0.0145*B116,4)</f>
        <v>0.9153</v>
      </c>
      <c r="E120" s="3384">
        <f t="shared" si="37"/>
        <v>0.9153</v>
      </c>
      <c r="F120" s="3384">
        <f t="shared" si="37"/>
        <v>0.9153</v>
      </c>
      <c r="G120" s="3384">
        <f t="shared" si="37"/>
        <v>0.9153</v>
      </c>
      <c r="H120" s="3384">
        <f t="shared" si="37"/>
        <v>0.9153</v>
      </c>
      <c r="I120" s="3384">
        <f>ROUND(0.7965-0.0185*B116,4)</f>
        <v>0.76880000000000004</v>
      </c>
      <c r="J120" s="3384">
        <f t="shared" si="36"/>
        <v>0.76880000000000004</v>
      </c>
      <c r="K120" s="3384">
        <f t="shared" si="36"/>
        <v>0.76880000000000004</v>
      </c>
      <c r="L120" s="3384">
        <f t="shared" si="36"/>
        <v>0.76880000000000004</v>
      </c>
      <c r="M120" s="3407">
        <f t="shared" si="36"/>
        <v>0.76880000000000004</v>
      </c>
      <c r="N120" s="3394"/>
    </row>
    <row r="121" spans="1:14" ht="13.5" thickBot="1">
      <c r="A121" s="3408" t="s">
        <v>3333</v>
      </c>
      <c r="B121" s="3409">
        <f>ROUND(0.7836-0.012*B116,4)</f>
        <v>0.76559999999999995</v>
      </c>
      <c r="C121" s="3409">
        <f>B121</f>
        <v>0.76559999999999995</v>
      </c>
      <c r="D121" s="3409">
        <f>ROUND(0.753-0.015*B116,4)</f>
        <v>0.73050000000000004</v>
      </c>
      <c r="E121" s="3409">
        <f>D121</f>
        <v>0.73050000000000004</v>
      </c>
      <c r="F121" s="3409">
        <f>E121</f>
        <v>0.73050000000000004</v>
      </c>
      <c r="G121" s="3409">
        <f>ROUND(0.6612-0.018*B116,4)</f>
        <v>0.63419999999999999</v>
      </c>
      <c r="H121" s="3409">
        <f>G121</f>
        <v>0.63419999999999999</v>
      </c>
      <c r="I121" s="3409">
        <f>ROUND(0.5905-0.019*B116,4)</f>
        <v>0.56200000000000006</v>
      </c>
      <c r="J121" s="3409">
        <f t="shared" si="36"/>
        <v>0.56200000000000006</v>
      </c>
      <c r="K121" s="3409">
        <f t="shared" si="36"/>
        <v>0.56200000000000006</v>
      </c>
      <c r="L121" s="3409">
        <f t="shared" si="36"/>
        <v>0.56200000000000006</v>
      </c>
      <c r="M121" s="3410">
        <f t="shared" si="36"/>
        <v>0.56200000000000006</v>
      </c>
      <c r="N121" s="3394"/>
    </row>
    <row r="122" spans="1:14">
      <c r="A122" s="3411" t="s">
        <v>2613</v>
      </c>
      <c r="B122" s="3384">
        <f>ROUND(0.9404-0.0106*B116,4)</f>
        <v>0.92449999999999999</v>
      </c>
      <c r="C122" s="3384">
        <f>B122</f>
        <v>0.92449999999999999</v>
      </c>
      <c r="D122" s="3384">
        <f>ROUND(0.8955-0.0135*B116,4)</f>
        <v>0.87529999999999997</v>
      </c>
      <c r="E122" s="3384">
        <f t="shared" ref="E122:H122" si="38">D122</f>
        <v>0.87529999999999997</v>
      </c>
      <c r="F122" s="3384">
        <f t="shared" si="38"/>
        <v>0.87529999999999997</v>
      </c>
      <c r="G122" s="3384">
        <f t="shared" si="38"/>
        <v>0.87529999999999997</v>
      </c>
      <c r="H122" s="3384">
        <f t="shared" si="38"/>
        <v>0.87529999999999997</v>
      </c>
      <c r="I122" s="3384">
        <f>ROUND(0.7632-0.0166*B116,4)</f>
        <v>0.73829999999999996</v>
      </c>
      <c r="J122" s="3384">
        <f t="shared" si="36"/>
        <v>0.73829999999999996</v>
      </c>
      <c r="K122" s="3384">
        <f t="shared" si="36"/>
        <v>0.73829999999999996</v>
      </c>
      <c r="L122" s="3384">
        <f t="shared" si="36"/>
        <v>0.73829999999999996</v>
      </c>
      <c r="M122" s="3407">
        <f t="shared" si="36"/>
        <v>0.73829999999999996</v>
      </c>
      <c r="N122" s="3394"/>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27" priority="6" stopIfTrue="1" operator="notEqual">
      <formula>"——"</formula>
    </cfRule>
  </conditionalFormatting>
  <conditionalFormatting sqref="F61">
    <cfRule type="cellIs" dxfId="126" priority="5" stopIfTrue="1" operator="notEqual">
      <formula>"——"</formula>
    </cfRule>
  </conditionalFormatting>
  <conditionalFormatting sqref="F72">
    <cfRule type="cellIs" dxfId="125" priority="4" stopIfTrue="1" operator="notEqual">
      <formula>"——"</formula>
    </cfRule>
  </conditionalFormatting>
  <conditionalFormatting sqref="F83">
    <cfRule type="cellIs" dxfId="124" priority="3" stopIfTrue="1" operator="notEqual">
      <formula>"——"</formula>
    </cfRule>
  </conditionalFormatting>
  <conditionalFormatting sqref="H50:H58 H61:H69 H72:H80 H83:H91">
    <cfRule type="cellIs" dxfId="123" priority="2" operator="notEqual">
      <formula>"——"</formula>
    </cfRule>
  </conditionalFormatting>
  <conditionalFormatting sqref="H93:H101">
    <cfRule type="cellIs" dxfId="122"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36" sqref="J36"/>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c r="D1" s="1360" t="s">
        <v>43</v>
      </c>
      <c r="E1" s="1361" t="s">
        <v>678</v>
      </c>
      <c r="F1" s="1061">
        <f ca="1">J53</f>
        <v>0</v>
      </c>
      <c r="G1" s="1376">
        <f>MATCH(C1,'数据-取费表'!A6:A16,0)+5</f>
        <v>7</v>
      </c>
      <c r="H1" s="2689"/>
      <c r="I1" s="2690"/>
      <c r="J1" s="2690"/>
      <c r="K1" s="2691"/>
      <c r="L1" s="2690"/>
      <c r="M1" s="2690"/>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804</v>
      </c>
      <c r="B2" s="1384" t="e">
        <f ca="1">C40+J29+L46</f>
        <v>#DIV/0!</v>
      </c>
      <c r="C2" s="1385" t="s">
        <v>805</v>
      </c>
      <c r="D2" s="1385"/>
      <c r="E2" s="1386"/>
      <c r="F2" s="1387"/>
      <c r="G2" s="2703"/>
      <c r="H2" s="2692"/>
      <c r="I2" s="2692"/>
      <c r="J2" s="2692"/>
      <c r="K2" s="2693"/>
      <c r="L2" s="2692"/>
      <c r="M2" s="2692"/>
    </row>
    <row r="3" spans="1:37" ht="18" customHeight="1" thickBot="1">
      <c r="A3" s="1388" t="s">
        <v>806</v>
      </c>
      <c r="B3" s="1389">
        <f ca="1">IF(ISERROR(B2*10000/F43),0,ROUND(B2*10000/F43,0))</f>
        <v>0</v>
      </c>
      <c r="C3" s="1385" t="s">
        <v>807</v>
      </c>
      <c r="D3" s="1385"/>
      <c r="E3" s="1386"/>
      <c r="F3" s="1387"/>
      <c r="G3" s="2703"/>
      <c r="H3" s="682"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9">
        <f ca="1">C6+C10+C12</f>
        <v>0</v>
      </c>
      <c r="D5" s="1362" t="s">
        <v>693</v>
      </c>
      <c r="E5" s="1070"/>
      <c r="F5" s="1071"/>
      <c r="G5" s="1382"/>
      <c r="H5" s="299">
        <v>1</v>
      </c>
      <c r="I5" s="300" t="s">
        <v>692</v>
      </c>
      <c r="J5" s="1069">
        <f ca="1">J6+J10+J12</f>
        <v>0</v>
      </c>
      <c r="K5" s="1362" t="s">
        <v>693</v>
      </c>
      <c r="L5" s="1070"/>
      <c r="M5" s="1071"/>
    </row>
    <row r="6" spans="1:37" ht="18" customHeight="1">
      <c r="A6" s="1068" t="s">
        <v>398</v>
      </c>
      <c r="B6" s="3765" t="s">
        <v>694</v>
      </c>
      <c r="C6" s="1073">
        <f ca="1">ROUND(F6*F8*F7*(1-F9)/10000,0)</f>
        <v>0</v>
      </c>
      <c r="D6" s="155" t="s">
        <v>2107</v>
      </c>
      <c r="E6" s="302" t="s">
        <v>696</v>
      </c>
      <c r="F6" s="303">
        <f ca="1">INDIRECT("'数据-取费表'!u"&amp;$G$1)</f>
        <v>0</v>
      </c>
      <c r="G6" s="1382"/>
      <c r="H6" s="1068" t="s">
        <v>398</v>
      </c>
      <c r="I6" s="3765" t="s">
        <v>694</v>
      </c>
      <c r="J6" s="301">
        <f ca="1">ROUND(M6*M8*M7*(1-M9)/10000,0)</f>
        <v>0</v>
      </c>
      <c r="K6" s="155" t="s">
        <v>2106</v>
      </c>
      <c r="L6" s="302" t="s">
        <v>696</v>
      </c>
      <c r="M6" s="303">
        <f ca="1">INDIRECT("'数据-取费表'!z"&amp;$G$1)</f>
        <v>0</v>
      </c>
    </row>
    <row r="7" spans="1:37" ht="18" customHeight="1">
      <c r="A7" s="1072"/>
      <c r="B7" s="3766"/>
      <c r="C7" s="1074"/>
      <c r="D7" s="307"/>
      <c r="E7" s="3449" t="s">
        <v>697</v>
      </c>
      <c r="F7" s="303">
        <f ca="1">IF(INDIRECT("'数据-取费表'!ah"&amp;$G$1)="",INDIRECT("'数据-取费表'!k"&amp;$G$1),INDIRECT("'数据-取费表'!ah"&amp;$G$1))</f>
        <v>0</v>
      </c>
      <c r="G7" s="1382"/>
      <c r="H7" s="304"/>
      <c r="I7" s="3766"/>
      <c r="J7" s="306"/>
      <c r="K7" s="307"/>
      <c r="L7" s="302" t="s">
        <v>697</v>
      </c>
      <c r="M7" s="303">
        <f ca="1">F7</f>
        <v>0</v>
      </c>
    </row>
    <row r="8" spans="1:37" ht="18" customHeight="1">
      <c r="A8" s="304"/>
      <c r="B8" s="3766"/>
      <c r="C8" s="306"/>
      <c r="D8" s="307"/>
      <c r="E8" s="302" t="s">
        <v>698</v>
      </c>
      <c r="F8" s="303">
        <f ca="1">INDIRECT("'数据-取费表'!ai"&amp;$G$1)</f>
        <v>0</v>
      </c>
      <c r="G8" s="1382"/>
      <c r="H8" s="304"/>
      <c r="I8" s="3766"/>
      <c r="J8" s="306"/>
      <c r="K8" s="307"/>
      <c r="L8" s="302" t="s">
        <v>698</v>
      </c>
      <c r="M8" s="303">
        <f ca="1">INDIRECT("'数据-取费表'!ai"&amp;$G$1)</f>
        <v>0</v>
      </c>
    </row>
    <row r="9" spans="1:37" ht="18" customHeight="1">
      <c r="A9" s="304"/>
      <c r="B9" s="3767"/>
      <c r="C9" s="306"/>
      <c r="D9" s="307"/>
      <c r="E9" s="302" t="s">
        <v>699</v>
      </c>
      <c r="F9" s="312">
        <f ca="1">INDIRECT("'数据-取费表'!w"&amp;$G$1)</f>
        <v>0</v>
      </c>
      <c r="G9" s="1382"/>
      <c r="H9" s="304"/>
      <c r="I9" s="3767"/>
      <c r="J9" s="306"/>
      <c r="K9" s="307"/>
      <c r="L9" s="313" t="s">
        <v>699</v>
      </c>
      <c r="M9" s="314">
        <f ca="1">INDIRECT("'数据-取费表'!ab"&amp;$G$1)</f>
        <v>0</v>
      </c>
    </row>
    <row r="10" spans="1:37" ht="18" customHeight="1">
      <c r="A10" s="1068" t="s">
        <v>402</v>
      </c>
      <c r="B10" s="1363" t="s">
        <v>700</v>
      </c>
      <c r="C10" s="316">
        <f ca="1">ROUND(IF(F10="押一",C6/12*F11,IF(F10="押二",C6/12*2*F11,IF(F10="押三",C6/12*3*F11,C11*F11))),0)</f>
        <v>0</v>
      </c>
      <c r="D10" s="1364" t="s">
        <v>2114</v>
      </c>
      <c r="E10" s="313" t="s">
        <v>701</v>
      </c>
      <c r="F10" s="1115" t="s">
        <v>3396</v>
      </c>
      <c r="G10" s="1382"/>
      <c r="H10" s="1068" t="s">
        <v>402</v>
      </c>
      <c r="I10" s="1363" t="s">
        <v>700</v>
      </c>
      <c r="J10" s="301">
        <f ca="1">ROUND(IF(M10="押一",J6/12*M11,IF(M10="押二",J6/12*2*M11,IF(M10="押三",J6/12*3*M11,J11*M11))),0)</f>
        <v>0</v>
      </c>
      <c r="K10" s="1364" t="s">
        <v>2114</v>
      </c>
      <c r="L10" s="313" t="s">
        <v>701</v>
      </c>
      <c r="M10" s="1115"/>
    </row>
    <row r="11" spans="1:37" ht="18" customHeight="1">
      <c r="A11" s="308"/>
      <c r="B11" s="1365" t="s">
        <v>679</v>
      </c>
      <c r="C11" s="958"/>
      <c r="D11" s="1366"/>
      <c r="E11" s="313" t="s">
        <v>702</v>
      </c>
      <c r="F11" s="314">
        <f ca="1">'数据-取费表'!B39</f>
        <v>1.4999999999999999E-2</v>
      </c>
      <c r="G11" s="1382"/>
      <c r="H11" s="1076"/>
      <c r="I11" s="1365" t="s">
        <v>679</v>
      </c>
      <c r="J11" s="958"/>
      <c r="K11" s="683"/>
      <c r="L11" s="313" t="s">
        <v>702</v>
      </c>
      <c r="M11" s="861">
        <f ca="1">'数据-取费表'!B39</f>
        <v>1.4999999999999999E-2</v>
      </c>
    </row>
    <row r="12" spans="1:37" ht="18" customHeight="1" thickBot="1">
      <c r="A12" s="1082" t="s">
        <v>437</v>
      </c>
      <c r="B12" s="1367" t="s">
        <v>703</v>
      </c>
      <c r="C12" s="1083"/>
      <c r="D12" s="1084"/>
      <c r="E12" s="1089"/>
      <c r="F12" s="1085"/>
      <c r="G12" s="1382"/>
      <c r="H12" s="1082" t="s">
        <v>437</v>
      </c>
      <c r="I12" s="1367" t="s">
        <v>703</v>
      </c>
      <c r="J12" s="1083"/>
      <c r="K12" s="1097"/>
      <c r="L12" s="1089"/>
      <c r="M12" s="1098"/>
    </row>
    <row r="13" spans="1:37" ht="18" customHeight="1" thickTop="1">
      <c r="A13" s="1078">
        <v>2</v>
      </c>
      <c r="B13" s="1079" t="s">
        <v>704</v>
      </c>
      <c r="C13" s="310">
        <f ca="1">ROUND(C29*F13,0)</f>
        <v>0</v>
      </c>
      <c r="D13" s="3446" t="s">
        <v>705</v>
      </c>
      <c r="E13" s="3446" t="s">
        <v>706</v>
      </c>
      <c r="F13" s="1081">
        <f ca="1">INDIRECT("'数据-取费表'!y"&amp;$G$1)</f>
        <v>0</v>
      </c>
      <c r="G13" s="1382"/>
      <c r="H13" s="1078">
        <v>2</v>
      </c>
      <c r="I13" s="1079" t="s">
        <v>704</v>
      </c>
      <c r="J13" s="1067">
        <f ca="1">ROUND(J14*J15,0)</f>
        <v>0</v>
      </c>
      <c r="K13" s="1086" t="s">
        <v>705</v>
      </c>
      <c r="L13" s="1390"/>
      <c r="M13" s="1391"/>
    </row>
    <row r="14" spans="1:37" ht="18" customHeight="1">
      <c r="A14" s="981" t="s">
        <v>397</v>
      </c>
      <c r="B14" s="302" t="s">
        <v>707</v>
      </c>
      <c r="C14" s="318">
        <f ca="1">INDIRECT("'数据-取费表'!m"&amp;$G$1)+INDIRECT("'数据-取费表'!t"&amp;$G$1)</f>
        <v>0</v>
      </c>
      <c r="D14" s="3452" t="s">
        <v>708</v>
      </c>
      <c r="E14" s="3451"/>
      <c r="F14" s="319"/>
      <c r="G14" s="1382"/>
      <c r="H14" s="981" t="s">
        <v>398</v>
      </c>
      <c r="I14" s="302" t="s">
        <v>709</v>
      </c>
      <c r="J14" s="21">
        <f ca="1">C29</f>
        <v>0</v>
      </c>
      <c r="K14" s="3448"/>
      <c r="L14" s="806"/>
      <c r="M14" s="807"/>
    </row>
    <row r="15" spans="1:37" s="1395" customFormat="1" ht="18" customHeight="1" thickBot="1">
      <c r="A15" s="981" t="s">
        <v>399</v>
      </c>
      <c r="B15" s="302" t="s">
        <v>710</v>
      </c>
      <c r="C15" s="21">
        <f ca="1">ROUND(C14*F15,0)</f>
        <v>0</v>
      </c>
      <c r="D15" s="3447" t="s">
        <v>711</v>
      </c>
      <c r="E15" s="3447" t="s">
        <v>712</v>
      </c>
      <c r="F15" s="321">
        <f>'数据-取费表'!B33</f>
        <v>0.03</v>
      </c>
      <c r="G15" s="1394"/>
      <c r="H15" s="1088" t="s">
        <v>402</v>
      </c>
      <c r="I15" s="1089" t="s">
        <v>706</v>
      </c>
      <c r="J15" s="1098">
        <f ca="1">INDIRECT("'数据-取费表'!ad"&amp;$G$1)</f>
        <v>0</v>
      </c>
      <c r="K15" s="1099"/>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f ca="1">ROUND(INDIRECT("'数据-取费表'!m"&amp;$G$1)*F16,0)</f>
        <v>0</v>
      </c>
      <c r="D16" s="302" t="s">
        <v>711</v>
      </c>
      <c r="E16" s="302" t="s">
        <v>712</v>
      </c>
      <c r="F16" s="322">
        <f ca="1">IF(INDIRECT("'数据-取费表'!c"&amp;$G$1)="住宅",'数据-取费表'!B34,0)</f>
        <v>0</v>
      </c>
      <c r="G16" s="1382"/>
      <c r="H16" s="1078" t="s">
        <v>393</v>
      </c>
      <c r="I16" s="1079" t="s">
        <v>714</v>
      </c>
      <c r="J16" s="310">
        <f ca="1">ROUND(J17+J22+J23+J24,0)</f>
        <v>0</v>
      </c>
      <c r="K16" s="1086" t="s">
        <v>715</v>
      </c>
      <c r="L16" s="3454"/>
      <c r="M16" s="1071"/>
    </row>
    <row r="17" spans="1:37" s="1395" customFormat="1" ht="18" customHeight="1">
      <c r="A17" s="981" t="s">
        <v>681</v>
      </c>
      <c r="B17" s="302" t="s">
        <v>716</v>
      </c>
      <c r="C17" s="21">
        <f ca="1">ROUND(F17*(F43+INDIRECT("'数据-取费表'!S"&amp;$G$1))/10000,0)</f>
        <v>0</v>
      </c>
      <c r="D17" s="302" t="s">
        <v>717</v>
      </c>
      <c r="E17" s="302" t="s">
        <v>718</v>
      </c>
      <c r="F17" s="23">
        <f>'数据-取费表'!B35</f>
        <v>200</v>
      </c>
      <c r="G17" s="1394"/>
      <c r="H17" s="981" t="s">
        <v>398</v>
      </c>
      <c r="I17" s="302" t="s">
        <v>719</v>
      </c>
      <c r="J17" s="2313">
        <f ca="1">ROUND(IF(AND(项目基本情况!B11="自然人",项目基本情况!B10="北京市"),J6*M17/(1+'数据-取费表'!C42),J18+J19+J20),2)</f>
        <v>0</v>
      </c>
      <c r="K17" s="3452" t="s">
        <v>720</v>
      </c>
      <c r="L17" s="3453" t="s">
        <v>721</v>
      </c>
      <c r="M17" s="2312"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f ca="1">ROUND(C14*F18,0)</f>
        <v>0</v>
      </c>
      <c r="D18" s="302" t="s">
        <v>711</v>
      </c>
      <c r="E18" s="302" t="s">
        <v>712</v>
      </c>
      <c r="F18" s="322">
        <f>'数据-取费表'!B36</f>
        <v>1.4999999999999999E-2</v>
      </c>
      <c r="G18" s="1394"/>
      <c r="H18" s="981" t="s">
        <v>397</v>
      </c>
      <c r="I18" s="302" t="s">
        <v>723</v>
      </c>
      <c r="J18" s="21">
        <f ca="1">ROUND(J6*M18/(1+'数据-取费表'!C42),2)</f>
        <v>0</v>
      </c>
      <c r="K18" s="3453"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f ca="1">SUM(C14:C18)</f>
        <v>0</v>
      </c>
      <c r="D19" s="131" t="s">
        <v>726</v>
      </c>
      <c r="E19" s="3456"/>
      <c r="F19" s="23"/>
      <c r="G19" s="1382"/>
      <c r="H19" s="981" t="s">
        <v>399</v>
      </c>
      <c r="I19" s="302" t="s">
        <v>727</v>
      </c>
      <c r="J19" s="21">
        <f ca="1">IF(K19="按租金收入计税",ROUND(J6*M19/(1+'数据-取费表'!C42),2),ROUND(C29*M19*0.7,2))</f>
        <v>0</v>
      </c>
      <c r="K19" s="1368" t="s">
        <v>3337</v>
      </c>
      <c r="L19" s="302" t="s">
        <v>712</v>
      </c>
      <c r="M19" s="322">
        <f>IF(K19="按租金收入计税",'数据-取费表'!B51,'数据-取费表'!B50)</f>
        <v>0.12</v>
      </c>
    </row>
    <row r="20" spans="1:37" s="1395" customFormat="1" ht="18" customHeight="1">
      <c r="A20" s="981" t="s">
        <v>402</v>
      </c>
      <c r="B20" s="302" t="s">
        <v>728</v>
      </c>
      <c r="C20" s="21">
        <f ca="1">ROUND(C19*F20,0)</f>
        <v>0</v>
      </c>
      <c r="D20" s="2425" t="s">
        <v>729</v>
      </c>
      <c r="E20" s="302" t="s">
        <v>712</v>
      </c>
      <c r="F20" s="322">
        <f>'数据-取费表'!B37</f>
        <v>0.02</v>
      </c>
      <c r="G20" s="1394"/>
      <c r="H20" s="981" t="s">
        <v>680</v>
      </c>
      <c r="I20" s="155" t="s">
        <v>730</v>
      </c>
      <c r="J20" s="22">
        <f ca="1">ROUND(M20*M21/10000,2)</f>
        <v>0</v>
      </c>
      <c r="K20" s="324" t="s">
        <v>731</v>
      </c>
      <c r="L20" s="302" t="s">
        <v>732</v>
      </c>
      <c r="M20" s="325">
        <f>'数据-取费表'!B52</f>
        <v>1.5</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15</v>
      </c>
      <c r="D21" s="2425" t="s">
        <v>734</v>
      </c>
      <c r="E21" s="302" t="s">
        <v>735</v>
      </c>
      <c r="F21" s="322">
        <f>'数据-取费表'!B38</f>
        <v>0.02</v>
      </c>
      <c r="G21" s="1394"/>
      <c r="H21" s="326"/>
      <c r="I21" s="311"/>
      <c r="J21" s="26"/>
      <c r="K21" s="327"/>
      <c r="L21" s="302" t="s">
        <v>736</v>
      </c>
      <c r="M21" s="303">
        <f ca="1">INDIRECT("'数据-取费表'!r"&amp;$G$1)</f>
        <v>0</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3456"/>
      <c r="F22" s="23"/>
      <c r="G22" s="1382"/>
      <c r="H22" s="981" t="s">
        <v>402</v>
      </c>
      <c r="I22" s="302" t="s">
        <v>738</v>
      </c>
      <c r="J22" s="21">
        <f ca="1">ROUND(J14*M22,2)</f>
        <v>0</v>
      </c>
      <c r="K22" s="3453" t="s">
        <v>739</v>
      </c>
      <c r="L22" s="302" t="s">
        <v>712</v>
      </c>
      <c r="M22" s="328">
        <f ca="1">INDIRECT("'数据-取费表'!Ak"&amp;$G$1)</f>
        <v>0</v>
      </c>
    </row>
    <row r="23" spans="1:37" s="1395" customFormat="1" ht="18" customHeight="1">
      <c r="A23" s="981" t="s">
        <v>397</v>
      </c>
      <c r="B23" s="302" t="s">
        <v>740</v>
      </c>
      <c r="C23" s="21">
        <f ca="1">IF('数据-取费表'!B22&lt;=1,ROUND(C19*F24*F23/2,0)+ROUND(C20*F24*F23/2,0),ROUND(C19*(POWER((1+F24),F23/2)-1),0)+ROUND(C20*(POWER((1+F24),F23/2)-1),0))</f>
        <v>0</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f ca="1">ROUND(J13*M23,2)</f>
        <v>0</v>
      </c>
      <c r="K23" s="3453" t="s">
        <v>743</v>
      </c>
      <c r="L23" s="302" t="s">
        <v>744</v>
      </c>
      <c r="M23" s="330">
        <f ca="1">INDIRECT("'数据-取费表'!Al"&amp;$G$1)</f>
        <v>0</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4"/>
      <c r="H24" s="1088" t="s">
        <v>684</v>
      </c>
      <c r="I24" s="1089" t="s">
        <v>728</v>
      </c>
      <c r="J24" s="1090">
        <f ca="1">ROUND(J5*M24,2)</f>
        <v>0</v>
      </c>
      <c r="K24" s="1091" t="s">
        <v>748</v>
      </c>
      <c r="L24" s="1089" t="s">
        <v>744</v>
      </c>
      <c r="M24" s="1085">
        <f ca="1">INDIRECT("'数据-取费表'!Am"&amp;$G$1)</f>
        <v>0</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1" t="s">
        <v>749</v>
      </c>
      <c r="B25" s="302" t="s">
        <v>750</v>
      </c>
      <c r="C25" s="21"/>
      <c r="D25" s="131" t="s">
        <v>751</v>
      </c>
      <c r="E25" s="3456"/>
      <c r="F25" s="23"/>
      <c r="G25" s="1382"/>
      <c r="H25" s="1078" t="s">
        <v>394</v>
      </c>
      <c r="I25" s="1093" t="s">
        <v>752</v>
      </c>
      <c r="J25" s="310">
        <f ca="1">J5-J16</f>
        <v>0</v>
      </c>
      <c r="K25" s="1094" t="s">
        <v>753</v>
      </c>
      <c r="L25" s="1095"/>
      <c r="M25" s="1096"/>
    </row>
    <row r="26" spans="1:37">
      <c r="A26" s="981" t="s">
        <v>397</v>
      </c>
      <c r="B26" s="302" t="s">
        <v>754</v>
      </c>
      <c r="C26" s="21">
        <f ca="1">ROUND((C19+C20)*F26,0)</f>
        <v>0</v>
      </c>
      <c r="D26" s="2425" t="s">
        <v>755</v>
      </c>
      <c r="E26" s="313" t="s">
        <v>756</v>
      </c>
      <c r="F26" s="312">
        <f ca="1">INDIRECT("'数据-取费表'!q"&amp;$G$1)</f>
        <v>0</v>
      </c>
      <c r="G26" s="1382"/>
      <c r="H26" s="299" t="s">
        <v>395</v>
      </c>
      <c r="I26" s="300" t="s">
        <v>757</v>
      </c>
      <c r="J26" s="301">
        <f ca="1">IF(J5&lt;&gt;0,ROUND(J25*(1-((1+M28)/(1+M26))^M27)/(M26-M28),0),0)</f>
        <v>0</v>
      </c>
      <c r="K26" s="324" t="s">
        <v>758</v>
      </c>
      <c r="L26" s="302" t="s">
        <v>759</v>
      </c>
      <c r="M26" s="312">
        <f ca="1">INDIRECT("'数据-取费表'!I"&amp;$G$1)</f>
        <v>0</v>
      </c>
    </row>
    <row r="27" spans="1:37" ht="18" customHeight="1">
      <c r="A27" s="981" t="s">
        <v>399</v>
      </c>
      <c r="B27" s="302" t="s">
        <v>760</v>
      </c>
      <c r="C27" s="21">
        <f ca="1">ROUND(F21*F26,4)</f>
        <v>0</v>
      </c>
      <c r="D27" s="2425" t="s">
        <v>761</v>
      </c>
      <c r="E27" s="3447"/>
      <c r="F27" s="321"/>
      <c r="G27" s="1382"/>
      <c r="H27" s="304"/>
      <c r="I27" s="305"/>
      <c r="J27" s="306"/>
      <c r="K27" s="332" t="s">
        <v>762</v>
      </c>
      <c r="L27" s="302" t="s">
        <v>763</v>
      </c>
      <c r="M27" s="333">
        <f ca="1">INDIRECT("'数据-取费表'!ag"&amp;$G$1)</f>
        <v>0</v>
      </c>
    </row>
    <row r="28" spans="1:37" s="1395" customFormat="1" ht="18" customHeight="1">
      <c r="A28" s="981" t="s">
        <v>400</v>
      </c>
      <c r="B28" s="302" t="s">
        <v>764</v>
      </c>
      <c r="C28" s="21">
        <f>ROUND(F28/(1+'数据-取费表'!C42),4)</f>
        <v>5.2400000000000002E-2</v>
      </c>
      <c r="D28" s="2425" t="s">
        <v>765</v>
      </c>
      <c r="E28" s="302" t="s">
        <v>712</v>
      </c>
      <c r="F28" s="322">
        <f>'数据-取费表'!B41</f>
        <v>5.5000000000000007E-2</v>
      </c>
      <c r="G28" s="1394"/>
      <c r="H28" s="308"/>
      <c r="I28" s="309"/>
      <c r="J28" s="310"/>
      <c r="K28" s="327"/>
      <c r="L28" s="302" t="s">
        <v>766</v>
      </c>
      <c r="M28" s="312">
        <f ca="1">INDIRECT("'数据-取费表'!aa"&amp;$G$1)</f>
        <v>0</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8" t="s">
        <v>401</v>
      </c>
      <c r="B29" s="1089" t="s">
        <v>767</v>
      </c>
      <c r="C29" s="1090">
        <f ca="1">ROUND((C19+C20+C23+C26)/(1-F21-C24-C27-C28),0)</f>
        <v>0</v>
      </c>
      <c r="D29" s="1091"/>
      <c r="E29" s="1089"/>
      <c r="F29" s="1092"/>
      <c r="G29" s="1394"/>
      <c r="H29" s="334" t="s">
        <v>396</v>
      </c>
      <c r="I29" s="335" t="s">
        <v>768</v>
      </c>
      <c r="J29" s="336">
        <f ca="1">ROUND(J26/(1+F40)^F41,0)</f>
        <v>0</v>
      </c>
      <c r="K29" s="337" t="s">
        <v>769</v>
      </c>
      <c r="L29" s="338"/>
      <c r="M29" s="339">
        <f ca="1">INDIRECT("'数据-取费表'!k"&amp;$G$1)</f>
        <v>0</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8" t="s">
        <v>393</v>
      </c>
      <c r="B30" s="1079" t="s">
        <v>714</v>
      </c>
      <c r="C30" s="310">
        <f ca="1">ROUND(C31+C36+C37+C38,0)</f>
        <v>0</v>
      </c>
      <c r="D30" s="1086" t="s">
        <v>715</v>
      </c>
      <c r="E30" s="3454"/>
      <c r="F30" s="1071"/>
      <c r="G30" s="1382"/>
      <c r="H30" s="2694"/>
      <c r="I30" s="1396"/>
      <c r="J30" s="1397"/>
      <c r="K30" s="2472"/>
      <c r="L30" s="2695"/>
      <c r="M30" s="2696"/>
    </row>
    <row r="31" spans="1:37" ht="18" customHeight="1">
      <c r="A31" s="981" t="s">
        <v>398</v>
      </c>
      <c r="B31" s="302" t="s">
        <v>719</v>
      </c>
      <c r="C31" s="2313">
        <f ca="1">ROUND(IF(AND(项目基本情况!B11="自然人",项目基本情况!B10="北京市"),C6*F31/(1+'数据-取费表'!C42),C32+C33+C34),2)</f>
        <v>0</v>
      </c>
      <c r="D31" s="3452" t="s">
        <v>720</v>
      </c>
      <c r="E31" s="3453" t="s">
        <v>770</v>
      </c>
      <c r="F31" s="2312" t="str">
        <f>IF(项目基本情况!B11="企业","——",IF(M47="住宅",IF(F6*F7*F8/12/(1+'数据-取费表'!F30)&gt;100000,4%,2.5%),IF(F6*F7*F8/12/(1+'数据-取费表'!F30)&gt;100000,12%,7%)))</f>
        <v>——</v>
      </c>
      <c r="G31" s="1382"/>
      <c r="H31" s="2804" t="s">
        <v>2308</v>
      </c>
      <c r="I31" s="1396"/>
      <c r="J31" s="1397"/>
      <c r="K31" s="2472"/>
      <c r="L31" s="2695"/>
      <c r="M31" s="2696"/>
    </row>
    <row r="32" spans="1:37" ht="18" customHeight="1">
      <c r="A32" s="981" t="s">
        <v>397</v>
      </c>
      <c r="B32" s="302" t="s">
        <v>723</v>
      </c>
      <c r="C32" s="21">
        <f ca="1">IF(项目基本情况!B11="自然人","——",ROUND(C6*F32/(1+'数据-取费表'!C42),2))</f>
        <v>0</v>
      </c>
      <c r="D32" s="3453" t="s">
        <v>724</v>
      </c>
      <c r="E32" s="302" t="s">
        <v>712</v>
      </c>
      <c r="F32" s="331">
        <f>'数据-取费表'!B41</f>
        <v>5.5000000000000007E-2</v>
      </c>
      <c r="G32" s="1382"/>
      <c r="H32" s="2694"/>
      <c r="I32" s="1396"/>
      <c r="J32" s="1397"/>
      <c r="K32" s="2472"/>
      <c r="L32" s="2695"/>
      <c r="M32" s="2696"/>
    </row>
    <row r="33" spans="1:18" ht="18" customHeight="1">
      <c r="A33" s="981" t="s">
        <v>399</v>
      </c>
      <c r="B33" s="302" t="s">
        <v>727</v>
      </c>
      <c r="C33" s="21">
        <f ca="1">IF(项目基本情况!B11="自然人","——",IF(D33="按租金收入计税",ROUND(C6*F33/(1+'数据-取费表'!C42),2),IF(D33="按房产原值计税",ROUND(C29*F33*0.7,2),INDIRECT("'数据-取费表'!Aj"&amp;$G$1))))</f>
        <v>0</v>
      </c>
      <c r="D33" s="1368" t="s">
        <v>3337</v>
      </c>
      <c r="E33" s="302" t="s">
        <v>712</v>
      </c>
      <c r="F33" s="322">
        <f>IF(D33="按票据","——",IF(D33="按租金收入计税",'数据-取费表'!B51,'数据-取费表'!B50))</f>
        <v>0.12</v>
      </c>
      <c r="G33" s="1382"/>
      <c r="H33" s="2697"/>
      <c r="I33" s="1396"/>
      <c r="J33" s="1397"/>
      <c r="K33" s="2698"/>
      <c r="L33" s="2697"/>
      <c r="M33" s="2697"/>
    </row>
    <row r="34" spans="1:18" ht="18" customHeight="1">
      <c r="A34" s="1068" t="s">
        <v>680</v>
      </c>
      <c r="B34" s="155" t="s">
        <v>730</v>
      </c>
      <c r="C34" s="22">
        <f ca="1">IF(项目基本情况!B11="自然人","——",ROUND(F34*F35/10000,2))</f>
        <v>0</v>
      </c>
      <c r="D34" s="324" t="s">
        <v>731</v>
      </c>
      <c r="E34" s="302" t="s">
        <v>732</v>
      </c>
      <c r="F34" s="325">
        <f>'数据-取费表'!B52</f>
        <v>1.5</v>
      </c>
      <c r="G34" s="1382"/>
      <c r="H34" s="2694"/>
      <c r="I34" s="1396"/>
      <c r="J34" s="1397"/>
      <c r="K34" s="2699"/>
      <c r="L34" s="2700"/>
      <c r="M34" s="2700"/>
    </row>
    <row r="35" spans="1:18" ht="18" customHeight="1">
      <c r="A35" s="1102"/>
      <c r="B35" s="1100"/>
      <c r="C35" s="26"/>
      <c r="D35" s="327"/>
      <c r="E35" s="302" t="s">
        <v>736</v>
      </c>
      <c r="F35" s="303">
        <f ca="1">INDIRECT("'数据-取费表'!r"&amp;$G$1)</f>
        <v>0</v>
      </c>
      <c r="G35" s="1382"/>
      <c r="H35" s="2694"/>
      <c r="I35" s="1396"/>
      <c r="J35" s="1397"/>
      <c r="K35" s="2698"/>
      <c r="L35" s="2697"/>
      <c r="M35" s="2697"/>
    </row>
    <row r="36" spans="1:18" ht="18" customHeight="1">
      <c r="A36" s="1101" t="s">
        <v>402</v>
      </c>
      <c r="B36" s="302" t="s">
        <v>738</v>
      </c>
      <c r="C36" s="21">
        <f ca="1">ROUND(C29*F36,2)</f>
        <v>0</v>
      </c>
      <c r="D36" s="3453" t="s">
        <v>771</v>
      </c>
      <c r="E36" s="302" t="s">
        <v>712</v>
      </c>
      <c r="F36" s="328">
        <f ca="1">INDIRECT("'数据-取费表'!Ak"&amp;$G$1)</f>
        <v>0</v>
      </c>
      <c r="G36" s="1382"/>
      <c r="H36" s="2697"/>
      <c r="I36" s="1396"/>
      <c r="J36" s="1397"/>
      <c r="K36" s="2541"/>
      <c r="L36" s="2697"/>
      <c r="M36" s="2697"/>
    </row>
    <row r="37" spans="1:18" ht="18" customHeight="1">
      <c r="A37" s="981" t="s">
        <v>437</v>
      </c>
      <c r="B37" s="302" t="s">
        <v>742</v>
      </c>
      <c r="C37" s="21">
        <f ca="1">ROUND(C13*F37,2)</f>
        <v>0</v>
      </c>
      <c r="D37" s="3453" t="s">
        <v>743</v>
      </c>
      <c r="E37" s="302" t="s">
        <v>744</v>
      </c>
      <c r="F37" s="330">
        <f ca="1">INDIRECT("'数据-取费表'!Al"&amp;$G$1)</f>
        <v>0</v>
      </c>
      <c r="G37" s="1382"/>
      <c r="H37" s="2697"/>
      <c r="I37" s="1396"/>
      <c r="J37" s="1397"/>
      <c r="K37" s="2541"/>
      <c r="L37" s="2697"/>
      <c r="M37" s="2697"/>
    </row>
    <row r="38" spans="1:18" ht="18" customHeight="1" thickBot="1">
      <c r="A38" s="1088" t="s">
        <v>684</v>
      </c>
      <c r="B38" s="1089" t="s">
        <v>728</v>
      </c>
      <c r="C38" s="1090">
        <f ca="1">ROUND(C5*F38,2)</f>
        <v>0</v>
      </c>
      <c r="D38" s="1091" t="s">
        <v>748</v>
      </c>
      <c r="E38" s="1089" t="s">
        <v>744</v>
      </c>
      <c r="F38" s="1085">
        <f ca="1">INDIRECT("'数据-取费表'!Am"&amp;$G$1)</f>
        <v>0</v>
      </c>
      <c r="G38" s="1382"/>
      <c r="H38" s="2697"/>
      <c r="I38" s="1396"/>
      <c r="J38" s="1397"/>
      <c r="K38" s="2701"/>
      <c r="L38" s="2697"/>
      <c r="M38" s="2697"/>
    </row>
    <row r="39" spans="1:18" ht="24.6" customHeight="1" thickTop="1">
      <c r="A39" s="1078" t="s">
        <v>394</v>
      </c>
      <c r="B39" s="1093" t="s">
        <v>772</v>
      </c>
      <c r="C39" s="310">
        <f ca="1">C5-C30</f>
        <v>0</v>
      </c>
      <c r="D39" s="1094" t="s">
        <v>773</v>
      </c>
      <c r="E39" s="1095"/>
      <c r="F39" s="1096"/>
      <c r="G39" s="1382"/>
      <c r="H39" s="2697"/>
      <c r="I39" s="1396"/>
      <c r="J39" s="1397"/>
      <c r="K39" s="2701"/>
      <c r="L39" s="2697"/>
      <c r="M39" s="2697"/>
    </row>
    <row r="40" spans="1:18" ht="18" customHeight="1">
      <c r="A40" s="299" t="s">
        <v>395</v>
      </c>
      <c r="B40" s="300" t="s">
        <v>774</v>
      </c>
      <c r="C40" s="301" t="e">
        <f ca="1">ROUND(C39*(1-((1+F42)/(1+F40))^F41)/(F40-F42),0)</f>
        <v>#DIV/0!</v>
      </c>
      <c r="D40" s="324" t="s">
        <v>758</v>
      </c>
      <c r="E40" s="302" t="s">
        <v>759</v>
      </c>
      <c r="F40" s="312">
        <f ca="1">INDIRECT("'数据-取费表'!I"&amp;$G$1)</f>
        <v>0</v>
      </c>
      <c r="G40" s="1382"/>
      <c r="H40" s="1459"/>
      <c r="I40" s="1396"/>
      <c r="J40" s="1397"/>
      <c r="K40" s="2701"/>
      <c r="L40" s="1459"/>
      <c r="M40" s="1459"/>
    </row>
    <row r="41" spans="1:18" ht="18" customHeight="1">
      <c r="A41" s="304"/>
      <c r="B41" s="305"/>
      <c r="C41" s="306"/>
      <c r="D41" s="332" t="s">
        <v>775</v>
      </c>
      <c r="E41" s="302" t="s">
        <v>763</v>
      </c>
      <c r="F41" s="333">
        <f ca="1">IF(INDIRECT("'数据-取费表'!af"&amp;$G$1)=0,INDIRECT("'数据-取费表'!ae"&amp;$G$1),INDIRECT("'数据-取费表'!af"&amp;$G$1))</f>
        <v>0</v>
      </c>
      <c r="G41" s="1382"/>
      <c r="H41" s="1189"/>
      <c r="I41" s="1396"/>
      <c r="J41" s="1397"/>
      <c r="K41" s="2541"/>
      <c r="L41" s="1189"/>
      <c r="M41" s="1189"/>
    </row>
    <row r="42" spans="1:18" ht="18" customHeight="1">
      <c r="A42" s="308"/>
      <c r="B42" s="309"/>
      <c r="C42" s="310"/>
      <c r="D42" s="327"/>
      <c r="E42" s="302" t="s">
        <v>766</v>
      </c>
      <c r="F42" s="312">
        <f ca="1">INDIRECT("'数据-取费表'!v"&amp;$G$1)</f>
        <v>0</v>
      </c>
      <c r="G42" s="1382"/>
      <c r="H42" s="1189"/>
      <c r="I42" s="1396"/>
      <c r="J42" s="1397"/>
      <c r="K42" s="2541"/>
      <c r="L42" s="1189"/>
      <c r="M42" s="1189"/>
    </row>
    <row r="43" spans="1:18" ht="18" customHeight="1" thickBot="1">
      <c r="A43" s="334" t="s">
        <v>396</v>
      </c>
      <c r="B43" s="335" t="s">
        <v>776</v>
      </c>
      <c r="C43" s="336" t="e">
        <f ca="1">ROUND(C40*10000/F43,0)</f>
        <v>#DIV/0!</v>
      </c>
      <c r="D43" s="337" t="s">
        <v>777</v>
      </c>
      <c r="E43" s="338" t="s">
        <v>778</v>
      </c>
      <c r="F43" s="339">
        <f ca="1">INDIRECT("'数据-取费表'!k"&amp;$G$1)</f>
        <v>0</v>
      </c>
      <c r="G43" s="1382"/>
      <c r="H43" s="1189"/>
      <c r="I43" s="1189"/>
      <c r="J43" s="1189"/>
      <c r="K43" s="2541"/>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5"/>
      <c r="O45" s="2702" t="s">
        <v>808</v>
      </c>
      <c r="P45" s="1459"/>
      <c r="Q45" s="1459"/>
      <c r="R45" s="1459"/>
    </row>
    <row r="46" spans="1:18" s="1382" customFormat="1" ht="13.5" thickBot="1">
      <c r="A46" s="1402" t="s">
        <v>809</v>
      </c>
      <c r="C46" s="1403" t="e">
        <f ca="1">C68-C40</f>
        <v>#DIV/0!</v>
      </c>
      <c r="D46" s="1404" t="str">
        <f>C2</f>
        <v>万元</v>
      </c>
      <c r="E46" s="1398"/>
      <c r="F46" s="1398"/>
      <c r="I46" s="1405" t="s">
        <v>810</v>
      </c>
      <c r="J46" s="1406"/>
      <c r="K46" s="1407"/>
      <c r="L46" s="1408">
        <f ca="1">IF(M47="住宅",0,IF(L48&gt;J51,L60,J60))</f>
        <v>0</v>
      </c>
      <c r="O46" s="1409" t="s">
        <v>811</v>
      </c>
      <c r="P46" s="1410" t="s">
        <v>812</v>
      </c>
      <c r="Q46" s="1411" t="s">
        <v>813</v>
      </c>
      <c r="R46" s="1411" t="s">
        <v>814</v>
      </c>
    </row>
    <row r="47" spans="1:18" s="1382" customFormat="1" ht="13.5" thickBot="1">
      <c r="A47" s="945" t="s">
        <v>687</v>
      </c>
      <c r="B47" s="977" t="s">
        <v>688</v>
      </c>
      <c r="C47" s="1116" t="s">
        <v>689</v>
      </c>
      <c r="D47" s="977" t="s">
        <v>690</v>
      </c>
      <c r="E47" s="1057" t="s">
        <v>691</v>
      </c>
      <c r="F47" s="1058"/>
      <c r="G47" s="721"/>
      <c r="I47" s="1412" t="s">
        <v>815</v>
      </c>
      <c r="J47" s="1413" t="s">
        <v>3397</v>
      </c>
      <c r="K47" s="1414" t="s">
        <v>816</v>
      </c>
      <c r="L47" s="1415">
        <f ca="1">INDIRECT("'数据-取费表'!d"&amp;$G$1)</f>
        <v>0</v>
      </c>
      <c r="M47" s="1378" t="str">
        <f>IF(ISNUMBER(FIND("住宅",C1)),"住宅","非住宅")</f>
        <v>非住宅</v>
      </c>
      <c r="O47" s="1416" t="s">
        <v>403</v>
      </c>
      <c r="P47" s="1417" t="s">
        <v>817</v>
      </c>
      <c r="Q47" s="1418" t="e">
        <f ca="1">C40+J29</f>
        <v>#DIV/0!</v>
      </c>
      <c r="R47" s="1418" t="s">
        <v>818</v>
      </c>
    </row>
    <row r="48" spans="1:18" s="1382" customFormat="1" ht="28.5" thickBot="1">
      <c r="A48" s="1109" t="s">
        <v>438</v>
      </c>
      <c r="B48" s="300" t="s">
        <v>692</v>
      </c>
      <c r="C48" s="3455">
        <f ca="1">C49+C53+C55</f>
        <v>0</v>
      </c>
      <c r="D48" s="1111"/>
      <c r="E48" s="1112"/>
      <c r="F48" s="961"/>
      <c r="G48" s="721"/>
      <c r="H48" s="722"/>
      <c r="I48" s="1419" t="s">
        <v>819</v>
      </c>
      <c r="J48" s="1420" t="s">
        <v>3398</v>
      </c>
      <c r="K48" s="1421" t="s">
        <v>820</v>
      </c>
      <c r="L48" s="1422">
        <f ca="1">INDIRECT("'数据-取费表'!f"&amp;$G$1)</f>
        <v>0</v>
      </c>
      <c r="O48" s="1416" t="s">
        <v>404</v>
      </c>
      <c r="P48" s="1417" t="s">
        <v>821</v>
      </c>
      <c r="Q48" s="1418">
        <f ca="1">J60</f>
        <v>0</v>
      </c>
      <c r="R48" s="1418" t="s">
        <v>822</v>
      </c>
    </row>
    <row r="49" spans="1:18" s="1382" customFormat="1" ht="13.5" thickBot="1">
      <c r="A49" s="974" t="s">
        <v>439</v>
      </c>
      <c r="B49" s="1369" t="s">
        <v>779</v>
      </c>
      <c r="C49" s="1113">
        <f ca="1">ROUND(F49*F51*F50*(1-F52)/10000,0)</f>
        <v>0</v>
      </c>
      <c r="D49" s="1054" t="s">
        <v>2106</v>
      </c>
      <c r="E49" s="1370" t="s">
        <v>780</v>
      </c>
      <c r="F49" s="1059"/>
      <c r="G49" s="1423"/>
      <c r="H49" s="722"/>
      <c r="I49" s="1419" t="s">
        <v>823</v>
      </c>
      <c r="J49" s="1424">
        <v>2005</v>
      </c>
      <c r="K49" s="1421" t="s">
        <v>824</v>
      </c>
      <c r="L49" s="1425"/>
      <c r="O49" s="1426" t="s">
        <v>405</v>
      </c>
      <c r="P49" s="1417" t="s">
        <v>825</v>
      </c>
      <c r="Q49" s="1418">
        <f ca="1">C29</f>
        <v>0</v>
      </c>
      <c r="R49" s="1418" t="s">
        <v>818</v>
      </c>
    </row>
    <row r="50" spans="1:18" s="1382" customFormat="1" ht="13.5" thickBot="1">
      <c r="A50" s="975"/>
      <c r="B50" s="978"/>
      <c r="C50" s="1117"/>
      <c r="D50" s="952"/>
      <c r="E50" s="1055" t="s">
        <v>697</v>
      </c>
      <c r="F50" s="1056">
        <f ca="1">F7</f>
        <v>0</v>
      </c>
      <c r="H50" s="722"/>
      <c r="I50" s="1419" t="s">
        <v>826</v>
      </c>
      <c r="J50" s="1427">
        <f>SUMPRODUCT((I63:I65=J47)*(J62:L62=J48)*(J63:L65))</f>
        <v>60</v>
      </c>
      <c r="K50" s="1421" t="s">
        <v>827</v>
      </c>
      <c r="L50" s="1425"/>
      <c r="M50" s="1428"/>
      <c r="O50" s="1426" t="s">
        <v>406</v>
      </c>
      <c r="P50" s="1417" t="s">
        <v>828</v>
      </c>
      <c r="Q50" s="1429">
        <f ca="1">J58</f>
        <v>0.7</v>
      </c>
      <c r="R50" s="1418"/>
    </row>
    <row r="51" spans="1:18" s="1382" customFormat="1" ht="13.5" thickBot="1">
      <c r="A51" s="976"/>
      <c r="B51" s="978"/>
      <c r="C51" s="979"/>
      <c r="D51" s="952"/>
      <c r="E51" s="980" t="s">
        <v>698</v>
      </c>
      <c r="F51" s="303">
        <f ca="1">F8</f>
        <v>0</v>
      </c>
      <c r="I51" s="1430" t="s">
        <v>829</v>
      </c>
      <c r="J51" s="1431">
        <f>IF(J49="",J50,J49+J50-YEAR('数据-取费表'!B2))</f>
        <v>42</v>
      </c>
      <c r="K51" s="1432" t="s">
        <v>830</v>
      </c>
      <c r="L51" s="1433">
        <f ca="1">ROUND(-PV(INDIRECT("'数据-取费表'!h"&amp;$G$1),J51,(C39-C13*C76),0),0)</f>
        <v>0</v>
      </c>
      <c r="M51" s="1434"/>
      <c r="O51" s="1426" t="s">
        <v>407</v>
      </c>
      <c r="P51" s="1417" t="s">
        <v>831</v>
      </c>
      <c r="Q51" s="1429">
        <f>J52</f>
        <v>0.08</v>
      </c>
      <c r="R51" s="1418"/>
    </row>
    <row r="52" spans="1:18" s="1382" customFormat="1" ht="13.5" thickBot="1">
      <c r="A52" s="976"/>
      <c r="B52" s="978"/>
      <c r="C52" s="979"/>
      <c r="D52" s="952"/>
      <c r="E52" s="980" t="s">
        <v>699</v>
      </c>
      <c r="F52" s="1053"/>
      <c r="I52" s="1435" t="s">
        <v>832</v>
      </c>
      <c r="J52" s="1436">
        <v>0.08</v>
      </c>
      <c r="K52" s="1435" t="s">
        <v>833</v>
      </c>
      <c r="L52" s="1436"/>
      <c r="O52" s="1426" t="s">
        <v>408</v>
      </c>
      <c r="P52" s="1417" t="s">
        <v>834</v>
      </c>
      <c r="Q52" s="1418">
        <f ca="1">J53</f>
        <v>0</v>
      </c>
      <c r="R52" s="1418" t="s">
        <v>835</v>
      </c>
    </row>
    <row r="53" spans="1:18" s="1382" customFormat="1" ht="24.75" thickBot="1">
      <c r="A53" s="1151" t="s">
        <v>440</v>
      </c>
      <c r="B53" s="1371" t="s">
        <v>700</v>
      </c>
      <c r="C53" s="316">
        <f ca="1">ROUND(IF(F53="押一",C49/12*F11,IF(F53="押二",C49/12*2*F11,IF(F53="押三",C49/12*3*F11,C54*F11))),0)</f>
        <v>0</v>
      </c>
      <c r="D53" s="1364" t="s">
        <v>2114</v>
      </c>
      <c r="E53" s="313" t="s">
        <v>701</v>
      </c>
      <c r="F53" s="1115"/>
      <c r="I53" s="1437" t="s">
        <v>836</v>
      </c>
      <c r="J53" s="2165">
        <f ca="1">IF(M47="住宅",IF(D1="——",MAX(J51,L48),MAX(J51,L48-'数据-取费表'!B24)),IF(D1="——",MIN(J51,L48),MIN(J51,L48-'数据-取费表'!B24)))</f>
        <v>0</v>
      </c>
      <c r="K53" s="3768" t="s">
        <v>837</v>
      </c>
      <c r="L53" s="3769"/>
      <c r="O53" s="1416" t="s">
        <v>409</v>
      </c>
      <c r="P53" s="1417" t="s">
        <v>838</v>
      </c>
      <c r="Q53" s="1418" t="e">
        <f ca="1">Q47+Q48</f>
        <v>#DIV/0!</v>
      </c>
      <c r="R53" s="1418" t="s">
        <v>410</v>
      </c>
    </row>
    <row r="54" spans="1:18" s="1382" customFormat="1" ht="13.5" thickBot="1">
      <c r="A54" s="1152"/>
      <c r="B54" s="1365" t="s">
        <v>679</v>
      </c>
      <c r="C54" s="958"/>
      <c r="D54" s="1364"/>
      <c r="E54" s="3450"/>
      <c r="F54" s="1438"/>
      <c r="I54" s="1439"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0"/>
      <c r="K54" s="1440"/>
      <c r="L54" s="1440"/>
      <c r="M54" s="1423"/>
      <c r="O54" s="1401" t="s">
        <v>839</v>
      </c>
      <c r="P54" s="1379"/>
      <c r="Q54" s="1379"/>
      <c r="R54" s="1379"/>
    </row>
    <row r="55" spans="1:18" s="1382" customFormat="1" ht="13.5" thickBot="1">
      <c r="A55" s="1082" t="s">
        <v>437</v>
      </c>
      <c r="B55" s="1367" t="s">
        <v>703</v>
      </c>
      <c r="C55" s="1083"/>
      <c r="D55" s="1364"/>
      <c r="E55" s="3450"/>
      <c r="F55" s="1438"/>
      <c r="I55" s="1441" t="s">
        <v>840</v>
      </c>
      <c r="J55" s="1442">
        <f ca="1">ROUND(IF(J47="钢混",J57/J50,1-(1-2%)*(J50-J57)/J50),3)</f>
        <v>0.7</v>
      </c>
      <c r="K55" s="1443" t="s">
        <v>841</v>
      </c>
      <c r="L55" s="1444"/>
      <c r="O55" s="1409" t="s">
        <v>811</v>
      </c>
      <c r="P55" s="1410" t="s">
        <v>812</v>
      </c>
      <c r="Q55" s="1411" t="s">
        <v>813</v>
      </c>
      <c r="R55" s="1411" t="s">
        <v>814</v>
      </c>
    </row>
    <row r="56" spans="1:18" s="1382" customFormat="1" ht="25.5" thickTop="1" thickBot="1">
      <c r="A56" s="956">
        <v>2</v>
      </c>
      <c r="B56" s="957" t="s">
        <v>704</v>
      </c>
      <c r="C56" s="232">
        <f ca="1">C13</f>
        <v>0</v>
      </c>
      <c r="D56" s="1445"/>
      <c r="E56" s="1446"/>
      <c r="F56" s="1438"/>
      <c r="I56" s="1447" t="s">
        <v>842</v>
      </c>
      <c r="J56" s="1448" t="s">
        <v>3399</v>
      </c>
      <c r="K56" s="1419" t="s">
        <v>843</v>
      </c>
      <c r="L56" s="1422" t="str">
        <f ca="1">IF(L48&lt;J51,"——",L48-J53)</f>
        <v>——</v>
      </c>
      <c r="O56" s="1416" t="s">
        <v>403</v>
      </c>
      <c r="P56" s="1417" t="s">
        <v>817</v>
      </c>
      <c r="Q56" s="1418" t="e">
        <f ca="1">C40+J29</f>
        <v>#DIV/0!</v>
      </c>
      <c r="R56" s="1418" t="s">
        <v>818</v>
      </c>
    </row>
    <row r="57" spans="1:18" s="1382" customFormat="1" ht="24.75" thickBot="1">
      <c r="A57" s="1449"/>
      <c r="B57" s="949" t="s">
        <v>767</v>
      </c>
      <c r="C57" s="238">
        <f ca="1">C29</f>
        <v>0</v>
      </c>
      <c r="D57" s="1450"/>
      <c r="E57" s="1451"/>
      <c r="F57" s="1452"/>
      <c r="I57" s="1453" t="s">
        <v>844</v>
      </c>
      <c r="J57" s="1454">
        <f ca="1">IF(OR(M47="住宅",J51&lt;L48,J56="是"),"——",J51-L48)</f>
        <v>42</v>
      </c>
      <c r="K57" s="1419" t="s">
        <v>845</v>
      </c>
      <c r="L57" s="1422" t="str">
        <f ca="1">IF(L48&lt;J51,"——",IF(L55="比较法",L49,IF(L55="基准地价",L50,L51)))</f>
        <v>——</v>
      </c>
      <c r="O57" s="1416" t="s">
        <v>404</v>
      </c>
      <c r="P57" s="1417" t="s">
        <v>846</v>
      </c>
      <c r="Q57" s="1418">
        <f ca="1">L60</f>
        <v>0</v>
      </c>
      <c r="R57" s="1418" t="s">
        <v>847</v>
      </c>
    </row>
    <row r="58" spans="1:18" s="1382" customFormat="1" ht="24.75" thickBot="1">
      <c r="A58" s="315" t="s">
        <v>393</v>
      </c>
      <c r="B58" s="957" t="s">
        <v>714</v>
      </c>
      <c r="C58" s="316">
        <f ca="1">ROUND(C59+C64+C65+C66,0)</f>
        <v>0</v>
      </c>
      <c r="D58" s="959" t="s">
        <v>715</v>
      </c>
      <c r="E58" s="960"/>
      <c r="F58" s="961"/>
      <c r="I58" s="1453" t="s">
        <v>848</v>
      </c>
      <c r="J58" s="1455">
        <f ca="1">IF(J55&lt;0.4,0.4,J55)</f>
        <v>0.7</v>
      </c>
      <c r="K58" s="1432" t="s">
        <v>849</v>
      </c>
      <c r="L58" s="1422" t="e">
        <f ca="1">ROUND(POWER(1+L52,L47-L48)*(POWER(1+L52,L48)-1)/(POWER(1+L52,L47)-1),4)</f>
        <v>#DIV/0!</v>
      </c>
      <c r="O58" s="1426" t="s">
        <v>405</v>
      </c>
      <c r="P58" s="1417" t="s">
        <v>850</v>
      </c>
      <c r="Q58" s="1418">
        <f>IF(L55="比较法",L49,IF(L55="基准地价",L50,0))</f>
        <v>0</v>
      </c>
      <c r="R58" s="1418" t="s">
        <v>818</v>
      </c>
    </row>
    <row r="59" spans="1:18" s="1382" customFormat="1" ht="24.75" thickBot="1">
      <c r="A59" s="981" t="s">
        <v>398</v>
      </c>
      <c r="B59" s="949" t="s">
        <v>719</v>
      </c>
      <c r="C59" s="2313">
        <f ca="1">ROUND(IF(AND(项目基本情况!B11="自然人",项目基本情况!B10="北京市"),C49*F59/(1+'数据-取费表'!C42),C60+C61+C62),0)</f>
        <v>0</v>
      </c>
      <c r="D59" s="962" t="s">
        <v>720</v>
      </c>
      <c r="E59" s="963" t="s">
        <v>721</v>
      </c>
      <c r="F59" s="2312" t="str">
        <f>IF(项目基本情况!B11="企业","——",IF('数据-取费表'!B10="住宅",IF(F49*F50*F51/12/(1+'数据-取费表'!F30)&gt;100000,4%,2.5%),IF(F49*F50*F51/12/(1+'数据-取费表'!F30)&gt;100000,12%,7%)))</f>
        <v>——</v>
      </c>
      <c r="I59" s="1453" t="s">
        <v>851</v>
      </c>
      <c r="J59" s="1454">
        <f ca="1">IF(OR(M47="住宅",J51&lt;L48,J56="是"),"——",ROUND(C29*J58,0))</f>
        <v>0</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#DIV/0!</v>
      </c>
      <c r="M59" s="1378" t="e">
        <f ca="1">ROUND(POWER(1+L52,L47-(J51+'数据-取费表'!B24))*(POWER(1+L52,(J51+'数据-取费表'!B24))-1)/(POWER(1+L52,L47)-1),4)</f>
        <v>#DIV/0!</v>
      </c>
      <c r="N59" s="1378" t="e">
        <f ca="1">ROUND(POWER(1+L52,L47-(J51+'数据-取费表'!B20))*(POWER(1+L52,(J51+'数据-取费表'!B20))-1)/(POWER(1+L52,L47)-1),4)</f>
        <v>#DIV/0!</v>
      </c>
      <c r="O59" s="1426" t="s">
        <v>406</v>
      </c>
      <c r="P59" s="1417" t="s">
        <v>852</v>
      </c>
      <c r="Q59" s="1429">
        <f>L52</f>
        <v>0</v>
      </c>
      <c r="R59" s="1418"/>
    </row>
    <row r="60" spans="1:18" s="1382" customFormat="1" ht="16.5" thickBot="1">
      <c r="A60" s="981" t="s">
        <v>397</v>
      </c>
      <c r="B60" s="949" t="s">
        <v>723</v>
      </c>
      <c r="C60" s="21">
        <f ca="1">IF(项目基本情况!B11="自然人","——",ROUND(C48*F60/(1+'数据-取费表'!C42),2))</f>
        <v>0</v>
      </c>
      <c r="D60" s="963" t="s">
        <v>724</v>
      </c>
      <c r="E60" s="949" t="s">
        <v>712</v>
      </c>
      <c r="F60" s="331">
        <f t="shared" ref="F60:F66" si="0">F32</f>
        <v>5.5000000000000007E-2</v>
      </c>
      <c r="I60" s="1456" t="s">
        <v>853</v>
      </c>
      <c r="J60" s="1457">
        <f ca="1">IF(OR(M47="住宅",J51&lt;L48,J56="是"),"0",ROUND(J59/(1+J52)^J53,0))</f>
        <v>0</v>
      </c>
      <c r="K60" s="1458" t="s">
        <v>854</v>
      </c>
      <c r="L60" s="1457">
        <f ca="1">IF(OR(M47="住宅",L48&lt;J51),0,ROUND(L57*(L58/L59-1),0))</f>
        <v>0</v>
      </c>
      <c r="O60" s="1426" t="s">
        <v>407</v>
      </c>
      <c r="P60" s="1417" t="s">
        <v>855</v>
      </c>
      <c r="Q60" s="1418" t="e">
        <f ca="1">L58</f>
        <v>#DIV/0!</v>
      </c>
      <c r="R60" s="1418" t="s">
        <v>856</v>
      </c>
    </row>
    <row r="61" spans="1:18" s="1382" customFormat="1" ht="13.5" thickBot="1">
      <c r="A61" s="981" t="s">
        <v>781</v>
      </c>
      <c r="B61" s="949" t="s">
        <v>782</v>
      </c>
      <c r="C61" s="21">
        <f ca="1">IF(项目基本情况!B11="自然人","——",IF(D61="按租金收入计税",ROUND(C49*F61/(1+'数据-取费表'!C42),2),IF(D61="按房产原值计税",ROUND(C57*F61*0.7,2),INDIRECT("'数据-取费表'!Aj"&amp;$G$1))))</f>
        <v>0</v>
      </c>
      <c r="D61" s="1368" t="s">
        <v>3337</v>
      </c>
      <c r="E61" s="949" t="s">
        <v>783</v>
      </c>
      <c r="F61" s="322">
        <f t="shared" si="0"/>
        <v>0.12</v>
      </c>
      <c r="I61" s="1459"/>
      <c r="J61" s="1459"/>
      <c r="K61" s="1459"/>
      <c r="L61" s="1459"/>
      <c r="O61" s="1426" t="s">
        <v>408</v>
      </c>
      <c r="P61" s="1417" t="str">
        <f>K59</f>
        <v>建筑物剩余耐用年限下的土地年期修正系数Kn</v>
      </c>
      <c r="Q61" s="1418" t="e">
        <f ca="1">L59</f>
        <v>#DIV/0!</v>
      </c>
      <c r="R61" s="1418" t="s">
        <v>857</v>
      </c>
    </row>
    <row r="62" spans="1:18" s="1382" customFormat="1" ht="13.5" thickBot="1">
      <c r="A62" s="981" t="s">
        <v>784</v>
      </c>
      <c r="B62" s="948" t="s">
        <v>785</v>
      </c>
      <c r="C62" s="22">
        <f ca="1">IF(项目基本情况!B11="自然人","——",ROUND(F62*F63/10000,2))</f>
        <v>0</v>
      </c>
      <c r="D62" s="964" t="s">
        <v>786</v>
      </c>
      <c r="E62" s="949" t="s">
        <v>787</v>
      </c>
      <c r="F62" s="325">
        <f t="shared" si="0"/>
        <v>1.5</v>
      </c>
      <c r="I62" s="1460" t="s">
        <v>858</v>
      </c>
      <c r="J62" s="1461" t="s">
        <v>859</v>
      </c>
      <c r="K62" s="1461" t="s">
        <v>860</v>
      </c>
      <c r="L62" s="1461" t="s">
        <v>861</v>
      </c>
      <c r="M62" s="1462" t="s">
        <v>862</v>
      </c>
      <c r="O62" s="1416" t="s">
        <v>409</v>
      </c>
      <c r="P62" s="1417" t="s">
        <v>863</v>
      </c>
      <c r="Q62" s="1418" t="e">
        <f ca="1">Q56+Q57</f>
        <v>#DIV/0!</v>
      </c>
      <c r="R62" s="1418" t="s">
        <v>410</v>
      </c>
    </row>
    <row r="63" spans="1:18" s="1382" customFormat="1" ht="13.5" thickBot="1">
      <c r="A63" s="326"/>
      <c r="B63" s="955"/>
      <c r="C63" s="26"/>
      <c r="D63" s="965"/>
      <c r="E63" s="949" t="s">
        <v>788</v>
      </c>
      <c r="F63" s="303">
        <f t="shared" ca="1" si="0"/>
        <v>0</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f ca="1">ROUND(C57*F64,2)</f>
        <v>0</v>
      </c>
      <c r="D64" s="963" t="s">
        <v>791</v>
      </c>
      <c r="E64" s="949" t="s">
        <v>783</v>
      </c>
      <c r="F64" s="328">
        <f t="shared" ca="1" si="0"/>
        <v>0</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f ca="1">ROUND(C56*F65,2)</f>
        <v>0</v>
      </c>
      <c r="D65" s="963" t="s">
        <v>743</v>
      </c>
      <c r="E65" s="949" t="s">
        <v>744</v>
      </c>
      <c r="F65" s="330">
        <f t="shared" ca="1" si="0"/>
        <v>0</v>
      </c>
      <c r="I65" s="1460" t="s">
        <v>867</v>
      </c>
      <c r="J65" s="1461">
        <v>40</v>
      </c>
      <c r="K65" s="1461">
        <v>30</v>
      </c>
      <c r="L65" s="1461">
        <v>50</v>
      </c>
      <c r="M65" s="1463">
        <v>0.02</v>
      </c>
      <c r="O65" s="1416" t="s">
        <v>403</v>
      </c>
      <c r="P65" s="1417" t="s">
        <v>868</v>
      </c>
      <c r="Q65" s="1418" t="e">
        <f ca="1">C40+J29</f>
        <v>#DIV/0!</v>
      </c>
      <c r="R65" s="1418" t="s">
        <v>818</v>
      </c>
    </row>
    <row r="66" spans="1:18" s="1382" customFormat="1" ht="16.5" thickBot="1">
      <c r="A66" s="981" t="s">
        <v>793</v>
      </c>
      <c r="B66" s="949" t="s">
        <v>728</v>
      </c>
      <c r="C66" s="21">
        <f ca="1">ROUND(C48*F66,2)</f>
        <v>0</v>
      </c>
      <c r="D66" s="963" t="s">
        <v>794</v>
      </c>
      <c r="E66" s="949" t="s">
        <v>712</v>
      </c>
      <c r="F66" s="312">
        <f t="shared" ca="1" si="0"/>
        <v>0</v>
      </c>
      <c r="O66" s="1416" t="s">
        <v>404</v>
      </c>
      <c r="P66" s="1417" t="s">
        <v>846</v>
      </c>
      <c r="Q66" s="1418">
        <f ca="1">L60</f>
        <v>0</v>
      </c>
      <c r="R66" s="1418" t="s">
        <v>869</v>
      </c>
    </row>
    <row r="67" spans="1:18" s="1382" customFormat="1" ht="16.5" thickBot="1">
      <c r="A67" s="956" t="s">
        <v>394</v>
      </c>
      <c r="B67" s="966" t="s">
        <v>752</v>
      </c>
      <c r="C67" s="316">
        <f ca="1">C48-C58</f>
        <v>0</v>
      </c>
      <c r="D67" s="962" t="s">
        <v>753</v>
      </c>
      <c r="E67" s="967"/>
      <c r="F67" s="968"/>
      <c r="O67" s="1426" t="s">
        <v>405</v>
      </c>
      <c r="P67" s="1417" t="s">
        <v>850</v>
      </c>
      <c r="Q67" s="1464">
        <f ca="1">L51</f>
        <v>0</v>
      </c>
      <c r="R67" s="1418" t="s">
        <v>870</v>
      </c>
    </row>
    <row r="68" spans="1:18" s="1382" customFormat="1" ht="16.5" thickBot="1">
      <c r="A68" s="946" t="s">
        <v>395</v>
      </c>
      <c r="B68" s="947" t="s">
        <v>774</v>
      </c>
      <c r="C68" s="301" t="e">
        <f ca="1">ROUND(C67*(1-((1+F70)/(1+F68))^F69)/(F68-F70),0)</f>
        <v>#DIV/0!</v>
      </c>
      <c r="D68" s="964" t="s">
        <v>758</v>
      </c>
      <c r="E68" s="949" t="s">
        <v>759</v>
      </c>
      <c r="F68" s="312">
        <f ca="1">F40</f>
        <v>0</v>
      </c>
      <c r="O68" s="1426" t="s">
        <v>406</v>
      </c>
      <c r="P68" s="1465" t="s">
        <v>871</v>
      </c>
      <c r="Q68" s="1418">
        <f ca="1">ROUND(Q69-Q70*Q71,0)</f>
        <v>0</v>
      </c>
      <c r="R68" s="1418" t="s">
        <v>414</v>
      </c>
    </row>
    <row r="69" spans="1:18" s="1382" customFormat="1" ht="13.5" thickBot="1">
      <c r="A69" s="950"/>
      <c r="B69" s="951"/>
      <c r="C69" s="306"/>
      <c r="D69" s="969" t="s">
        <v>762</v>
      </c>
      <c r="E69" s="949" t="s">
        <v>763</v>
      </c>
      <c r="F69" s="333">
        <f ca="1">F41</f>
        <v>0</v>
      </c>
      <c r="O69" s="1426" t="s">
        <v>411</v>
      </c>
      <c r="P69" s="1465" t="s">
        <v>872</v>
      </c>
      <c r="Q69" s="1418">
        <f ca="1">C39</f>
        <v>0</v>
      </c>
      <c r="R69" s="1418" t="s">
        <v>818</v>
      </c>
    </row>
    <row r="70" spans="1:18" s="1382" customFormat="1" ht="13.5" thickBot="1">
      <c r="A70" s="953"/>
      <c r="B70" s="954"/>
      <c r="C70" s="310"/>
      <c r="D70" s="965"/>
      <c r="E70" s="949" t="s">
        <v>766</v>
      </c>
      <c r="F70" s="1053"/>
      <c r="O70" s="1426" t="s">
        <v>412</v>
      </c>
      <c r="P70" s="1465" t="s">
        <v>873</v>
      </c>
      <c r="Q70" s="1418">
        <f ca="1">C13</f>
        <v>0</v>
      </c>
      <c r="R70" s="1418" t="s">
        <v>818</v>
      </c>
    </row>
    <row r="71" spans="1:18" s="1382" customFormat="1" ht="13.5" thickBot="1">
      <c r="A71" s="970" t="s">
        <v>396</v>
      </c>
      <c r="B71" s="971" t="s">
        <v>776</v>
      </c>
      <c r="C71" s="336" t="e">
        <f ca="1">ROUND(C68*10000/F71,0)</f>
        <v>#DIV/0!</v>
      </c>
      <c r="D71" s="972" t="s">
        <v>777</v>
      </c>
      <c r="E71" s="973" t="s">
        <v>778</v>
      </c>
      <c r="F71" s="339">
        <f ca="1">F43</f>
        <v>0</v>
      </c>
      <c r="O71" s="1426" t="s">
        <v>413</v>
      </c>
      <c r="P71" s="1465" t="s">
        <v>874</v>
      </c>
      <c r="Q71" s="1429">
        <f ca="1">C76</f>
        <v>0</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#DIV/0!</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#DIV/0!</v>
      </c>
      <c r="R74" s="1418" t="s">
        <v>857</v>
      </c>
    </row>
    <row r="75" spans="1:18" ht="13.5" thickBot="1">
      <c r="A75" s="1382"/>
      <c r="B75" s="340" t="s">
        <v>795</v>
      </c>
      <c r="C75" s="341">
        <f ca="1">ROUND(C13*C76,0)</f>
        <v>0</v>
      </c>
      <c r="D75" s="1382"/>
      <c r="E75" s="1382"/>
      <c r="F75" s="1382"/>
      <c r="K75" s="1400"/>
      <c r="L75" s="1382"/>
      <c r="O75" s="1416" t="s">
        <v>409</v>
      </c>
      <c r="P75" s="1417" t="s">
        <v>838</v>
      </c>
      <c r="Q75" s="1418" t="e">
        <f ca="1">Q65+Q66</f>
        <v>#DIV/0!</v>
      </c>
      <c r="R75" s="1418" t="s">
        <v>410</v>
      </c>
    </row>
    <row r="76" spans="1:18">
      <c r="B76" s="342" t="s">
        <v>796</v>
      </c>
      <c r="C76" s="343">
        <f ca="1">INDIRECT("'数据-取费表'!j"&amp;$G$1)</f>
        <v>0</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#DIV/0!</v>
      </c>
    </row>
    <row r="80" spans="1:18">
      <c r="B80" s="340" t="s">
        <v>800</v>
      </c>
      <c r="C80" s="274" t="e">
        <f ca="1">ROUND(C75/C39,3)</f>
        <v>#DIV/0!</v>
      </c>
    </row>
    <row r="81" spans="2:3">
      <c r="B81" s="270" t="s">
        <v>801</v>
      </c>
      <c r="C81" s="238"/>
    </row>
    <row r="82" spans="2:3">
      <c r="B82" s="273" t="s">
        <v>802</v>
      </c>
      <c r="C82" s="275" t="e">
        <f ca="1">1-C83</f>
        <v>#DIV/0!</v>
      </c>
    </row>
    <row r="83" spans="2:3">
      <c r="B83" s="273" t="s">
        <v>803</v>
      </c>
      <c r="C83" s="274" t="e">
        <f ca="1">ROUND(C13/C40,3)</f>
        <v>#DIV/0!</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J35" sqref="J35"/>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6" customWidth="1"/>
    <col min="12" max="12" width="16.375" style="258" customWidth="1"/>
    <col min="13" max="13" width="13" style="258" customWidth="1"/>
    <col min="14" max="14" width="13.75" style="1382" customWidth="1"/>
    <col min="15" max="15" width="5.125" style="1382" customWidth="1"/>
    <col min="16" max="16" width="25.75" style="1382" customWidth="1"/>
    <col min="17" max="17" width="13.75" style="1382" customWidth="1"/>
    <col min="18" max="18" width="20.5" style="1382" customWidth="1"/>
    <col min="19" max="19" width="13.25" style="1382" customWidth="1"/>
    <col min="20" max="37" width="9" style="1382"/>
    <col min="38" max="16384" width="9" style="258"/>
  </cols>
  <sheetData>
    <row r="1" spans="1:37" s="293" customFormat="1" ht="21">
      <c r="A1" s="1373" t="s">
        <v>877</v>
      </c>
      <c r="B1" s="712"/>
      <c r="C1" s="1377" t="s">
        <v>3335</v>
      </c>
      <c r="D1" s="1360" t="s">
        <v>43</v>
      </c>
      <c r="E1" s="1361" t="s">
        <v>678</v>
      </c>
      <c r="F1" s="1061" t="e">
        <f ca="1">J53</f>
        <v>#N/A</v>
      </c>
      <c r="G1" s="1376" t="e">
        <f>MATCH(C1,'数据-取费表'!A6:A16,0)+5</f>
        <v>#N/A</v>
      </c>
      <c r="H1" s="2689"/>
      <c r="I1" s="2690"/>
      <c r="J1" s="2690"/>
      <c r="K1" s="2691"/>
      <c r="L1" s="2690"/>
      <c r="M1" s="2690"/>
      <c r="N1" s="723"/>
      <c r="O1" s="723"/>
      <c r="P1" s="723"/>
      <c r="Q1" s="723"/>
      <c r="R1" s="723"/>
      <c r="S1" s="723"/>
      <c r="T1" s="723"/>
      <c r="U1" s="723"/>
      <c r="V1" s="723"/>
      <c r="W1" s="723"/>
      <c r="X1" s="723"/>
      <c r="Y1" s="723"/>
      <c r="Z1" s="723"/>
      <c r="AA1" s="723"/>
      <c r="AB1" s="723"/>
      <c r="AC1" s="723"/>
      <c r="AD1" s="723"/>
      <c r="AE1" s="723"/>
      <c r="AF1" s="723"/>
      <c r="AG1" s="723"/>
      <c r="AH1" s="723"/>
      <c r="AI1" s="723"/>
      <c r="AJ1" s="723"/>
      <c r="AK1" s="723"/>
    </row>
    <row r="2" spans="1:37" ht="18" customHeight="1">
      <c r="A2" s="1383" t="s">
        <v>804</v>
      </c>
      <c r="B2" s="1384" t="e">
        <f ca="1">C40+J29+L46</f>
        <v>#N/A</v>
      </c>
      <c r="C2" s="1385" t="s">
        <v>805</v>
      </c>
      <c r="D2" s="1385"/>
      <c r="E2" s="1386"/>
      <c r="F2" s="1387"/>
      <c r="G2" s="2703"/>
      <c r="H2" s="2692"/>
      <c r="I2" s="2692"/>
      <c r="J2" s="2692"/>
      <c r="K2" s="2693"/>
      <c r="L2" s="2692"/>
      <c r="M2" s="2692"/>
    </row>
    <row r="3" spans="1:37" ht="18" customHeight="1" thickBot="1">
      <c r="A3" s="1388" t="s">
        <v>806</v>
      </c>
      <c r="B3" s="1389">
        <f ca="1">IF(ISERROR(B2*10000/F43),0,ROUND(B2*10000/F43,0))</f>
        <v>0</v>
      </c>
      <c r="C3" s="1385" t="s">
        <v>807</v>
      </c>
      <c r="D3" s="1385"/>
      <c r="E3" s="1386"/>
      <c r="F3" s="1387"/>
      <c r="G3" s="2703"/>
      <c r="H3" s="682" t="s">
        <v>876</v>
      </c>
      <c r="I3" s="1380"/>
      <c r="J3" s="1380"/>
      <c r="K3" s="1381"/>
      <c r="L3" s="1380"/>
      <c r="M3" s="1380"/>
    </row>
    <row r="4" spans="1:37" ht="18" customHeight="1">
      <c r="A4" s="295" t="s">
        <v>687</v>
      </c>
      <c r="B4" s="296" t="s">
        <v>688</v>
      </c>
      <c r="C4" s="296" t="s">
        <v>689</v>
      </c>
      <c r="D4" s="296" t="s">
        <v>690</v>
      </c>
      <c r="E4" s="297" t="s">
        <v>691</v>
      </c>
      <c r="F4" s="298"/>
      <c r="G4" s="1382"/>
      <c r="H4" s="295" t="s">
        <v>687</v>
      </c>
      <c r="I4" s="296" t="s">
        <v>688</v>
      </c>
      <c r="J4" s="296" t="s">
        <v>689</v>
      </c>
      <c r="K4" s="296" t="s">
        <v>690</v>
      </c>
      <c r="L4" s="297" t="s">
        <v>691</v>
      </c>
      <c r="M4" s="298"/>
    </row>
    <row r="5" spans="1:37" ht="18" customHeight="1">
      <c r="A5" s="299">
        <v>1</v>
      </c>
      <c r="B5" s="300" t="s">
        <v>692</v>
      </c>
      <c r="C5" s="1069" t="e">
        <f ca="1">C6+C10+C12</f>
        <v>#N/A</v>
      </c>
      <c r="D5" s="1362" t="s">
        <v>693</v>
      </c>
      <c r="E5" s="1070"/>
      <c r="F5" s="1071"/>
      <c r="G5" s="1382"/>
      <c r="H5" s="299">
        <v>1</v>
      </c>
      <c r="I5" s="300" t="s">
        <v>692</v>
      </c>
      <c r="J5" s="1069" t="e">
        <f ca="1">J6+J10+J12</f>
        <v>#N/A</v>
      </c>
      <c r="K5" s="1362" t="s">
        <v>693</v>
      </c>
      <c r="L5" s="1070"/>
      <c r="M5" s="1071"/>
    </row>
    <row r="6" spans="1:37" ht="18" customHeight="1">
      <c r="A6" s="1068" t="s">
        <v>398</v>
      </c>
      <c r="B6" s="3765" t="s">
        <v>694</v>
      </c>
      <c r="C6" s="1073" t="e">
        <f ca="1">ROUND(F6*F8*F7*(1-F9)/10000,0)</f>
        <v>#N/A</v>
      </c>
      <c r="D6" s="155" t="s">
        <v>2107</v>
      </c>
      <c r="E6" s="302" t="s">
        <v>696</v>
      </c>
      <c r="F6" s="303" t="e">
        <f ca="1">INDIRECT("'数据-取费表'!u"&amp;$G$1)</f>
        <v>#N/A</v>
      </c>
      <c r="G6" s="1382"/>
      <c r="H6" s="1068" t="s">
        <v>398</v>
      </c>
      <c r="I6" s="3765" t="s">
        <v>694</v>
      </c>
      <c r="J6" s="301" t="e">
        <f ca="1">ROUND(M6*M8*M7*(1-M9)/10000,0)</f>
        <v>#N/A</v>
      </c>
      <c r="K6" s="155" t="s">
        <v>2106</v>
      </c>
      <c r="L6" s="302" t="s">
        <v>696</v>
      </c>
      <c r="M6" s="303" t="e">
        <f ca="1">INDIRECT("'数据-取费表'!z"&amp;$G$1)</f>
        <v>#N/A</v>
      </c>
    </row>
    <row r="7" spans="1:37" ht="18" customHeight="1">
      <c r="A7" s="1072"/>
      <c r="B7" s="3766"/>
      <c r="C7" s="1074"/>
      <c r="D7" s="307"/>
      <c r="E7" s="3449" t="s">
        <v>697</v>
      </c>
      <c r="F7" s="303" t="e">
        <f ca="1">IF(INDIRECT("'数据-取费表'!ah"&amp;$G$1)="",INDIRECT("'数据-取费表'!k"&amp;$G$1),INDIRECT("'数据-取费表'!ah"&amp;$G$1))</f>
        <v>#N/A</v>
      </c>
      <c r="G7" s="1382"/>
      <c r="H7" s="304"/>
      <c r="I7" s="3766"/>
      <c r="J7" s="306"/>
      <c r="K7" s="307"/>
      <c r="L7" s="302" t="s">
        <v>697</v>
      </c>
      <c r="M7" s="303" t="e">
        <f ca="1">F7</f>
        <v>#N/A</v>
      </c>
    </row>
    <row r="8" spans="1:37" ht="18" customHeight="1">
      <c r="A8" s="304"/>
      <c r="B8" s="3766"/>
      <c r="C8" s="306"/>
      <c r="D8" s="307"/>
      <c r="E8" s="302" t="s">
        <v>698</v>
      </c>
      <c r="F8" s="303" t="e">
        <f ca="1">INDIRECT("'数据-取费表'!ai"&amp;$G$1)</f>
        <v>#N/A</v>
      </c>
      <c r="G8" s="1382"/>
      <c r="H8" s="304"/>
      <c r="I8" s="3766"/>
      <c r="J8" s="306"/>
      <c r="K8" s="307"/>
      <c r="L8" s="302" t="s">
        <v>698</v>
      </c>
      <c r="M8" s="303" t="e">
        <f ca="1">INDIRECT("'数据-取费表'!ai"&amp;$G$1)</f>
        <v>#N/A</v>
      </c>
    </row>
    <row r="9" spans="1:37" ht="18" customHeight="1">
      <c r="A9" s="304"/>
      <c r="B9" s="3767"/>
      <c r="C9" s="306"/>
      <c r="D9" s="307"/>
      <c r="E9" s="302" t="s">
        <v>699</v>
      </c>
      <c r="F9" s="312" t="e">
        <f ca="1">INDIRECT("'数据-取费表'!w"&amp;$G$1)</f>
        <v>#N/A</v>
      </c>
      <c r="G9" s="1382"/>
      <c r="H9" s="304"/>
      <c r="I9" s="3767"/>
      <c r="J9" s="306"/>
      <c r="K9" s="307"/>
      <c r="L9" s="313" t="s">
        <v>699</v>
      </c>
      <c r="M9" s="314" t="e">
        <f ca="1">INDIRECT("'数据-取费表'!ab"&amp;$G$1)</f>
        <v>#N/A</v>
      </c>
    </row>
    <row r="10" spans="1:37" ht="18" customHeight="1">
      <c r="A10" s="1068" t="s">
        <v>402</v>
      </c>
      <c r="B10" s="1363" t="s">
        <v>700</v>
      </c>
      <c r="C10" s="316" t="e">
        <f ca="1">ROUND(IF(F10="押一",C6/12*F11,IF(F10="押二",C6/12*2*F11,IF(F10="押三",C6/12*3*F11,C11*F11))),0)</f>
        <v>#N/A</v>
      </c>
      <c r="D10" s="1364" t="s">
        <v>2114</v>
      </c>
      <c r="E10" s="313" t="s">
        <v>701</v>
      </c>
      <c r="F10" s="1115" t="s">
        <v>3396</v>
      </c>
      <c r="G10" s="1382"/>
      <c r="H10" s="1068" t="s">
        <v>402</v>
      </c>
      <c r="I10" s="1363" t="s">
        <v>700</v>
      </c>
      <c r="J10" s="301">
        <f ca="1">ROUND(IF(M10="押一",J6/12*M11,IF(M10="押二",J6/12*2*M11,IF(M10="押三",J6/12*3*M11,J11*M11))),0)</f>
        <v>0</v>
      </c>
      <c r="K10" s="1364" t="s">
        <v>2114</v>
      </c>
      <c r="L10" s="313" t="s">
        <v>701</v>
      </c>
      <c r="M10" s="1115"/>
    </row>
    <row r="11" spans="1:37" ht="18" customHeight="1">
      <c r="A11" s="308"/>
      <c r="B11" s="1365" t="s">
        <v>679</v>
      </c>
      <c r="C11" s="958"/>
      <c r="D11" s="1366"/>
      <c r="E11" s="313" t="s">
        <v>702</v>
      </c>
      <c r="F11" s="314">
        <f ca="1">'数据-取费表'!B39</f>
        <v>1.4999999999999999E-2</v>
      </c>
      <c r="G11" s="1382"/>
      <c r="H11" s="1076"/>
      <c r="I11" s="1365" t="s">
        <v>679</v>
      </c>
      <c r="J11" s="958"/>
      <c r="K11" s="683"/>
      <c r="L11" s="313" t="s">
        <v>702</v>
      </c>
      <c r="M11" s="861">
        <f ca="1">'数据-取费表'!B39</f>
        <v>1.4999999999999999E-2</v>
      </c>
    </row>
    <row r="12" spans="1:37" ht="18" customHeight="1" thickBot="1">
      <c r="A12" s="1082" t="s">
        <v>437</v>
      </c>
      <c r="B12" s="1367" t="s">
        <v>703</v>
      </c>
      <c r="C12" s="1083"/>
      <c r="D12" s="1084"/>
      <c r="E12" s="1089"/>
      <c r="F12" s="1085"/>
      <c r="G12" s="1382"/>
      <c r="H12" s="1082" t="s">
        <v>437</v>
      </c>
      <c r="I12" s="1367" t="s">
        <v>703</v>
      </c>
      <c r="J12" s="1083"/>
      <c r="K12" s="1097"/>
      <c r="L12" s="1089"/>
      <c r="M12" s="1098"/>
    </row>
    <row r="13" spans="1:37" ht="18" customHeight="1" thickTop="1">
      <c r="A13" s="1078">
        <v>2</v>
      </c>
      <c r="B13" s="1079" t="s">
        <v>704</v>
      </c>
      <c r="C13" s="310" t="e">
        <f ca="1">ROUND(C29*F13,0)</f>
        <v>#N/A</v>
      </c>
      <c r="D13" s="3446" t="s">
        <v>705</v>
      </c>
      <c r="E13" s="3446" t="s">
        <v>706</v>
      </c>
      <c r="F13" s="1081" t="e">
        <f ca="1">INDIRECT("'数据-取费表'!y"&amp;$G$1)</f>
        <v>#N/A</v>
      </c>
      <c r="G13" s="1382"/>
      <c r="H13" s="1078">
        <v>2</v>
      </c>
      <c r="I13" s="1079" t="s">
        <v>704</v>
      </c>
      <c r="J13" s="1067" t="e">
        <f ca="1">ROUND(J14*J15,0)</f>
        <v>#N/A</v>
      </c>
      <c r="K13" s="1086" t="s">
        <v>705</v>
      </c>
      <c r="L13" s="1390"/>
      <c r="M13" s="1391"/>
    </row>
    <row r="14" spans="1:37" ht="18" customHeight="1">
      <c r="A14" s="981" t="s">
        <v>397</v>
      </c>
      <c r="B14" s="302" t="s">
        <v>707</v>
      </c>
      <c r="C14" s="318" t="e">
        <f ca="1">INDIRECT("'数据-取费表'!m"&amp;$G$1)+INDIRECT("'数据-取费表'!t"&amp;$G$1)</f>
        <v>#N/A</v>
      </c>
      <c r="D14" s="3452" t="s">
        <v>708</v>
      </c>
      <c r="E14" s="3451"/>
      <c r="F14" s="319"/>
      <c r="G14" s="1382"/>
      <c r="H14" s="981" t="s">
        <v>398</v>
      </c>
      <c r="I14" s="302" t="s">
        <v>709</v>
      </c>
      <c r="J14" s="21" t="e">
        <f ca="1">C29</f>
        <v>#N/A</v>
      </c>
      <c r="K14" s="3448"/>
      <c r="L14" s="806"/>
      <c r="M14" s="807"/>
    </row>
    <row r="15" spans="1:37" s="1395" customFormat="1" ht="18" customHeight="1" thickBot="1">
      <c r="A15" s="981" t="s">
        <v>399</v>
      </c>
      <c r="B15" s="302" t="s">
        <v>710</v>
      </c>
      <c r="C15" s="21" t="e">
        <f ca="1">ROUND(C14*F15,0)</f>
        <v>#N/A</v>
      </c>
      <c r="D15" s="3447" t="s">
        <v>711</v>
      </c>
      <c r="E15" s="3447" t="s">
        <v>712</v>
      </c>
      <c r="F15" s="321">
        <f>'数据-取费表'!B33</f>
        <v>0.03</v>
      </c>
      <c r="G15" s="1394"/>
      <c r="H15" s="1088" t="s">
        <v>402</v>
      </c>
      <c r="I15" s="1089" t="s">
        <v>706</v>
      </c>
      <c r="J15" s="1098" t="e">
        <f ca="1">INDIRECT("'数据-取费表'!ad"&amp;$G$1)</f>
        <v>#N/A</v>
      </c>
      <c r="K15" s="1099"/>
      <c r="L15" s="1392"/>
      <c r="M15" s="1393"/>
      <c r="N15" s="1394"/>
      <c r="O15" s="1394"/>
      <c r="P15" s="1394"/>
      <c r="Q15" s="1394"/>
      <c r="R15" s="1394"/>
      <c r="S15" s="1394"/>
      <c r="T15" s="1394"/>
      <c r="U15" s="1394"/>
      <c r="V15" s="1394"/>
      <c r="W15" s="1394"/>
      <c r="X15" s="1394"/>
      <c r="Y15" s="1394"/>
      <c r="Z15" s="1394"/>
      <c r="AA15" s="1394"/>
      <c r="AB15" s="1394"/>
      <c r="AC15" s="1394"/>
      <c r="AD15" s="1394"/>
      <c r="AE15" s="1394"/>
      <c r="AF15" s="1394"/>
      <c r="AG15" s="1394"/>
      <c r="AH15" s="1394"/>
      <c r="AI15" s="1394"/>
      <c r="AJ15" s="1394"/>
      <c r="AK15" s="1394"/>
    </row>
    <row r="16" spans="1:37" ht="18" customHeight="1" thickTop="1">
      <c r="A16" s="981" t="s">
        <v>680</v>
      </c>
      <c r="B16" s="302" t="s">
        <v>713</v>
      </c>
      <c r="C16" s="21" t="e">
        <f ca="1">ROUND(INDIRECT("'数据-取费表'!m"&amp;$G$1)*F16,0)</f>
        <v>#N/A</v>
      </c>
      <c r="D16" s="302" t="s">
        <v>711</v>
      </c>
      <c r="E16" s="302" t="s">
        <v>712</v>
      </c>
      <c r="F16" s="322" t="e">
        <f ca="1">IF(INDIRECT("'数据-取费表'!c"&amp;$G$1)="住宅",'数据-取费表'!B34,0)</f>
        <v>#N/A</v>
      </c>
      <c r="G16" s="1382"/>
      <c r="H16" s="1078" t="s">
        <v>393</v>
      </c>
      <c r="I16" s="1079" t="s">
        <v>714</v>
      </c>
      <c r="J16" s="310" t="e">
        <f ca="1">ROUND(J17+J22+J23+J24,0)</f>
        <v>#N/A</v>
      </c>
      <c r="K16" s="1086" t="s">
        <v>715</v>
      </c>
      <c r="L16" s="3454"/>
      <c r="M16" s="1071"/>
    </row>
    <row r="17" spans="1:37" s="1395" customFormat="1" ht="18" customHeight="1">
      <c r="A17" s="981" t="s">
        <v>681</v>
      </c>
      <c r="B17" s="302" t="s">
        <v>716</v>
      </c>
      <c r="C17" s="21" t="e">
        <f ca="1">ROUND(F17*(F43+INDIRECT("'数据-取费表'!S"&amp;$G$1))/10000,0)</f>
        <v>#N/A</v>
      </c>
      <c r="D17" s="302" t="s">
        <v>717</v>
      </c>
      <c r="E17" s="302" t="s">
        <v>718</v>
      </c>
      <c r="F17" s="23">
        <f>'数据-取费表'!B35</f>
        <v>200</v>
      </c>
      <c r="G17" s="1394"/>
      <c r="H17" s="981" t="s">
        <v>398</v>
      </c>
      <c r="I17" s="302" t="s">
        <v>719</v>
      </c>
      <c r="J17" s="2313" t="e">
        <f ca="1">ROUND(IF(AND(项目基本情况!B11="自然人",项目基本情况!B10="北京市"),J6*M17/(1+'数据-取费表'!C42),J18+J19+J20),2)</f>
        <v>#N/A</v>
      </c>
      <c r="K17" s="3452" t="s">
        <v>720</v>
      </c>
      <c r="L17" s="3453" t="s">
        <v>721</v>
      </c>
      <c r="M17" s="2312" t="str">
        <f>IF(项目基本情况!B11="企业","",IF('数据-取费表'!B10="住宅",IF(M6*M7*M8/12/(1+'数据-取费表'!F30)&gt;100000,4%,2.5%),IF(M6*M7*M8/12/(1+'数据-取费表'!F30)&gt;100000,12%,7%)))</f>
        <v/>
      </c>
      <c r="N17" s="1394"/>
      <c r="O17" s="1394"/>
      <c r="P17" s="1394"/>
      <c r="Q17" s="1394"/>
      <c r="R17" s="1394"/>
      <c r="S17" s="1394"/>
      <c r="T17" s="1394"/>
      <c r="U17" s="1394"/>
      <c r="V17" s="1394"/>
      <c r="W17" s="1394"/>
      <c r="X17" s="1394"/>
      <c r="Y17" s="1394"/>
      <c r="Z17" s="1394"/>
      <c r="AA17" s="1394"/>
      <c r="AB17" s="1394"/>
      <c r="AC17" s="1394"/>
      <c r="AD17" s="1394"/>
      <c r="AE17" s="1394"/>
      <c r="AF17" s="1394"/>
      <c r="AG17" s="1394"/>
      <c r="AH17" s="1394"/>
      <c r="AI17" s="1394"/>
      <c r="AJ17" s="1394"/>
      <c r="AK17" s="1394"/>
    </row>
    <row r="18" spans="1:37" s="1395" customFormat="1" ht="18" customHeight="1">
      <c r="A18" s="981" t="s">
        <v>682</v>
      </c>
      <c r="B18" s="302" t="s">
        <v>722</v>
      </c>
      <c r="C18" s="21" t="e">
        <f ca="1">ROUND(C14*F18,0)</f>
        <v>#N/A</v>
      </c>
      <c r="D18" s="302" t="s">
        <v>711</v>
      </c>
      <c r="E18" s="302" t="s">
        <v>712</v>
      </c>
      <c r="F18" s="322">
        <f>'数据-取费表'!B36</f>
        <v>1.4999999999999999E-2</v>
      </c>
      <c r="G18" s="1394"/>
      <c r="H18" s="981" t="s">
        <v>397</v>
      </c>
      <c r="I18" s="302" t="s">
        <v>723</v>
      </c>
      <c r="J18" s="21" t="e">
        <f ca="1">ROUND(J6*M18/(1+'数据-取费表'!C42),2)</f>
        <v>#N/A</v>
      </c>
      <c r="K18" s="3453" t="s">
        <v>724</v>
      </c>
      <c r="L18" s="302" t="s">
        <v>712</v>
      </c>
      <c r="M18" s="322">
        <f>'数据-取费表'!B41</f>
        <v>5.5000000000000007E-2</v>
      </c>
      <c r="N18" s="1394"/>
      <c r="O18" s="1394"/>
      <c r="P18" s="1394"/>
      <c r="Q18" s="1394"/>
      <c r="R18" s="1394"/>
      <c r="S18" s="1394"/>
      <c r="T18" s="1394"/>
      <c r="U18" s="1394"/>
      <c r="V18" s="1394"/>
      <c r="W18" s="1394"/>
      <c r="X18" s="1394"/>
      <c r="Y18" s="1394"/>
      <c r="Z18" s="1394"/>
      <c r="AA18" s="1394"/>
      <c r="AB18" s="1394"/>
      <c r="AC18" s="1394"/>
      <c r="AD18" s="1394"/>
      <c r="AE18" s="1394"/>
      <c r="AF18" s="1394"/>
      <c r="AG18" s="1394"/>
      <c r="AH18" s="1394"/>
      <c r="AI18" s="1394"/>
      <c r="AJ18" s="1394"/>
      <c r="AK18" s="1394"/>
    </row>
    <row r="19" spans="1:37" ht="18" customHeight="1">
      <c r="A19" s="981" t="s">
        <v>398</v>
      </c>
      <c r="B19" s="302" t="s">
        <v>725</v>
      </c>
      <c r="C19" s="21" t="e">
        <f ca="1">SUM(C14:C18)</f>
        <v>#N/A</v>
      </c>
      <c r="D19" s="131" t="s">
        <v>726</v>
      </c>
      <c r="E19" s="3456"/>
      <c r="F19" s="23"/>
      <c r="G19" s="1382"/>
      <c r="H19" s="981" t="s">
        <v>399</v>
      </c>
      <c r="I19" s="302" t="s">
        <v>727</v>
      </c>
      <c r="J19" s="21" t="e">
        <f ca="1">IF(K19="按租金收入计税",ROUND(J6*M19/(1+'数据-取费表'!C42),2),ROUND(C29*M19*0.7,2))</f>
        <v>#N/A</v>
      </c>
      <c r="K19" s="1368" t="s">
        <v>3337</v>
      </c>
      <c r="L19" s="302" t="s">
        <v>712</v>
      </c>
      <c r="M19" s="322">
        <f>IF(K19="按租金收入计税",'数据-取费表'!B51,'数据-取费表'!B50)</f>
        <v>0.12</v>
      </c>
    </row>
    <row r="20" spans="1:37" s="1395" customFormat="1" ht="18" customHeight="1">
      <c r="A20" s="981" t="s">
        <v>402</v>
      </c>
      <c r="B20" s="302" t="s">
        <v>728</v>
      </c>
      <c r="C20" s="21" t="e">
        <f ca="1">ROUND(C19*F20,0)</f>
        <v>#N/A</v>
      </c>
      <c r="D20" s="2425" t="s">
        <v>729</v>
      </c>
      <c r="E20" s="302" t="s">
        <v>712</v>
      </c>
      <c r="F20" s="322">
        <f>'数据-取费表'!B37</f>
        <v>0.02</v>
      </c>
      <c r="G20" s="1394"/>
      <c r="H20" s="981" t="s">
        <v>680</v>
      </c>
      <c r="I20" s="155" t="s">
        <v>730</v>
      </c>
      <c r="J20" s="22" t="e">
        <f ca="1">ROUND(M20*M21/10000,2)</f>
        <v>#N/A</v>
      </c>
      <c r="K20" s="324" t="s">
        <v>731</v>
      </c>
      <c r="L20" s="302" t="s">
        <v>732</v>
      </c>
      <c r="M20" s="325">
        <f>'数据-取费表'!B52</f>
        <v>1.5</v>
      </c>
      <c r="N20" s="1394"/>
      <c r="O20" s="1394"/>
      <c r="P20" s="1394"/>
      <c r="Q20" s="1394"/>
      <c r="R20" s="1394"/>
      <c r="S20" s="1394"/>
      <c r="T20" s="1394"/>
      <c r="U20" s="1394"/>
      <c r="V20" s="1394"/>
      <c r="W20" s="1394"/>
      <c r="X20" s="1394"/>
      <c r="Y20" s="1394"/>
      <c r="Z20" s="1394"/>
      <c r="AA20" s="1394"/>
      <c r="AB20" s="1394"/>
      <c r="AC20" s="1394"/>
      <c r="AD20" s="1394"/>
      <c r="AE20" s="1394"/>
      <c r="AF20" s="1394"/>
      <c r="AG20" s="1394"/>
      <c r="AH20" s="1394"/>
      <c r="AI20" s="1394"/>
      <c r="AJ20" s="1394"/>
      <c r="AK20" s="1394"/>
    </row>
    <row r="21" spans="1:37" s="1395" customFormat="1" ht="18" customHeight="1">
      <c r="A21" s="981" t="s">
        <v>437</v>
      </c>
      <c r="B21" s="302" t="s">
        <v>733</v>
      </c>
      <c r="C21" s="21" t="s">
        <v>15</v>
      </c>
      <c r="D21" s="2425" t="s">
        <v>734</v>
      </c>
      <c r="E21" s="302" t="s">
        <v>735</v>
      </c>
      <c r="F21" s="322">
        <f>'数据-取费表'!B38</f>
        <v>0.02</v>
      </c>
      <c r="G21" s="1394"/>
      <c r="H21" s="326"/>
      <c r="I21" s="311"/>
      <c r="J21" s="26"/>
      <c r="K21" s="327"/>
      <c r="L21" s="302" t="s">
        <v>736</v>
      </c>
      <c r="M21" s="303" t="e">
        <f ca="1">INDIRECT("'数据-取费表'!r"&amp;$G$1)</f>
        <v>#N/A</v>
      </c>
      <c r="N21" s="1394"/>
      <c r="O21" s="1394"/>
      <c r="P21" s="1394"/>
      <c r="Q21" s="1394"/>
      <c r="R21" s="1394"/>
      <c r="S21" s="1394"/>
      <c r="T21" s="1394"/>
      <c r="U21" s="1394"/>
      <c r="V21" s="1394"/>
      <c r="W21" s="1394"/>
      <c r="X21" s="1394"/>
      <c r="Y21" s="1394"/>
      <c r="Z21" s="1394"/>
      <c r="AA21" s="1394"/>
      <c r="AB21" s="1394"/>
      <c r="AC21" s="1394"/>
      <c r="AD21" s="1394"/>
      <c r="AE21" s="1394"/>
      <c r="AF21" s="1394"/>
      <c r="AG21" s="1394"/>
      <c r="AH21" s="1394"/>
      <c r="AI21" s="1394"/>
      <c r="AJ21" s="1394"/>
      <c r="AK21" s="1394"/>
    </row>
    <row r="22" spans="1:37" ht="18" customHeight="1">
      <c r="A22" s="981" t="s">
        <v>683</v>
      </c>
      <c r="B22" s="302" t="s">
        <v>737</v>
      </c>
      <c r="C22" s="21"/>
      <c r="D22" s="131" t="str">
        <f>IF(F23&lt;=1,"单利计息。","复利计息。")&amp;"建造成本、管理费用、销售费用产生的利息。"</f>
        <v>复利计息。建造成本、管理费用、销售费用产生的利息。</v>
      </c>
      <c r="E22" s="3456"/>
      <c r="F22" s="23"/>
      <c r="G22" s="1382"/>
      <c r="H22" s="981" t="s">
        <v>402</v>
      </c>
      <c r="I22" s="302" t="s">
        <v>738</v>
      </c>
      <c r="J22" s="21" t="e">
        <f ca="1">ROUND(J14*M22,2)</f>
        <v>#N/A</v>
      </c>
      <c r="K22" s="3453" t="s">
        <v>739</v>
      </c>
      <c r="L22" s="302" t="s">
        <v>712</v>
      </c>
      <c r="M22" s="328" t="e">
        <f ca="1">INDIRECT("'数据-取费表'!Ak"&amp;$G$1)</f>
        <v>#N/A</v>
      </c>
    </row>
    <row r="23" spans="1:37" s="1395" customFormat="1" ht="18" customHeight="1">
      <c r="A23" s="981" t="s">
        <v>397</v>
      </c>
      <c r="B23" s="302" t="s">
        <v>740</v>
      </c>
      <c r="C23" s="21" t="e">
        <f ca="1">IF('数据-取费表'!B22&lt;=1,ROUND(C19*F24*F23/2,0)+ROUND(C20*F24*F23/2,0),ROUND(C19*(POWER((1+F24),F23/2)-1),0)+ROUND(C20*(POWER((1+F24),F23/2)-1),0))</f>
        <v>#N/A</v>
      </c>
      <c r="D23" s="329" t="str">
        <f>IF(F23&lt;=1,"(建造成本+管理费用)×利率×(建设周期÷2)","(建造成本+管理费用)×((1+利率)^(建设周期÷2)-1)")</f>
        <v>(建造成本+管理费用)×((1+利率)^(建设周期÷2)-1)</v>
      </c>
      <c r="E23" s="302" t="s">
        <v>741</v>
      </c>
      <c r="F23" s="325">
        <f>'数据-取费表'!B20</f>
        <v>2</v>
      </c>
      <c r="G23" s="1394"/>
      <c r="H23" s="981" t="s">
        <v>437</v>
      </c>
      <c r="I23" s="302" t="s">
        <v>742</v>
      </c>
      <c r="J23" s="21" t="e">
        <f ca="1">ROUND(J13*M23,2)</f>
        <v>#N/A</v>
      </c>
      <c r="K23" s="3453" t="s">
        <v>743</v>
      </c>
      <c r="L23" s="302" t="s">
        <v>744</v>
      </c>
      <c r="M23" s="330" t="e">
        <f ca="1">INDIRECT("'数据-取费表'!Al"&amp;$G$1)</f>
        <v>#N/A</v>
      </c>
      <c r="N23" s="1394"/>
      <c r="O23" s="1394"/>
      <c r="P23" s="1394"/>
      <c r="Q23" s="1394"/>
      <c r="R23" s="1394"/>
      <c r="S23" s="1394"/>
      <c r="T23" s="1394"/>
      <c r="U23" s="1394"/>
      <c r="V23" s="1394"/>
      <c r="W23" s="1394"/>
      <c r="X23" s="1394"/>
      <c r="Y23" s="1394"/>
      <c r="Z23" s="1394"/>
      <c r="AA23" s="1394"/>
      <c r="AB23" s="1394"/>
      <c r="AC23" s="1394"/>
      <c r="AD23" s="1394"/>
      <c r="AE23" s="1394"/>
      <c r="AF23" s="1394"/>
      <c r="AG23" s="1394"/>
      <c r="AH23" s="1394"/>
      <c r="AI23" s="1394"/>
      <c r="AJ23" s="1394"/>
      <c r="AK23" s="1394"/>
    </row>
    <row r="24" spans="1:37" s="1395" customFormat="1" ht="18" customHeight="1" thickBot="1">
      <c r="A24" s="981"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4"/>
      <c r="H24" s="1088" t="s">
        <v>684</v>
      </c>
      <c r="I24" s="1089" t="s">
        <v>728</v>
      </c>
      <c r="J24" s="1090" t="e">
        <f ca="1">ROUND(J5*M24,2)</f>
        <v>#N/A</v>
      </c>
      <c r="K24" s="1091" t="s">
        <v>748</v>
      </c>
      <c r="L24" s="1089" t="s">
        <v>744</v>
      </c>
      <c r="M24" s="1085" t="e">
        <f ca="1">INDIRECT("'数据-取费表'!Am"&amp;$G$1)</f>
        <v>#N/A</v>
      </c>
      <c r="N24" s="1394"/>
      <c r="O24" s="1394"/>
      <c r="P24" s="1394"/>
      <c r="Q24" s="1394"/>
      <c r="R24" s="1394"/>
      <c r="S24" s="1394"/>
      <c r="T24" s="1394"/>
      <c r="U24" s="1394"/>
      <c r="V24" s="1394"/>
      <c r="W24" s="1394"/>
      <c r="X24" s="1394"/>
      <c r="Y24" s="1394"/>
      <c r="Z24" s="1394"/>
      <c r="AA24" s="1394"/>
      <c r="AB24" s="1394"/>
      <c r="AC24" s="1394"/>
      <c r="AD24" s="1394"/>
      <c r="AE24" s="1394"/>
      <c r="AF24" s="1394"/>
      <c r="AG24" s="1394"/>
      <c r="AH24" s="1394"/>
      <c r="AI24" s="1394"/>
      <c r="AJ24" s="1394"/>
      <c r="AK24" s="1394"/>
    </row>
    <row r="25" spans="1:37" ht="24" customHeight="1" thickTop="1">
      <c r="A25" s="981" t="s">
        <v>749</v>
      </c>
      <c r="B25" s="302" t="s">
        <v>750</v>
      </c>
      <c r="C25" s="21"/>
      <c r="D25" s="131" t="s">
        <v>751</v>
      </c>
      <c r="E25" s="3456"/>
      <c r="F25" s="23"/>
      <c r="G25" s="1382"/>
      <c r="H25" s="1078" t="s">
        <v>394</v>
      </c>
      <c r="I25" s="1093" t="s">
        <v>752</v>
      </c>
      <c r="J25" s="310" t="e">
        <f ca="1">J5-J16</f>
        <v>#N/A</v>
      </c>
      <c r="K25" s="1094" t="s">
        <v>753</v>
      </c>
      <c r="L25" s="1095"/>
      <c r="M25" s="1096"/>
    </row>
    <row r="26" spans="1:37">
      <c r="A26" s="981" t="s">
        <v>397</v>
      </c>
      <c r="B26" s="302" t="s">
        <v>754</v>
      </c>
      <c r="C26" s="21" t="e">
        <f ca="1">ROUND((C19+C20)*F26,0)</f>
        <v>#N/A</v>
      </c>
      <c r="D26" s="2425" t="s">
        <v>755</v>
      </c>
      <c r="E26" s="313" t="s">
        <v>756</v>
      </c>
      <c r="F26" s="312" t="e">
        <f ca="1">INDIRECT("'数据-取费表'!q"&amp;$G$1)</f>
        <v>#N/A</v>
      </c>
      <c r="G26" s="1382"/>
      <c r="H26" s="299" t="s">
        <v>395</v>
      </c>
      <c r="I26" s="300" t="s">
        <v>757</v>
      </c>
      <c r="J26" s="301" t="e">
        <f ca="1">IF(J5&lt;&gt;0,ROUND(J25*(1-((1+M28)/(1+M26))^M27)/(M26-M28),0),0)</f>
        <v>#N/A</v>
      </c>
      <c r="K26" s="324" t="s">
        <v>758</v>
      </c>
      <c r="L26" s="302" t="s">
        <v>759</v>
      </c>
      <c r="M26" s="312" t="e">
        <f ca="1">INDIRECT("'数据-取费表'!I"&amp;$G$1)</f>
        <v>#N/A</v>
      </c>
    </row>
    <row r="27" spans="1:37" ht="18" customHeight="1">
      <c r="A27" s="981" t="s">
        <v>399</v>
      </c>
      <c r="B27" s="302" t="s">
        <v>760</v>
      </c>
      <c r="C27" s="21" t="e">
        <f ca="1">ROUND(F21*F26,4)</f>
        <v>#N/A</v>
      </c>
      <c r="D27" s="2425" t="s">
        <v>761</v>
      </c>
      <c r="E27" s="3447"/>
      <c r="F27" s="321"/>
      <c r="G27" s="1382"/>
      <c r="H27" s="304"/>
      <c r="I27" s="305"/>
      <c r="J27" s="306"/>
      <c r="K27" s="332" t="s">
        <v>762</v>
      </c>
      <c r="L27" s="302" t="s">
        <v>763</v>
      </c>
      <c r="M27" s="333" t="e">
        <f ca="1">INDIRECT("'数据-取费表'!ag"&amp;$G$1)</f>
        <v>#N/A</v>
      </c>
    </row>
    <row r="28" spans="1:37" s="1395" customFormat="1" ht="18" customHeight="1">
      <c r="A28" s="981" t="s">
        <v>400</v>
      </c>
      <c r="B28" s="302" t="s">
        <v>764</v>
      </c>
      <c r="C28" s="21">
        <f>ROUND(F28/(1+'数据-取费表'!C42),4)</f>
        <v>5.2400000000000002E-2</v>
      </c>
      <c r="D28" s="2425" t="s">
        <v>765</v>
      </c>
      <c r="E28" s="302" t="s">
        <v>712</v>
      </c>
      <c r="F28" s="322">
        <f>'数据-取费表'!B41</f>
        <v>5.5000000000000007E-2</v>
      </c>
      <c r="G28" s="1394"/>
      <c r="H28" s="308"/>
      <c r="I28" s="309"/>
      <c r="J28" s="310"/>
      <c r="K28" s="327"/>
      <c r="L28" s="302" t="s">
        <v>766</v>
      </c>
      <c r="M28" s="312" t="e">
        <f ca="1">INDIRECT("'数据-取费表'!aa"&amp;$G$1)</f>
        <v>#N/A</v>
      </c>
      <c r="N28" s="1394"/>
      <c r="O28" s="1394"/>
      <c r="P28" s="1394"/>
      <c r="Q28" s="1394"/>
      <c r="R28" s="1394"/>
      <c r="S28" s="1394"/>
      <c r="T28" s="1394"/>
      <c r="U28" s="1394"/>
      <c r="V28" s="1394"/>
      <c r="W28" s="1394"/>
      <c r="X28" s="1394"/>
      <c r="Y28" s="1394"/>
      <c r="Z28" s="1394"/>
      <c r="AA28" s="1394"/>
      <c r="AB28" s="1394"/>
      <c r="AC28" s="1394"/>
      <c r="AD28" s="1394"/>
      <c r="AE28" s="1394"/>
      <c r="AF28" s="1394"/>
      <c r="AG28" s="1394"/>
      <c r="AH28" s="1394"/>
      <c r="AI28" s="1394"/>
      <c r="AJ28" s="1394"/>
      <c r="AK28" s="1394"/>
    </row>
    <row r="29" spans="1:37" s="1395" customFormat="1" ht="18" customHeight="1" thickBot="1">
      <c r="A29" s="1088" t="s">
        <v>401</v>
      </c>
      <c r="B29" s="1089" t="s">
        <v>767</v>
      </c>
      <c r="C29" s="1090" t="e">
        <f ca="1">ROUND((C19+C20+C23+C26)/(1-F21-C24-C27-C28),0)</f>
        <v>#N/A</v>
      </c>
      <c r="D29" s="1091"/>
      <c r="E29" s="1089"/>
      <c r="F29" s="1092"/>
      <c r="G29" s="1394"/>
      <c r="H29" s="334" t="s">
        <v>396</v>
      </c>
      <c r="I29" s="335" t="s">
        <v>768</v>
      </c>
      <c r="J29" s="336" t="e">
        <f ca="1">ROUND(J26/(1+F40)^F41,0)</f>
        <v>#N/A</v>
      </c>
      <c r="K29" s="337" t="s">
        <v>769</v>
      </c>
      <c r="L29" s="338"/>
      <c r="M29" s="339" t="e">
        <f ca="1">INDIRECT("'数据-取费表'!k"&amp;$G$1)</f>
        <v>#N/A</v>
      </c>
      <c r="N29" s="1394"/>
      <c r="O29" s="1394"/>
      <c r="P29" s="1394"/>
      <c r="Q29" s="1394"/>
      <c r="R29" s="1394"/>
      <c r="S29" s="1394"/>
      <c r="T29" s="1394"/>
      <c r="U29" s="1394"/>
      <c r="V29" s="1394"/>
      <c r="W29" s="1394"/>
      <c r="X29" s="1394"/>
      <c r="Y29" s="1394"/>
      <c r="Z29" s="1394"/>
      <c r="AA29" s="1394"/>
      <c r="AB29" s="1394"/>
      <c r="AC29" s="1394"/>
      <c r="AD29" s="1394"/>
      <c r="AE29" s="1394"/>
      <c r="AF29" s="1394"/>
      <c r="AG29" s="1394"/>
      <c r="AH29" s="1394"/>
      <c r="AI29" s="1394"/>
      <c r="AJ29" s="1394"/>
      <c r="AK29" s="1394"/>
    </row>
    <row r="30" spans="1:37" ht="18" customHeight="1" thickTop="1">
      <c r="A30" s="1078" t="s">
        <v>393</v>
      </c>
      <c r="B30" s="1079" t="s">
        <v>714</v>
      </c>
      <c r="C30" s="310" t="e">
        <f ca="1">ROUND(C31+C36+C37+C38,0)</f>
        <v>#N/A</v>
      </c>
      <c r="D30" s="1086" t="s">
        <v>715</v>
      </c>
      <c r="E30" s="3454"/>
      <c r="F30" s="1071"/>
      <c r="G30" s="1382"/>
      <c r="H30" s="2694"/>
      <c r="I30" s="1396"/>
      <c r="J30" s="1397"/>
      <c r="K30" s="2472"/>
      <c r="L30" s="2695"/>
      <c r="M30" s="2696"/>
    </row>
    <row r="31" spans="1:37" ht="18" customHeight="1">
      <c r="A31" s="981" t="s">
        <v>398</v>
      </c>
      <c r="B31" s="302" t="s">
        <v>719</v>
      </c>
      <c r="C31" s="2313" t="e">
        <f ca="1">ROUND(IF(AND(项目基本情况!B11="自然人",项目基本情况!B10="北京市"),C6*F31/(1+'数据-取费表'!C42),C32+C33+C34),2)</f>
        <v>#N/A</v>
      </c>
      <c r="D31" s="3452" t="s">
        <v>720</v>
      </c>
      <c r="E31" s="3453" t="s">
        <v>770</v>
      </c>
      <c r="F31" s="2312" t="str">
        <f>IF(项目基本情况!B11="企业","——",IF(M47="住宅",IF(F6*F7*F8/12/(1+'数据-取费表'!F30)&gt;100000,4%,2.5%),IF(F6*F7*F8/12/(1+'数据-取费表'!F30)&gt;100000,12%,7%)))</f>
        <v>——</v>
      </c>
      <c r="G31" s="1382"/>
      <c r="H31" s="2804" t="s">
        <v>2308</v>
      </c>
      <c r="I31" s="1396"/>
      <c r="J31" s="1397"/>
      <c r="K31" s="2472"/>
      <c r="L31" s="2695"/>
      <c r="M31" s="2696"/>
    </row>
    <row r="32" spans="1:37" ht="18" customHeight="1">
      <c r="A32" s="981" t="s">
        <v>397</v>
      </c>
      <c r="B32" s="302" t="s">
        <v>723</v>
      </c>
      <c r="C32" s="21" t="e">
        <f ca="1">IF(项目基本情况!B11="自然人","——",ROUND(C6*F32/(1+'数据-取费表'!C42),2))</f>
        <v>#N/A</v>
      </c>
      <c r="D32" s="3453" t="s">
        <v>724</v>
      </c>
      <c r="E32" s="302" t="s">
        <v>712</v>
      </c>
      <c r="F32" s="331">
        <f>'数据-取费表'!B41</f>
        <v>5.5000000000000007E-2</v>
      </c>
      <c r="G32" s="1382"/>
      <c r="H32" s="2694"/>
      <c r="I32" s="1396"/>
      <c r="J32" s="1397"/>
      <c r="K32" s="2472"/>
      <c r="L32" s="2695"/>
      <c r="M32" s="2696"/>
    </row>
    <row r="33" spans="1:18" ht="18" customHeight="1">
      <c r="A33" s="981" t="s">
        <v>399</v>
      </c>
      <c r="B33" s="302" t="s">
        <v>727</v>
      </c>
      <c r="C33" s="21" t="e">
        <f ca="1">IF(项目基本情况!B11="自然人","——",IF(D33="按租金收入计税",ROUND(C6*F33/(1+'数据-取费表'!C42),2),IF(D33="按房产原值计税",ROUND(C29*F33*0.7,2),INDIRECT("'数据-取费表'!Aj"&amp;$G$1))))</f>
        <v>#N/A</v>
      </c>
      <c r="D33" s="1368" t="s">
        <v>3337</v>
      </c>
      <c r="E33" s="302" t="s">
        <v>712</v>
      </c>
      <c r="F33" s="322">
        <f>IF(D33="按票据","——",IF(D33="按租金收入计税",'数据-取费表'!B51,'数据-取费表'!B50))</f>
        <v>0.12</v>
      </c>
      <c r="G33" s="1382"/>
      <c r="H33" s="2697"/>
      <c r="I33" s="1396"/>
      <c r="J33" s="1397"/>
      <c r="K33" s="2698"/>
      <c r="L33" s="2697"/>
      <c r="M33" s="2697"/>
    </row>
    <row r="34" spans="1:18" ht="18" customHeight="1">
      <c r="A34" s="1068" t="s">
        <v>680</v>
      </c>
      <c r="B34" s="155" t="s">
        <v>730</v>
      </c>
      <c r="C34" s="22" t="e">
        <f ca="1">IF(项目基本情况!B11="自然人","——",ROUND(F34*F35/10000,2))</f>
        <v>#N/A</v>
      </c>
      <c r="D34" s="324" t="s">
        <v>731</v>
      </c>
      <c r="E34" s="302" t="s">
        <v>732</v>
      </c>
      <c r="F34" s="325">
        <f>'数据-取费表'!B52</f>
        <v>1.5</v>
      </c>
      <c r="G34" s="1382"/>
      <c r="H34" s="2694"/>
      <c r="I34" s="1396"/>
      <c r="J34" s="1397"/>
      <c r="K34" s="2699"/>
      <c r="L34" s="2700"/>
      <c r="M34" s="2700"/>
    </row>
    <row r="35" spans="1:18" ht="18" customHeight="1">
      <c r="A35" s="1102"/>
      <c r="B35" s="1100"/>
      <c r="C35" s="26"/>
      <c r="D35" s="327"/>
      <c r="E35" s="302" t="s">
        <v>736</v>
      </c>
      <c r="F35" s="303" t="e">
        <f ca="1">INDIRECT("'数据-取费表'!r"&amp;$G$1)</f>
        <v>#N/A</v>
      </c>
      <c r="G35" s="1382"/>
      <c r="H35" s="2694"/>
      <c r="I35" s="1396"/>
      <c r="J35" s="1397"/>
      <c r="K35" s="2698"/>
      <c r="L35" s="2697"/>
      <c r="M35" s="2697"/>
    </row>
    <row r="36" spans="1:18" ht="18" customHeight="1">
      <c r="A36" s="1101" t="s">
        <v>402</v>
      </c>
      <c r="B36" s="302" t="s">
        <v>738</v>
      </c>
      <c r="C36" s="21" t="e">
        <f ca="1">ROUND(C29*F36,2)</f>
        <v>#N/A</v>
      </c>
      <c r="D36" s="3453" t="s">
        <v>771</v>
      </c>
      <c r="E36" s="302" t="s">
        <v>712</v>
      </c>
      <c r="F36" s="328" t="e">
        <f ca="1">INDIRECT("'数据-取费表'!Ak"&amp;$G$1)</f>
        <v>#N/A</v>
      </c>
      <c r="G36" s="1382"/>
      <c r="H36" s="2697"/>
      <c r="I36" s="1396"/>
      <c r="J36" s="1397"/>
      <c r="K36" s="2541"/>
      <c r="L36" s="2697"/>
      <c r="M36" s="2697"/>
    </row>
    <row r="37" spans="1:18" ht="18" customHeight="1">
      <c r="A37" s="981" t="s">
        <v>437</v>
      </c>
      <c r="B37" s="302" t="s">
        <v>742</v>
      </c>
      <c r="C37" s="21" t="e">
        <f ca="1">ROUND(C13*F37,2)</f>
        <v>#N/A</v>
      </c>
      <c r="D37" s="3453" t="s">
        <v>743</v>
      </c>
      <c r="E37" s="302" t="s">
        <v>744</v>
      </c>
      <c r="F37" s="330" t="e">
        <f ca="1">INDIRECT("'数据-取费表'!Al"&amp;$G$1)</f>
        <v>#N/A</v>
      </c>
      <c r="G37" s="1382"/>
      <c r="H37" s="2697"/>
      <c r="I37" s="1396"/>
      <c r="J37" s="1397"/>
      <c r="K37" s="2541"/>
      <c r="L37" s="2697"/>
      <c r="M37" s="2697"/>
    </row>
    <row r="38" spans="1:18" ht="18" customHeight="1" thickBot="1">
      <c r="A38" s="1088" t="s">
        <v>684</v>
      </c>
      <c r="B38" s="1089" t="s">
        <v>728</v>
      </c>
      <c r="C38" s="1090" t="e">
        <f ca="1">ROUND(C5*F38,2)</f>
        <v>#N/A</v>
      </c>
      <c r="D38" s="1091" t="s">
        <v>748</v>
      </c>
      <c r="E38" s="1089" t="s">
        <v>744</v>
      </c>
      <c r="F38" s="1085" t="e">
        <f ca="1">INDIRECT("'数据-取费表'!Am"&amp;$G$1)</f>
        <v>#N/A</v>
      </c>
      <c r="G38" s="1382"/>
      <c r="H38" s="2697"/>
      <c r="I38" s="1396"/>
      <c r="J38" s="1397"/>
      <c r="K38" s="2701"/>
      <c r="L38" s="2697"/>
      <c r="M38" s="2697"/>
    </row>
    <row r="39" spans="1:18" ht="24.6" customHeight="1" thickTop="1">
      <c r="A39" s="1078" t="s">
        <v>394</v>
      </c>
      <c r="B39" s="1093" t="s">
        <v>772</v>
      </c>
      <c r="C39" s="310" t="e">
        <f ca="1">C5-C30</f>
        <v>#N/A</v>
      </c>
      <c r="D39" s="1094" t="s">
        <v>773</v>
      </c>
      <c r="E39" s="1095"/>
      <c r="F39" s="1096"/>
      <c r="G39" s="1382"/>
      <c r="H39" s="2697"/>
      <c r="I39" s="1396"/>
      <c r="J39" s="1397"/>
      <c r="K39" s="2701"/>
      <c r="L39" s="2697"/>
      <c r="M39" s="2697"/>
    </row>
    <row r="40" spans="1:18" ht="18" customHeight="1">
      <c r="A40" s="299" t="s">
        <v>395</v>
      </c>
      <c r="B40" s="300" t="s">
        <v>774</v>
      </c>
      <c r="C40" s="301" t="e">
        <f ca="1">ROUND(C39*(1-((1+F42)/(1+F40))^F41)/(F40-F42),0)</f>
        <v>#N/A</v>
      </c>
      <c r="D40" s="324" t="s">
        <v>758</v>
      </c>
      <c r="E40" s="302" t="s">
        <v>759</v>
      </c>
      <c r="F40" s="312" t="e">
        <f ca="1">INDIRECT("'数据-取费表'!I"&amp;$G$1)</f>
        <v>#N/A</v>
      </c>
      <c r="G40" s="1382"/>
      <c r="H40" s="1459"/>
      <c r="I40" s="1396"/>
      <c r="J40" s="1397"/>
      <c r="K40" s="2701"/>
      <c r="L40" s="1459"/>
      <c r="M40" s="1459"/>
    </row>
    <row r="41" spans="1:18" ht="18" customHeight="1">
      <c r="A41" s="304"/>
      <c r="B41" s="305"/>
      <c r="C41" s="306"/>
      <c r="D41" s="332" t="s">
        <v>775</v>
      </c>
      <c r="E41" s="302" t="s">
        <v>763</v>
      </c>
      <c r="F41" s="333" t="e">
        <f ca="1">IF(INDIRECT("'数据-取费表'!af"&amp;$G$1)=0,INDIRECT("'数据-取费表'!ae"&amp;$G$1),INDIRECT("'数据-取费表'!af"&amp;$G$1))</f>
        <v>#N/A</v>
      </c>
      <c r="G41" s="1382"/>
      <c r="H41" s="1189"/>
      <c r="I41" s="1396"/>
      <c r="J41" s="1397"/>
      <c r="K41" s="2541"/>
      <c r="L41" s="1189"/>
      <c r="M41" s="1189"/>
    </row>
    <row r="42" spans="1:18" ht="18" customHeight="1">
      <c r="A42" s="308"/>
      <c r="B42" s="309"/>
      <c r="C42" s="310"/>
      <c r="D42" s="327"/>
      <c r="E42" s="302" t="s">
        <v>766</v>
      </c>
      <c r="F42" s="312" t="e">
        <f ca="1">INDIRECT("'数据-取费表'!v"&amp;$G$1)</f>
        <v>#N/A</v>
      </c>
      <c r="G42" s="1382"/>
      <c r="H42" s="1189"/>
      <c r="I42" s="1396"/>
      <c r="J42" s="1397"/>
      <c r="K42" s="2541"/>
      <c r="L42" s="1189"/>
      <c r="M42" s="1189"/>
    </row>
    <row r="43" spans="1:18" ht="18" customHeight="1" thickBot="1">
      <c r="A43" s="334" t="s">
        <v>396</v>
      </c>
      <c r="B43" s="335" t="s">
        <v>776</v>
      </c>
      <c r="C43" s="336" t="e">
        <f ca="1">ROUND(C40*10000/F43,0)</f>
        <v>#N/A</v>
      </c>
      <c r="D43" s="337" t="s">
        <v>777</v>
      </c>
      <c r="E43" s="338" t="s">
        <v>778</v>
      </c>
      <c r="F43" s="339" t="e">
        <f ca="1">INDIRECT("'数据-取费表'!k"&amp;$G$1)</f>
        <v>#N/A</v>
      </c>
      <c r="G43" s="1382"/>
      <c r="H43" s="1189"/>
      <c r="I43" s="1189"/>
      <c r="J43" s="1189"/>
      <c r="K43" s="2541"/>
      <c r="L43" s="1189"/>
      <c r="M43" s="1189"/>
    </row>
    <row r="44" spans="1:18" s="1382" customFormat="1" ht="18" customHeight="1">
      <c r="A44" s="1398"/>
      <c r="B44" s="1398"/>
      <c r="C44" s="1399"/>
      <c r="D44" s="1398"/>
      <c r="E44" s="1398"/>
      <c r="F44" s="1398"/>
      <c r="K44" s="1400"/>
    </row>
    <row r="45" spans="1:18" s="1382" customFormat="1" ht="18" customHeight="1" thickBot="1">
      <c r="A45" s="1398"/>
      <c r="B45" s="1398"/>
      <c r="C45" s="1399"/>
      <c r="D45" s="1398"/>
      <c r="E45" s="1398"/>
      <c r="F45" s="1398"/>
      <c r="J45" s="725"/>
      <c r="O45" s="2702" t="s">
        <v>808</v>
      </c>
      <c r="P45" s="1459"/>
      <c r="Q45" s="1459"/>
      <c r="R45" s="1459"/>
    </row>
    <row r="46" spans="1:18" s="1382" customFormat="1" ht="13.5" thickBot="1">
      <c r="A46" s="1402" t="s">
        <v>809</v>
      </c>
      <c r="C46" s="1403" t="e">
        <f ca="1">C68-C40</f>
        <v>#N/A</v>
      </c>
      <c r="D46" s="1404" t="str">
        <f>C2</f>
        <v>万元</v>
      </c>
      <c r="E46" s="1398"/>
      <c r="F46" s="1398"/>
      <c r="I46" s="1405" t="s">
        <v>810</v>
      </c>
      <c r="J46" s="1406"/>
      <c r="K46" s="1407"/>
      <c r="L46" s="1408" t="e">
        <f ca="1">IF(M47="住宅",0,IF(L48&gt;J51,L60,J60))</f>
        <v>#N/A</v>
      </c>
      <c r="O46" s="1409" t="s">
        <v>811</v>
      </c>
      <c r="P46" s="1410" t="s">
        <v>812</v>
      </c>
      <c r="Q46" s="1411" t="s">
        <v>813</v>
      </c>
      <c r="R46" s="1411" t="s">
        <v>814</v>
      </c>
    </row>
    <row r="47" spans="1:18" s="1382" customFormat="1" ht="13.5" thickBot="1">
      <c r="A47" s="945" t="s">
        <v>687</v>
      </c>
      <c r="B47" s="977" t="s">
        <v>688</v>
      </c>
      <c r="C47" s="1116" t="s">
        <v>689</v>
      </c>
      <c r="D47" s="977" t="s">
        <v>690</v>
      </c>
      <c r="E47" s="1057" t="s">
        <v>691</v>
      </c>
      <c r="F47" s="1058"/>
      <c r="G47" s="721"/>
      <c r="I47" s="1412" t="s">
        <v>815</v>
      </c>
      <c r="J47" s="1413" t="s">
        <v>3397</v>
      </c>
      <c r="K47" s="1414" t="s">
        <v>816</v>
      </c>
      <c r="L47" s="1415" t="e">
        <f ca="1">INDIRECT("'数据-取费表'!d"&amp;$G$1)</f>
        <v>#N/A</v>
      </c>
      <c r="M47" s="1378" t="str">
        <f>IF(ISNUMBER(FIND("住宅",C1)),"住宅","非住宅")</f>
        <v>非住宅</v>
      </c>
      <c r="O47" s="1416" t="s">
        <v>403</v>
      </c>
      <c r="P47" s="1417" t="s">
        <v>817</v>
      </c>
      <c r="Q47" s="1418" t="e">
        <f ca="1">C40+J29</f>
        <v>#N/A</v>
      </c>
      <c r="R47" s="1418" t="s">
        <v>818</v>
      </c>
    </row>
    <row r="48" spans="1:18" s="1382" customFormat="1" ht="28.5" thickBot="1">
      <c r="A48" s="1109" t="s">
        <v>438</v>
      </c>
      <c r="B48" s="300" t="s">
        <v>692</v>
      </c>
      <c r="C48" s="3455" t="e">
        <f ca="1">C49+C53+C55</f>
        <v>#N/A</v>
      </c>
      <c r="D48" s="1111"/>
      <c r="E48" s="1112"/>
      <c r="F48" s="961"/>
      <c r="G48" s="721"/>
      <c r="H48" s="722"/>
      <c r="I48" s="1419" t="s">
        <v>819</v>
      </c>
      <c r="J48" s="1420" t="s">
        <v>3398</v>
      </c>
      <c r="K48" s="1421" t="s">
        <v>820</v>
      </c>
      <c r="L48" s="1422" t="e">
        <f ca="1">INDIRECT("'数据-取费表'!f"&amp;$G$1)</f>
        <v>#N/A</v>
      </c>
      <c r="O48" s="1416" t="s">
        <v>404</v>
      </c>
      <c r="P48" s="1417" t="s">
        <v>821</v>
      </c>
      <c r="Q48" s="1418" t="e">
        <f ca="1">J60</f>
        <v>#N/A</v>
      </c>
      <c r="R48" s="1418" t="s">
        <v>822</v>
      </c>
    </row>
    <row r="49" spans="1:18" s="1382" customFormat="1" ht="13.5" thickBot="1">
      <c r="A49" s="974" t="s">
        <v>439</v>
      </c>
      <c r="B49" s="1369" t="s">
        <v>779</v>
      </c>
      <c r="C49" s="1113" t="e">
        <f ca="1">ROUND(F49*F51*F50*(1-F52)/10000,0)</f>
        <v>#N/A</v>
      </c>
      <c r="D49" s="1054" t="s">
        <v>2106</v>
      </c>
      <c r="E49" s="1370" t="s">
        <v>780</v>
      </c>
      <c r="F49" s="1059"/>
      <c r="G49" s="1423"/>
      <c r="H49" s="722"/>
      <c r="I49" s="1419" t="s">
        <v>823</v>
      </c>
      <c r="J49" s="1424">
        <v>2005</v>
      </c>
      <c r="K49" s="1421" t="s">
        <v>824</v>
      </c>
      <c r="L49" s="1425"/>
      <c r="O49" s="1426" t="s">
        <v>405</v>
      </c>
      <c r="P49" s="1417" t="s">
        <v>825</v>
      </c>
      <c r="Q49" s="1418" t="e">
        <f ca="1">C29</f>
        <v>#N/A</v>
      </c>
      <c r="R49" s="1418" t="s">
        <v>818</v>
      </c>
    </row>
    <row r="50" spans="1:18" s="1382" customFormat="1" ht="13.5" thickBot="1">
      <c r="A50" s="975"/>
      <c r="B50" s="978"/>
      <c r="C50" s="1117"/>
      <c r="D50" s="952"/>
      <c r="E50" s="1055" t="s">
        <v>697</v>
      </c>
      <c r="F50" s="1056" t="e">
        <f ca="1">F7</f>
        <v>#N/A</v>
      </c>
      <c r="H50" s="722"/>
      <c r="I50" s="1419" t="s">
        <v>826</v>
      </c>
      <c r="J50" s="1427">
        <f>SUMPRODUCT((I63:I65=J47)*(J62:L62=J48)*(J63:L65))</f>
        <v>60</v>
      </c>
      <c r="K50" s="1421" t="s">
        <v>827</v>
      </c>
      <c r="L50" s="1425"/>
      <c r="M50" s="1428"/>
      <c r="O50" s="1426" t="s">
        <v>406</v>
      </c>
      <c r="P50" s="1417" t="s">
        <v>828</v>
      </c>
      <c r="Q50" s="1429" t="e">
        <f ca="1">J58</f>
        <v>#N/A</v>
      </c>
      <c r="R50" s="1418"/>
    </row>
    <row r="51" spans="1:18" s="1382" customFormat="1" ht="13.5" thickBot="1">
      <c r="A51" s="976"/>
      <c r="B51" s="978"/>
      <c r="C51" s="979"/>
      <c r="D51" s="952"/>
      <c r="E51" s="980" t="s">
        <v>698</v>
      </c>
      <c r="F51" s="303" t="e">
        <f ca="1">F8</f>
        <v>#N/A</v>
      </c>
      <c r="I51" s="1430" t="s">
        <v>829</v>
      </c>
      <c r="J51" s="1431">
        <f>IF(J49="",J50,J49+J50-YEAR('数据-取费表'!B2))</f>
        <v>42</v>
      </c>
      <c r="K51" s="1432" t="s">
        <v>830</v>
      </c>
      <c r="L51" s="1433" t="e">
        <f ca="1">ROUND(-PV(INDIRECT("'数据-取费表'!h"&amp;$G$1),J51,(C39-C13*C76),0),0)</f>
        <v>#N/A</v>
      </c>
      <c r="M51" s="1434"/>
      <c r="O51" s="1426" t="s">
        <v>407</v>
      </c>
      <c r="P51" s="1417" t="s">
        <v>831</v>
      </c>
      <c r="Q51" s="1429">
        <f>J52</f>
        <v>0.08</v>
      </c>
      <c r="R51" s="1418"/>
    </row>
    <row r="52" spans="1:18" s="1382" customFormat="1" ht="13.5" thickBot="1">
      <c r="A52" s="976"/>
      <c r="B52" s="978"/>
      <c r="C52" s="979"/>
      <c r="D52" s="952"/>
      <c r="E52" s="980" t="s">
        <v>699</v>
      </c>
      <c r="F52" s="1053"/>
      <c r="I52" s="1435" t="s">
        <v>832</v>
      </c>
      <c r="J52" s="1436">
        <v>0.08</v>
      </c>
      <c r="K52" s="1435" t="s">
        <v>833</v>
      </c>
      <c r="L52" s="1436"/>
      <c r="O52" s="1426" t="s">
        <v>408</v>
      </c>
      <c r="P52" s="1417" t="s">
        <v>834</v>
      </c>
      <c r="Q52" s="1418" t="e">
        <f ca="1">J53</f>
        <v>#N/A</v>
      </c>
      <c r="R52" s="1418" t="s">
        <v>835</v>
      </c>
    </row>
    <row r="53" spans="1:18" s="1382" customFormat="1" ht="24.75" thickBot="1">
      <c r="A53" s="1151" t="s">
        <v>440</v>
      </c>
      <c r="B53" s="1371" t="s">
        <v>700</v>
      </c>
      <c r="C53" s="316">
        <f ca="1">ROUND(IF(F53="押一",C49/12*F11,IF(F53="押二",C49/12*2*F11,IF(F53="押三",C49/12*3*F11,C54*F11))),0)</f>
        <v>0</v>
      </c>
      <c r="D53" s="1364" t="s">
        <v>2114</v>
      </c>
      <c r="E53" s="313" t="s">
        <v>701</v>
      </c>
      <c r="F53" s="1115"/>
      <c r="I53" s="1437" t="s">
        <v>836</v>
      </c>
      <c r="J53" s="2165" t="e">
        <f ca="1">IF(M47="住宅",IF(D1="——",MAX(J51,L48),MAX(J51,L48-'数据-取费表'!B24)),IF(D1="——",MIN(J51,L48),MIN(J51,L48-'数据-取费表'!B24)))</f>
        <v>#N/A</v>
      </c>
      <c r="K53" s="3768" t="s">
        <v>837</v>
      </c>
      <c r="L53" s="3769"/>
      <c r="O53" s="1416" t="s">
        <v>409</v>
      </c>
      <c r="P53" s="1417" t="s">
        <v>838</v>
      </c>
      <c r="Q53" s="1418" t="e">
        <f ca="1">Q47+Q48</f>
        <v>#N/A</v>
      </c>
      <c r="R53" s="1418" t="s">
        <v>410</v>
      </c>
    </row>
    <row r="54" spans="1:18" s="1382" customFormat="1" ht="13.5" thickBot="1">
      <c r="A54" s="1152"/>
      <c r="B54" s="1365" t="s">
        <v>679</v>
      </c>
      <c r="C54" s="958"/>
      <c r="D54" s="1364"/>
      <c r="E54" s="3450"/>
      <c r="F54" s="1438"/>
      <c r="I54" s="1439"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440"/>
      <c r="K54" s="1440"/>
      <c r="L54" s="1440"/>
      <c r="M54" s="1423"/>
      <c r="O54" s="1401" t="s">
        <v>839</v>
      </c>
      <c r="P54" s="1379"/>
      <c r="Q54" s="1379"/>
      <c r="R54" s="1379"/>
    </row>
    <row r="55" spans="1:18" s="1382" customFormat="1" ht="13.5" thickBot="1">
      <c r="A55" s="1082" t="s">
        <v>437</v>
      </c>
      <c r="B55" s="1367" t="s">
        <v>703</v>
      </c>
      <c r="C55" s="1083"/>
      <c r="D55" s="1364"/>
      <c r="E55" s="3450"/>
      <c r="F55" s="1438"/>
      <c r="I55" s="1441" t="s">
        <v>840</v>
      </c>
      <c r="J55" s="1442" t="e">
        <f ca="1">ROUND(IF(J47="钢混",J57/J50,1-(1-2%)*(J50-J57)/J50),3)</f>
        <v>#N/A</v>
      </c>
      <c r="K55" s="1443" t="s">
        <v>841</v>
      </c>
      <c r="L55" s="1444"/>
      <c r="O55" s="1409" t="s">
        <v>811</v>
      </c>
      <c r="P55" s="1410" t="s">
        <v>812</v>
      </c>
      <c r="Q55" s="1411" t="s">
        <v>813</v>
      </c>
      <c r="R55" s="1411" t="s">
        <v>814</v>
      </c>
    </row>
    <row r="56" spans="1:18" s="1382" customFormat="1" ht="25.5" thickTop="1" thickBot="1">
      <c r="A56" s="956">
        <v>2</v>
      </c>
      <c r="B56" s="957" t="s">
        <v>704</v>
      </c>
      <c r="C56" s="232" t="e">
        <f ca="1">C13</f>
        <v>#N/A</v>
      </c>
      <c r="D56" s="1445"/>
      <c r="E56" s="1446"/>
      <c r="F56" s="1438"/>
      <c r="I56" s="1447" t="s">
        <v>842</v>
      </c>
      <c r="J56" s="1448" t="s">
        <v>3399</v>
      </c>
      <c r="K56" s="1419" t="s">
        <v>843</v>
      </c>
      <c r="L56" s="1422" t="e">
        <f ca="1">IF(L48&lt;J51,"——",L48-J53)</f>
        <v>#N/A</v>
      </c>
      <c r="O56" s="1416" t="s">
        <v>403</v>
      </c>
      <c r="P56" s="1417" t="s">
        <v>817</v>
      </c>
      <c r="Q56" s="1418" t="e">
        <f ca="1">C40+J29</f>
        <v>#N/A</v>
      </c>
      <c r="R56" s="1418" t="s">
        <v>818</v>
      </c>
    </row>
    <row r="57" spans="1:18" s="1382" customFormat="1" ht="24.75" thickBot="1">
      <c r="A57" s="1449"/>
      <c r="B57" s="949" t="s">
        <v>767</v>
      </c>
      <c r="C57" s="238" t="e">
        <f ca="1">C29</f>
        <v>#N/A</v>
      </c>
      <c r="D57" s="1450"/>
      <c r="E57" s="1451"/>
      <c r="F57" s="1452"/>
      <c r="I57" s="1453" t="s">
        <v>844</v>
      </c>
      <c r="J57" s="1454" t="e">
        <f ca="1">IF(OR(M47="住宅",J51&lt;L48,J56="是"),"——",J51-L48)</f>
        <v>#N/A</v>
      </c>
      <c r="K57" s="1419" t="s">
        <v>845</v>
      </c>
      <c r="L57" s="1422" t="e">
        <f ca="1">IF(L48&lt;J51,"——",IF(L55="比较法",L49,IF(L55="基准地价",L50,L51)))</f>
        <v>#N/A</v>
      </c>
      <c r="O57" s="1416" t="s">
        <v>404</v>
      </c>
      <c r="P57" s="1417" t="s">
        <v>846</v>
      </c>
      <c r="Q57" s="1418" t="e">
        <f ca="1">L60</f>
        <v>#N/A</v>
      </c>
      <c r="R57" s="1418" t="s">
        <v>847</v>
      </c>
    </row>
    <row r="58" spans="1:18" s="1382" customFormat="1" ht="24.75" thickBot="1">
      <c r="A58" s="315" t="s">
        <v>393</v>
      </c>
      <c r="B58" s="957" t="s">
        <v>714</v>
      </c>
      <c r="C58" s="316" t="e">
        <f ca="1">ROUND(C59+C64+C65+C66,0)</f>
        <v>#N/A</v>
      </c>
      <c r="D58" s="959" t="s">
        <v>715</v>
      </c>
      <c r="E58" s="960"/>
      <c r="F58" s="961"/>
      <c r="I58" s="1453" t="s">
        <v>848</v>
      </c>
      <c r="J58" s="1455" t="e">
        <f ca="1">IF(J55&lt;0.4,0.4,J55)</f>
        <v>#N/A</v>
      </c>
      <c r="K58" s="1432" t="s">
        <v>849</v>
      </c>
      <c r="L58" s="1422" t="e">
        <f ca="1">ROUND(POWER(1+L52,L47-L48)*(POWER(1+L52,L48)-1)/(POWER(1+L52,L47)-1),4)</f>
        <v>#N/A</v>
      </c>
      <c r="O58" s="1426" t="s">
        <v>405</v>
      </c>
      <c r="P58" s="1417" t="s">
        <v>850</v>
      </c>
      <c r="Q58" s="1418">
        <f>IF(L55="比较法",L49,IF(L55="基准地价",L50,0))</f>
        <v>0</v>
      </c>
      <c r="R58" s="1418" t="s">
        <v>818</v>
      </c>
    </row>
    <row r="59" spans="1:18" s="1382" customFormat="1" ht="24.75" thickBot="1">
      <c r="A59" s="981" t="s">
        <v>398</v>
      </c>
      <c r="B59" s="949" t="s">
        <v>719</v>
      </c>
      <c r="C59" s="2313" t="e">
        <f ca="1">ROUND(IF(AND(项目基本情况!B11="自然人",项目基本情况!B10="北京市"),C49*F59/(1+'数据-取费表'!C42),C60+C61+C62),0)</f>
        <v>#N/A</v>
      </c>
      <c r="D59" s="962" t="s">
        <v>720</v>
      </c>
      <c r="E59" s="963" t="s">
        <v>721</v>
      </c>
      <c r="F59" s="2312" t="str">
        <f>IF(项目基本情况!B11="企业","——",IF('数据-取费表'!B10="住宅",IF(F49*F50*F51/12/(1+'数据-取费表'!F30)&gt;100000,4%,2.5%),IF(F49*F50*F51/12/(1+'数据-取费表'!F30)&gt;100000,12%,7%)))</f>
        <v>——</v>
      </c>
      <c r="I59" s="1453" t="s">
        <v>851</v>
      </c>
      <c r="J59" s="1454" t="e">
        <f ca="1">IF(OR(M47="住宅",J51&lt;L48,J56="是"),"——",ROUND(C29*J58,0))</f>
        <v>#N/A</v>
      </c>
      <c r="K59" s="1419"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2" t="e">
        <f ca="1">ROUND(IF(D1="在建（套用方法）",M59,IF(D1="土地（套用方法）",N59,POWER(1+L52,L47-J51)*(POWER(1+L52,J51)-1)/(POWER(1+L52,L47)-1))),4)</f>
        <v>#N/A</v>
      </c>
      <c r="M59" s="1378" t="e">
        <f ca="1">ROUND(POWER(1+L52,L47-(J51+'数据-取费表'!B24))*(POWER(1+L52,(J51+'数据-取费表'!B24))-1)/(POWER(1+L52,L47)-1),4)</f>
        <v>#N/A</v>
      </c>
      <c r="N59" s="1378" t="e">
        <f ca="1">ROUND(POWER(1+L52,L47-(J51+'数据-取费表'!B20))*(POWER(1+L52,(J51+'数据-取费表'!B20))-1)/(POWER(1+L52,L47)-1),4)</f>
        <v>#N/A</v>
      </c>
      <c r="O59" s="1426" t="s">
        <v>406</v>
      </c>
      <c r="P59" s="1417" t="s">
        <v>852</v>
      </c>
      <c r="Q59" s="1429">
        <f>L52</f>
        <v>0</v>
      </c>
      <c r="R59" s="1418"/>
    </row>
    <row r="60" spans="1:18" s="1382" customFormat="1" ht="16.5" thickBot="1">
      <c r="A60" s="981" t="s">
        <v>397</v>
      </c>
      <c r="B60" s="949" t="s">
        <v>723</v>
      </c>
      <c r="C60" s="21" t="e">
        <f ca="1">IF(项目基本情况!B11="自然人","——",ROUND(C48*F60/(1+'数据-取费表'!C42),2))</f>
        <v>#N/A</v>
      </c>
      <c r="D60" s="963" t="s">
        <v>724</v>
      </c>
      <c r="E60" s="949" t="s">
        <v>712</v>
      </c>
      <c r="F60" s="331">
        <f t="shared" ref="F60:F66" si="0">F32</f>
        <v>5.5000000000000007E-2</v>
      </c>
      <c r="I60" s="1456" t="s">
        <v>853</v>
      </c>
      <c r="J60" s="1457" t="e">
        <f ca="1">IF(OR(M47="住宅",J51&lt;L48,J56="是"),"0",ROUND(J59/(1+J52)^J53,0))</f>
        <v>#N/A</v>
      </c>
      <c r="K60" s="1458" t="s">
        <v>854</v>
      </c>
      <c r="L60" s="1457" t="e">
        <f ca="1">IF(OR(M47="住宅",L48&lt;J51),0,ROUND(L57*(L58/L59-1),0))</f>
        <v>#N/A</v>
      </c>
      <c r="O60" s="1426" t="s">
        <v>407</v>
      </c>
      <c r="P60" s="1417" t="s">
        <v>855</v>
      </c>
      <c r="Q60" s="1418" t="e">
        <f ca="1">L58</f>
        <v>#N/A</v>
      </c>
      <c r="R60" s="1418" t="s">
        <v>856</v>
      </c>
    </row>
    <row r="61" spans="1:18" s="1382" customFormat="1" ht="13.5" thickBot="1">
      <c r="A61" s="981" t="s">
        <v>781</v>
      </c>
      <c r="B61" s="949" t="s">
        <v>782</v>
      </c>
      <c r="C61" s="21" t="e">
        <f ca="1">IF(项目基本情况!B11="自然人","——",IF(D61="按租金收入计税",ROUND(C49*F61/(1+'数据-取费表'!C42),2),IF(D61="按房产原值计税",ROUND(C57*F61*0.7,2),INDIRECT("'数据-取费表'!Aj"&amp;$G$1))))</f>
        <v>#N/A</v>
      </c>
      <c r="D61" s="1368" t="s">
        <v>3337</v>
      </c>
      <c r="E61" s="949" t="s">
        <v>783</v>
      </c>
      <c r="F61" s="322">
        <f t="shared" si="0"/>
        <v>0.12</v>
      </c>
      <c r="I61" s="1459"/>
      <c r="J61" s="1459"/>
      <c r="K61" s="1459"/>
      <c r="L61" s="1459"/>
      <c r="O61" s="1426" t="s">
        <v>408</v>
      </c>
      <c r="P61" s="1417" t="str">
        <f>K59</f>
        <v>建筑物剩余耐用年限下的土地年期修正系数Kn</v>
      </c>
      <c r="Q61" s="1418" t="e">
        <f ca="1">L59</f>
        <v>#N/A</v>
      </c>
      <c r="R61" s="1418" t="s">
        <v>857</v>
      </c>
    </row>
    <row r="62" spans="1:18" s="1382" customFormat="1" ht="13.5" thickBot="1">
      <c r="A62" s="981" t="s">
        <v>784</v>
      </c>
      <c r="B62" s="948" t="s">
        <v>785</v>
      </c>
      <c r="C62" s="22" t="e">
        <f ca="1">IF(项目基本情况!B11="自然人","——",ROUND(F62*F63/10000,2))</f>
        <v>#N/A</v>
      </c>
      <c r="D62" s="964" t="s">
        <v>786</v>
      </c>
      <c r="E62" s="949" t="s">
        <v>787</v>
      </c>
      <c r="F62" s="325">
        <f t="shared" si="0"/>
        <v>1.5</v>
      </c>
      <c r="I62" s="1460" t="s">
        <v>858</v>
      </c>
      <c r="J62" s="1461" t="s">
        <v>859</v>
      </c>
      <c r="K62" s="1461" t="s">
        <v>860</v>
      </c>
      <c r="L62" s="1461" t="s">
        <v>861</v>
      </c>
      <c r="M62" s="1462" t="s">
        <v>862</v>
      </c>
      <c r="O62" s="1416" t="s">
        <v>409</v>
      </c>
      <c r="P62" s="1417" t="s">
        <v>863</v>
      </c>
      <c r="Q62" s="1418" t="e">
        <f ca="1">Q56+Q57</f>
        <v>#N/A</v>
      </c>
      <c r="R62" s="1418" t="s">
        <v>410</v>
      </c>
    </row>
    <row r="63" spans="1:18" s="1382" customFormat="1" ht="13.5" thickBot="1">
      <c r="A63" s="326"/>
      <c r="B63" s="955"/>
      <c r="C63" s="26"/>
      <c r="D63" s="965"/>
      <c r="E63" s="949" t="s">
        <v>788</v>
      </c>
      <c r="F63" s="303" t="e">
        <f t="shared" ca="1" si="0"/>
        <v>#N/A</v>
      </c>
      <c r="I63" s="1460" t="s">
        <v>864</v>
      </c>
      <c r="J63" s="1461">
        <v>70</v>
      </c>
      <c r="K63" s="1461">
        <v>50</v>
      </c>
      <c r="L63" s="1461">
        <v>80</v>
      </c>
      <c r="M63" s="1463">
        <v>0.02</v>
      </c>
      <c r="O63" s="1401" t="s">
        <v>865</v>
      </c>
      <c r="P63" s="1379"/>
      <c r="Q63" s="1379"/>
      <c r="R63" s="1379"/>
    </row>
    <row r="64" spans="1:18" s="1382" customFormat="1" ht="13.5" thickBot="1">
      <c r="A64" s="981" t="s">
        <v>789</v>
      </c>
      <c r="B64" s="949" t="s">
        <v>790</v>
      </c>
      <c r="C64" s="21" t="e">
        <f ca="1">ROUND(C57*F64,2)</f>
        <v>#N/A</v>
      </c>
      <c r="D64" s="963" t="s">
        <v>791</v>
      </c>
      <c r="E64" s="949" t="s">
        <v>783</v>
      </c>
      <c r="F64" s="328" t="e">
        <f t="shared" ca="1" si="0"/>
        <v>#N/A</v>
      </c>
      <c r="I64" s="1460" t="s">
        <v>866</v>
      </c>
      <c r="J64" s="1461">
        <v>50</v>
      </c>
      <c r="K64" s="1461">
        <v>35</v>
      </c>
      <c r="L64" s="1461">
        <v>60</v>
      </c>
      <c r="M64" s="1462">
        <v>0</v>
      </c>
      <c r="O64" s="1409" t="s">
        <v>811</v>
      </c>
      <c r="P64" s="1410" t="s">
        <v>812</v>
      </c>
      <c r="Q64" s="1411" t="s">
        <v>813</v>
      </c>
      <c r="R64" s="1411" t="s">
        <v>814</v>
      </c>
    </row>
    <row r="65" spans="1:18" s="1382" customFormat="1" ht="13.5" thickBot="1">
      <c r="A65" s="981" t="s">
        <v>792</v>
      </c>
      <c r="B65" s="949" t="s">
        <v>742</v>
      </c>
      <c r="C65" s="21" t="e">
        <f ca="1">ROUND(C56*F65,2)</f>
        <v>#N/A</v>
      </c>
      <c r="D65" s="963" t="s">
        <v>743</v>
      </c>
      <c r="E65" s="949" t="s">
        <v>744</v>
      </c>
      <c r="F65" s="330" t="e">
        <f t="shared" ca="1" si="0"/>
        <v>#N/A</v>
      </c>
      <c r="I65" s="1460" t="s">
        <v>867</v>
      </c>
      <c r="J65" s="1461">
        <v>40</v>
      </c>
      <c r="K65" s="1461">
        <v>30</v>
      </c>
      <c r="L65" s="1461">
        <v>50</v>
      </c>
      <c r="M65" s="1463">
        <v>0.02</v>
      </c>
      <c r="O65" s="1416" t="s">
        <v>403</v>
      </c>
      <c r="P65" s="1417" t="s">
        <v>868</v>
      </c>
      <c r="Q65" s="1418" t="e">
        <f ca="1">C40+J29</f>
        <v>#N/A</v>
      </c>
      <c r="R65" s="1418" t="s">
        <v>818</v>
      </c>
    </row>
    <row r="66" spans="1:18" s="1382" customFormat="1" ht="16.5" thickBot="1">
      <c r="A66" s="981" t="s">
        <v>793</v>
      </c>
      <c r="B66" s="949" t="s">
        <v>728</v>
      </c>
      <c r="C66" s="21" t="e">
        <f ca="1">ROUND(C48*F66,2)</f>
        <v>#N/A</v>
      </c>
      <c r="D66" s="963" t="s">
        <v>794</v>
      </c>
      <c r="E66" s="949" t="s">
        <v>712</v>
      </c>
      <c r="F66" s="312" t="e">
        <f t="shared" ca="1" si="0"/>
        <v>#N/A</v>
      </c>
      <c r="O66" s="1416" t="s">
        <v>404</v>
      </c>
      <c r="P66" s="1417" t="s">
        <v>846</v>
      </c>
      <c r="Q66" s="1418" t="e">
        <f ca="1">L60</f>
        <v>#N/A</v>
      </c>
      <c r="R66" s="1418" t="s">
        <v>869</v>
      </c>
    </row>
    <row r="67" spans="1:18" s="1382" customFormat="1" ht="16.5" thickBot="1">
      <c r="A67" s="956" t="s">
        <v>394</v>
      </c>
      <c r="B67" s="966" t="s">
        <v>752</v>
      </c>
      <c r="C67" s="316" t="e">
        <f ca="1">C48-C58</f>
        <v>#N/A</v>
      </c>
      <c r="D67" s="962" t="s">
        <v>753</v>
      </c>
      <c r="E67" s="967"/>
      <c r="F67" s="968"/>
      <c r="O67" s="1426" t="s">
        <v>405</v>
      </c>
      <c r="P67" s="1417" t="s">
        <v>850</v>
      </c>
      <c r="Q67" s="1464" t="e">
        <f ca="1">L51</f>
        <v>#N/A</v>
      </c>
      <c r="R67" s="1418" t="s">
        <v>870</v>
      </c>
    </row>
    <row r="68" spans="1:18" s="1382" customFormat="1" ht="16.5" thickBot="1">
      <c r="A68" s="946" t="s">
        <v>395</v>
      </c>
      <c r="B68" s="947" t="s">
        <v>774</v>
      </c>
      <c r="C68" s="301" t="e">
        <f ca="1">ROUND(C67*(1-((1+F70)/(1+F68))^F69)/(F68-F70),0)</f>
        <v>#N/A</v>
      </c>
      <c r="D68" s="964" t="s">
        <v>758</v>
      </c>
      <c r="E68" s="949" t="s">
        <v>759</v>
      </c>
      <c r="F68" s="312" t="e">
        <f ca="1">F40</f>
        <v>#N/A</v>
      </c>
      <c r="O68" s="1426" t="s">
        <v>406</v>
      </c>
      <c r="P68" s="1465" t="s">
        <v>871</v>
      </c>
      <c r="Q68" s="1418" t="e">
        <f ca="1">ROUND(Q69-Q70*Q71,0)</f>
        <v>#N/A</v>
      </c>
      <c r="R68" s="1418" t="s">
        <v>414</v>
      </c>
    </row>
    <row r="69" spans="1:18" s="1382" customFormat="1" ht="13.5" thickBot="1">
      <c r="A69" s="950"/>
      <c r="B69" s="951"/>
      <c r="C69" s="306"/>
      <c r="D69" s="969" t="s">
        <v>762</v>
      </c>
      <c r="E69" s="949" t="s">
        <v>763</v>
      </c>
      <c r="F69" s="333" t="e">
        <f ca="1">F41</f>
        <v>#N/A</v>
      </c>
      <c r="O69" s="1426" t="s">
        <v>411</v>
      </c>
      <c r="P69" s="1465" t="s">
        <v>872</v>
      </c>
      <c r="Q69" s="1418" t="e">
        <f ca="1">C39</f>
        <v>#N/A</v>
      </c>
      <c r="R69" s="1418" t="s">
        <v>818</v>
      </c>
    </row>
    <row r="70" spans="1:18" s="1382" customFormat="1" ht="13.5" thickBot="1">
      <c r="A70" s="953"/>
      <c r="B70" s="954"/>
      <c r="C70" s="310"/>
      <c r="D70" s="965"/>
      <c r="E70" s="949" t="s">
        <v>766</v>
      </c>
      <c r="F70" s="1053"/>
      <c r="O70" s="1426" t="s">
        <v>412</v>
      </c>
      <c r="P70" s="1465" t="s">
        <v>873</v>
      </c>
      <c r="Q70" s="1418" t="e">
        <f ca="1">C13</f>
        <v>#N/A</v>
      </c>
      <c r="R70" s="1418" t="s">
        <v>818</v>
      </c>
    </row>
    <row r="71" spans="1:18" s="1382" customFormat="1" ht="13.5" thickBot="1">
      <c r="A71" s="970" t="s">
        <v>396</v>
      </c>
      <c r="B71" s="971" t="s">
        <v>776</v>
      </c>
      <c r="C71" s="336" t="e">
        <f ca="1">ROUND(C68*10000/F71,0)</f>
        <v>#N/A</v>
      </c>
      <c r="D71" s="972" t="s">
        <v>777</v>
      </c>
      <c r="E71" s="973" t="s">
        <v>778</v>
      </c>
      <c r="F71" s="339" t="e">
        <f ca="1">F43</f>
        <v>#N/A</v>
      </c>
      <c r="O71" s="1426" t="s">
        <v>413</v>
      </c>
      <c r="P71" s="1465" t="s">
        <v>874</v>
      </c>
      <c r="Q71" s="1429" t="e">
        <f ca="1">C76</f>
        <v>#N/A</v>
      </c>
      <c r="R71" s="1418"/>
    </row>
    <row r="72" spans="1:18" s="1382" customFormat="1" ht="13.5" thickBot="1">
      <c r="B72" s="725"/>
      <c r="C72" s="725"/>
      <c r="O72" s="1426" t="s">
        <v>407</v>
      </c>
      <c r="P72" s="1417" t="s">
        <v>852</v>
      </c>
      <c r="Q72" s="1429">
        <f>L52</f>
        <v>0</v>
      </c>
      <c r="R72" s="1418"/>
    </row>
    <row r="73" spans="1:18" ht="16.5" thickBot="1">
      <c r="A73" s="1382"/>
      <c r="B73" s="725"/>
      <c r="C73" s="725"/>
      <c r="D73" s="1382"/>
      <c r="E73" s="1382"/>
      <c r="F73" s="1382"/>
      <c r="O73" s="1426" t="s">
        <v>408</v>
      </c>
      <c r="P73" s="1417" t="s">
        <v>855</v>
      </c>
      <c r="Q73" s="1418" t="e">
        <f ca="1">L58</f>
        <v>#N/A</v>
      </c>
      <c r="R73" s="1418" t="s">
        <v>856</v>
      </c>
    </row>
    <row r="74" spans="1:18" ht="13.5" thickBot="1">
      <c r="A74" s="1382"/>
      <c r="B74" s="273" t="s">
        <v>875</v>
      </c>
      <c r="C74" s="1467"/>
      <c r="D74" s="1382"/>
      <c r="E74" s="1382"/>
      <c r="F74" s="1382"/>
      <c r="O74" s="1426" t="s">
        <v>415</v>
      </c>
      <c r="P74" s="1417" t="str">
        <f>K59</f>
        <v>建筑物剩余耐用年限下的土地年期修正系数Kn</v>
      </c>
      <c r="Q74" s="1418" t="e">
        <f ca="1">L59</f>
        <v>#N/A</v>
      </c>
      <c r="R74" s="1418" t="s">
        <v>857</v>
      </c>
    </row>
    <row r="75" spans="1:18" ht="13.5" thickBot="1">
      <c r="A75" s="1382"/>
      <c r="B75" s="340" t="s">
        <v>795</v>
      </c>
      <c r="C75" s="341" t="e">
        <f ca="1">ROUND(C13*C76,0)</f>
        <v>#N/A</v>
      </c>
      <c r="D75" s="1382"/>
      <c r="E75" s="1382"/>
      <c r="F75" s="1382"/>
      <c r="K75" s="1400"/>
      <c r="L75" s="1382"/>
      <c r="O75" s="1416" t="s">
        <v>409</v>
      </c>
      <c r="P75" s="1417" t="s">
        <v>838</v>
      </c>
      <c r="Q75" s="1418" t="e">
        <f ca="1">Q65+Q66</f>
        <v>#N/A</v>
      </c>
      <c r="R75" s="1418" t="s">
        <v>410</v>
      </c>
    </row>
    <row r="76" spans="1:18">
      <c r="B76" s="342" t="s">
        <v>796</v>
      </c>
      <c r="C76" s="343" t="e">
        <f ca="1">INDIRECT("'数据-取费表'!j"&amp;$G$1)</f>
        <v>#N/A</v>
      </c>
      <c r="I76" s="1382"/>
      <c r="J76" s="1382"/>
      <c r="K76" s="1400"/>
      <c r="L76" s="1382"/>
    </row>
    <row r="77" spans="1:18">
      <c r="B77" s="344" t="s">
        <v>797</v>
      </c>
      <c r="C77" s="345"/>
      <c r="I77" s="1382"/>
      <c r="J77" s="1382"/>
      <c r="K77" s="1400"/>
      <c r="L77" s="1382"/>
    </row>
    <row r="78" spans="1:18">
      <c r="B78" s="270" t="s">
        <v>798</v>
      </c>
      <c r="C78" s="346"/>
    </row>
    <row r="79" spans="1:18">
      <c r="B79" s="340" t="s">
        <v>799</v>
      </c>
      <c r="C79" s="274" t="e">
        <f ca="1">1-C80</f>
        <v>#N/A</v>
      </c>
    </row>
    <row r="80" spans="1:18">
      <c r="B80" s="340" t="s">
        <v>800</v>
      </c>
      <c r="C80" s="274" t="e">
        <f ca="1">ROUND(C75/C39,3)</f>
        <v>#N/A</v>
      </c>
    </row>
    <row r="81" spans="2:3">
      <c r="B81" s="270" t="s">
        <v>801</v>
      </c>
      <c r="C81" s="238"/>
    </row>
    <row r="82" spans="2:3">
      <c r="B82" s="273" t="s">
        <v>802</v>
      </c>
      <c r="C82" s="275" t="e">
        <f ca="1">1-C83</f>
        <v>#N/A</v>
      </c>
    </row>
    <row r="83" spans="2:3">
      <c r="B83" s="273" t="s">
        <v>803</v>
      </c>
      <c r="C83" s="274" t="e">
        <f ca="1">ROUND(C13/C40,3)</f>
        <v>#N/A</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116" priority="4">
      <formula>$L$48&gt;$J$51</formula>
    </cfRule>
  </conditionalFormatting>
  <conditionalFormatting sqref="I55 I60">
    <cfRule type="expression" dxfId="115" priority="5">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4"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876" t="s">
        <v>1661</v>
      </c>
      <c r="C1" s="1236" t="s">
        <v>1662</v>
      </c>
      <c r="D1" s="1223"/>
      <c r="E1" s="3422"/>
      <c r="F1" s="1877"/>
      <c r="G1" s="1233" t="s">
        <v>1663</v>
      </c>
      <c r="H1" s="1232"/>
      <c r="I1" s="1232"/>
      <c r="J1" s="1232"/>
      <c r="K1" s="1234"/>
      <c r="L1" s="1235"/>
      <c r="M1" s="1236"/>
      <c r="N1" s="1236"/>
      <c r="O1" s="1236"/>
      <c r="P1" s="1878"/>
      <c r="Q1" s="1222"/>
      <c r="R1" s="1222"/>
      <c r="S1" s="1222"/>
      <c r="T1" s="1222"/>
      <c r="U1" s="1222"/>
      <c r="V1" s="1222"/>
      <c r="W1" s="1222"/>
      <c r="X1" s="1222"/>
      <c r="Y1" s="1222"/>
      <c r="Z1" s="1222"/>
      <c r="AA1" s="1222"/>
      <c r="AB1" s="1222"/>
      <c r="AC1" s="1230"/>
    </row>
    <row r="2" spans="1:29" s="347" customFormat="1" ht="28.5" customHeight="1" thickTop="1">
      <c r="A2" s="1219" t="s">
        <v>685</v>
      </c>
      <c r="B2" s="3423" t="b">
        <f>IF(E1="项目模式",IF(C2="——",ROUND(C49*D3/10000,0),ROUND(C49*D3/10000,0)-D2),IF(E1="单套模式",IF(C2="——",ROUND(C49*D3/10000,4),ROUND(C49*D3/10000,4)-D2)))</f>
        <v>0</v>
      </c>
      <c r="C2" s="1879"/>
      <c r="D2" s="1114" t="e">
        <f ca="1">IF(E1="项目模式",SUMIF(INDIRECT("'"&amp;F2&amp;"'"&amp;"!A:A"),"承租人权益价值",INDIRECT("'"&amp;F2&amp;"'"&amp;"!c:c")),SUMIF(INDIRECT("'"&amp;F2&amp;"'"&amp;"!A:A"),"承租人权益价值（单套）",INDIRECT("'"&amp;F2&amp;"'"&amp;"!c:c")))</f>
        <v>#REF!</v>
      </c>
      <c r="E2" s="1880" t="s">
        <v>1664</v>
      </c>
      <c r="F2" s="1881"/>
      <c r="G2" s="906"/>
      <c r="H2" s="906"/>
      <c r="I2" s="906"/>
      <c r="J2" s="906"/>
      <c r="K2" s="1882"/>
      <c r="L2" s="2710"/>
      <c r="M2" s="2711"/>
      <c r="N2" s="2711"/>
      <c r="O2" s="2711"/>
      <c r="P2" s="1883"/>
      <c r="Q2" s="1884"/>
      <c r="R2" s="1884"/>
      <c r="S2" s="1884"/>
      <c r="T2" s="1884"/>
      <c r="U2" s="1884"/>
      <c r="V2" s="1884"/>
      <c r="W2" s="1884"/>
      <c r="X2" s="1884"/>
      <c r="Y2" s="1884"/>
      <c r="Z2" s="1884"/>
      <c r="AA2" s="1884"/>
      <c r="AB2" s="1884"/>
      <c r="AC2" s="1885"/>
    </row>
    <row r="3" spans="1:29" s="347" customFormat="1" ht="28.5" customHeight="1" thickBot="1">
      <c r="A3" s="203" t="s">
        <v>686</v>
      </c>
      <c r="B3" s="353">
        <f>IF(C2="——",C49,ROUND(B2*10000/D3,0))</f>
        <v>0</v>
      </c>
      <c r="C3" s="354" t="s">
        <v>1665</v>
      </c>
      <c r="D3" s="353">
        <f>IF(D1="",'数据-汇总表'!E3,SUMIF('数据-汇总表'!$C19:$C33,D1,'数据-汇总表'!$E19:$E33))</f>
        <v>20062.899999999998</v>
      </c>
      <c r="E3" s="906"/>
      <c r="F3" s="1886"/>
      <c r="G3" s="906"/>
      <c r="H3" s="906"/>
      <c r="I3" s="906"/>
      <c r="J3" s="906"/>
      <c r="K3" s="1882"/>
      <c r="L3" s="2710"/>
      <c r="M3" s="2711"/>
      <c r="N3" s="2711"/>
      <c r="O3" s="2711"/>
      <c r="P3" s="1883"/>
      <c r="Q3" s="1884"/>
      <c r="R3" s="1884"/>
      <c r="S3" s="1884"/>
      <c r="T3" s="1884"/>
      <c r="U3" s="1884"/>
      <c r="V3" s="1884"/>
      <c r="W3" s="1884"/>
      <c r="X3" s="1884"/>
      <c r="Y3" s="1884"/>
      <c r="Z3" s="1884"/>
      <c r="AA3" s="1884"/>
      <c r="AB3" s="1884"/>
      <c r="AC3" s="1060"/>
    </row>
    <row r="4" spans="1:29" ht="15">
      <c r="A4" s="355" t="s">
        <v>1666</v>
      </c>
      <c r="B4" s="356"/>
      <c r="C4" s="3730" t="s">
        <v>1667</v>
      </c>
      <c r="D4" s="3731"/>
      <c r="E4" s="3732" t="s">
        <v>1668</v>
      </c>
      <c r="F4" s="3733"/>
      <c r="G4" s="3730" t="s">
        <v>1669</v>
      </c>
      <c r="H4" s="3731"/>
      <c r="I4" s="3730" t="s">
        <v>1670</v>
      </c>
      <c r="J4" s="3731"/>
      <c r="K4" s="1887" t="s">
        <v>1671</v>
      </c>
      <c r="L4" s="2712"/>
      <c r="M4" s="2713"/>
      <c r="N4" s="2713"/>
      <c r="O4" s="2713"/>
      <c r="P4" s="3734" t="s">
        <v>1672</v>
      </c>
      <c r="Q4" s="3735"/>
      <c r="R4" s="3716" t="s">
        <v>1668</v>
      </c>
      <c r="S4" s="3717"/>
      <c r="T4" s="3716" t="s">
        <v>1669</v>
      </c>
      <c r="U4" s="3717"/>
      <c r="V4" s="3713" t="s">
        <v>1670</v>
      </c>
      <c r="W4" s="3713"/>
      <c r="X4" s="1353"/>
      <c r="Y4" s="3716" t="s">
        <v>1672</v>
      </c>
      <c r="Z4" s="3717"/>
      <c r="AA4" s="3710" t="s">
        <v>1668</v>
      </c>
      <c r="AB4" s="3710" t="s">
        <v>1669</v>
      </c>
      <c r="AC4" s="3710" t="s">
        <v>1670</v>
      </c>
    </row>
    <row r="5" spans="1:29" ht="15">
      <c r="A5" s="358"/>
      <c r="B5" s="359"/>
      <c r="C5" s="3722" t="s">
        <v>1673</v>
      </c>
      <c r="D5" s="3723"/>
      <c r="E5" s="3760" t="s">
        <v>1674</v>
      </c>
      <c r="F5" s="3721"/>
      <c r="G5" s="3722" t="s">
        <v>1675</v>
      </c>
      <c r="H5" s="3723"/>
      <c r="I5" s="3722" t="s">
        <v>1676</v>
      </c>
      <c r="J5" s="3723"/>
      <c r="K5" s="1888"/>
      <c r="L5" s="2712"/>
      <c r="M5" s="2713"/>
      <c r="N5" s="2713"/>
      <c r="O5" s="2713"/>
      <c r="P5" s="3736"/>
      <c r="Q5" s="3737"/>
      <c r="R5" s="3718"/>
      <c r="S5" s="3719"/>
      <c r="T5" s="3718"/>
      <c r="U5" s="3719"/>
      <c r="V5" s="3713"/>
      <c r="W5" s="3713"/>
      <c r="X5" s="1353"/>
      <c r="Y5" s="3718"/>
      <c r="Z5" s="3719"/>
      <c r="AA5" s="3711"/>
      <c r="AB5" s="3711"/>
      <c r="AC5" s="3711"/>
    </row>
    <row r="6" spans="1:29" ht="15.75" thickBot="1">
      <c r="A6" s="360"/>
      <c r="B6" s="361"/>
      <c r="C6" s="3724" t="s">
        <v>1677</v>
      </c>
      <c r="D6" s="3725"/>
      <c r="E6" s="3727" t="s">
        <v>1677</v>
      </c>
      <c r="F6" s="3728"/>
      <c r="G6" s="3724" t="s">
        <v>1677</v>
      </c>
      <c r="H6" s="3725"/>
      <c r="I6" s="3724" t="s">
        <v>1677</v>
      </c>
      <c r="J6" s="3725"/>
      <c r="K6" s="1888" t="s">
        <v>1678</v>
      </c>
      <c r="L6" s="2712"/>
      <c r="M6" s="2713"/>
      <c r="N6" s="2713"/>
      <c r="O6" s="2713"/>
      <c r="P6" s="3738"/>
      <c r="Q6" s="3739"/>
      <c r="R6" s="3718"/>
      <c r="S6" s="3719"/>
      <c r="T6" s="3740"/>
      <c r="U6" s="3741"/>
      <c r="V6" s="3713"/>
      <c r="W6" s="3713"/>
      <c r="X6" s="1353"/>
      <c r="Y6" s="3740"/>
      <c r="Z6" s="3741"/>
      <c r="AA6" s="3712"/>
      <c r="AB6" s="3712"/>
      <c r="AC6" s="3712"/>
    </row>
    <row r="7" spans="1:29" s="108" customFormat="1" ht="15.75" thickBot="1">
      <c r="A7" s="362" t="s">
        <v>1679</v>
      </c>
      <c r="B7" s="363"/>
      <c r="C7" s="364">
        <f>'数据-取费表'!B2</f>
        <v>45068</v>
      </c>
      <c r="D7" s="365">
        <v>100</v>
      </c>
      <c r="E7" s="366"/>
      <c r="F7" s="367">
        <f>SUMIF(58:58,YEAR(E7)&amp;"-"&amp;MONTH(E7),59:59)</f>
        <v>0</v>
      </c>
      <c r="G7" s="366"/>
      <c r="H7" s="365">
        <f>SUMIF(58:58,YEAR(G7)&amp;"-"&amp;MONTH(G7),59:59)</f>
        <v>0</v>
      </c>
      <c r="I7" s="366"/>
      <c r="J7" s="365">
        <f>SUMIF(58:58,YEAR(I7)&amp;"-"&amp;MONTH(I7),59:59)</f>
        <v>0</v>
      </c>
      <c r="K7" s="1889"/>
      <c r="L7" s="2714"/>
      <c r="M7" s="2715"/>
      <c r="N7" s="2715"/>
      <c r="O7" s="2715"/>
      <c r="P7" s="3714" t="s">
        <v>1680</v>
      </c>
      <c r="Q7" s="3742"/>
      <c r="R7" s="700" t="s">
        <v>20</v>
      </c>
      <c r="S7" s="701">
        <f t="shared" ref="S7:S15" si="0">F7</f>
        <v>0</v>
      </c>
      <c r="T7" s="700" t="s">
        <v>20</v>
      </c>
      <c r="U7" s="701">
        <f t="shared" ref="U7:U15" si="1">H7</f>
        <v>0</v>
      </c>
      <c r="V7" s="700" t="s">
        <v>20</v>
      </c>
      <c r="W7" s="701">
        <f t="shared" ref="W7:W15" si="2">J7</f>
        <v>0</v>
      </c>
      <c r="X7" s="702"/>
      <c r="Y7" s="3714" t="s">
        <v>1680</v>
      </c>
      <c r="Z7" s="3715"/>
      <c r="AA7" s="703" t="e">
        <f>D7/F7</f>
        <v>#DIV/0!</v>
      </c>
      <c r="AB7" s="703" t="e">
        <f>D7/H7</f>
        <v>#DIV/0!</v>
      </c>
      <c r="AC7" s="703" t="e">
        <f>D7/J7</f>
        <v>#DIV/0!</v>
      </c>
    </row>
    <row r="8" spans="1:29" s="108" customFormat="1" ht="15.75" thickBot="1">
      <c r="A8" s="362" t="s">
        <v>1681</v>
      </c>
      <c r="B8" s="363"/>
      <c r="C8" s="368"/>
      <c r="D8" s="365">
        <v>100</v>
      </c>
      <c r="E8" s="1890"/>
      <c r="F8" s="367">
        <f>SUMIF(61:61,E8,62:62)-SUMIF(61:61,C8,62:62)+100</f>
        <v>100</v>
      </c>
      <c r="G8" s="368"/>
      <c r="H8" s="365">
        <f>SUMIF(61:61,G8,62:62)-SUMIF(61:61,C8,62:62)+100</f>
        <v>100</v>
      </c>
      <c r="I8" s="1890"/>
      <c r="J8" s="365">
        <f>SUMIF(61:61,I8,62:62)-SUMIF(61:61,C8,62:62)+100</f>
        <v>100</v>
      </c>
      <c r="K8" s="1889"/>
      <c r="L8" s="2714"/>
      <c r="M8" s="2715"/>
      <c r="N8" s="2715"/>
      <c r="O8" s="2715"/>
      <c r="P8" s="3714" t="s">
        <v>1683</v>
      </c>
      <c r="Q8" s="3715"/>
      <c r="R8" s="700" t="s">
        <v>20</v>
      </c>
      <c r="S8" s="701">
        <f t="shared" si="0"/>
        <v>100</v>
      </c>
      <c r="T8" s="700" t="s">
        <v>20</v>
      </c>
      <c r="U8" s="701">
        <f t="shared" si="1"/>
        <v>100</v>
      </c>
      <c r="V8" s="700" t="s">
        <v>20</v>
      </c>
      <c r="W8" s="701">
        <f t="shared" si="2"/>
        <v>100</v>
      </c>
      <c r="X8" s="702"/>
      <c r="Y8" s="3714" t="s">
        <v>1683</v>
      </c>
      <c r="Z8" s="3715"/>
      <c r="AA8" s="703">
        <f t="shared" ref="AA8:AA19" si="3">D8/F8</f>
        <v>1</v>
      </c>
      <c r="AB8" s="703">
        <f t="shared" ref="AB8:AB19" si="4">D8/H8</f>
        <v>1</v>
      </c>
      <c r="AC8" s="703">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89"/>
      <c r="L9" s="2714"/>
      <c r="M9" s="2715"/>
      <c r="N9" s="2715"/>
      <c r="O9" s="2715"/>
      <c r="P9" s="3729" t="s">
        <v>1686</v>
      </c>
      <c r="Q9" s="1341" t="str">
        <f t="shared" ref="Q9:Q15" si="6">B9</f>
        <v>用途</v>
      </c>
      <c r="R9" s="700" t="s">
        <v>14</v>
      </c>
      <c r="S9" s="701">
        <f t="shared" si="0"/>
        <v>100</v>
      </c>
      <c r="T9" s="700" t="s">
        <v>14</v>
      </c>
      <c r="U9" s="701">
        <f t="shared" si="1"/>
        <v>100</v>
      </c>
      <c r="V9" s="700" t="s">
        <v>14</v>
      </c>
      <c r="W9" s="701">
        <f t="shared" si="2"/>
        <v>100</v>
      </c>
      <c r="X9" s="702"/>
      <c r="Y9" s="3686" t="s">
        <v>1687</v>
      </c>
      <c r="Z9" s="52" t="str">
        <f t="shared" ref="Z9:Z15" si="7">Q9</f>
        <v>用途</v>
      </c>
      <c r="AA9" s="703">
        <f t="shared" si="3"/>
        <v>1</v>
      </c>
      <c r="AB9" s="703">
        <f t="shared" si="4"/>
        <v>1</v>
      </c>
      <c r="AC9" s="703">
        <f t="shared" si="5"/>
        <v>1</v>
      </c>
    </row>
    <row r="10" spans="1:29" s="378" customFormat="1" ht="27">
      <c r="A10" s="374"/>
      <c r="B10" s="375" t="s">
        <v>1688</v>
      </c>
      <c r="C10" s="3430"/>
      <c r="D10" s="127">
        <v>100</v>
      </c>
      <c r="E10" s="3431"/>
      <c r="F10" s="376">
        <f>SUMIF(65:65,E10,66:66)-SUMIF(65:65,C10,66:66)+100</f>
        <v>100</v>
      </c>
      <c r="G10" s="3430"/>
      <c r="H10" s="127">
        <f>SUMIF(65:65,G10,66:66)-SUMIF(65:65,C10,66:66)+100</f>
        <v>100</v>
      </c>
      <c r="I10" s="3430"/>
      <c r="J10" s="127">
        <f>SUMIF(65:65,I10,66:66)-SUMIF(65:65,C10,66:66)+100</f>
        <v>100</v>
      </c>
      <c r="K10" s="1889"/>
      <c r="L10" s="2716"/>
      <c r="M10" s="2717"/>
      <c r="N10" s="2717"/>
      <c r="O10" s="2717"/>
      <c r="P10" s="3729"/>
      <c r="Q10" s="1341" t="str">
        <f t="shared" si="6"/>
        <v>土地使用年限（年）</v>
      </c>
      <c r="R10" s="700" t="s">
        <v>14</v>
      </c>
      <c r="S10" s="701">
        <f t="shared" si="0"/>
        <v>100</v>
      </c>
      <c r="T10" s="700" t="s">
        <v>14</v>
      </c>
      <c r="U10" s="701">
        <f t="shared" si="1"/>
        <v>100</v>
      </c>
      <c r="V10" s="700" t="s">
        <v>14</v>
      </c>
      <c r="W10" s="701">
        <f t="shared" si="2"/>
        <v>100</v>
      </c>
      <c r="X10" s="702"/>
      <c r="Y10" s="3686"/>
      <c r="Z10" s="52" t="str">
        <f t="shared" si="7"/>
        <v>土地使用年限（年）</v>
      </c>
      <c r="AA10" s="703">
        <f t="shared" si="3"/>
        <v>1</v>
      </c>
      <c r="AB10" s="703">
        <f t="shared" si="4"/>
        <v>1</v>
      </c>
      <c r="AC10" s="703">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18"/>
      <c r="M11" s="2713"/>
      <c r="N11" s="2713"/>
      <c r="O11" s="2713"/>
      <c r="P11" s="3729"/>
      <c r="Q11" s="1341" t="str">
        <f t="shared" si="6"/>
        <v>容积率</v>
      </c>
      <c r="R11" s="700" t="s">
        <v>18</v>
      </c>
      <c r="S11" s="701" t="e">
        <f t="shared" si="0"/>
        <v>#N/A</v>
      </c>
      <c r="T11" s="700" t="s">
        <v>18</v>
      </c>
      <c r="U11" s="701" t="e">
        <f t="shared" si="1"/>
        <v>#N/A</v>
      </c>
      <c r="V11" s="700" t="s">
        <v>18</v>
      </c>
      <c r="W11" s="701" t="e">
        <f t="shared" si="2"/>
        <v>#N/A</v>
      </c>
      <c r="X11" s="702"/>
      <c r="Y11" s="3686"/>
      <c r="Z11" s="52" t="str">
        <f t="shared" si="7"/>
        <v>容积率</v>
      </c>
      <c r="AA11" s="703" t="e">
        <f t="shared" si="3"/>
        <v>#N/A</v>
      </c>
      <c r="AB11" s="703" t="e">
        <f t="shared" si="4"/>
        <v>#N/A</v>
      </c>
      <c r="AC11" s="703" t="e">
        <f t="shared" si="5"/>
        <v>#N/A</v>
      </c>
    </row>
    <row r="12" spans="1:29" s="108" customFormat="1" ht="15">
      <c r="A12" s="382"/>
      <c r="B12" s="1891">
        <v>111</v>
      </c>
      <c r="C12" s="383"/>
      <c r="D12" s="384">
        <v>100</v>
      </c>
      <c r="E12" s="383"/>
      <c r="F12" s="376">
        <f>SUMIF(70:70,E12,71:71)-SUMIF(70:70,C12,71:71)+100</f>
        <v>100</v>
      </c>
      <c r="G12" s="383"/>
      <c r="H12" s="127">
        <f>SUMIF(70:70,G12,71:71)-SUMIF(70:70,C12,71:71)+100</f>
        <v>100</v>
      </c>
      <c r="I12" s="383"/>
      <c r="J12" s="127">
        <f>SUMIF(70:70,I12,71:71)-SUMIF(70:70,C12,71:71)+100</f>
        <v>100</v>
      </c>
      <c r="K12" s="1892"/>
      <c r="L12" s="2714"/>
      <c r="M12" s="2715"/>
      <c r="N12" s="2715"/>
      <c r="O12" s="2715"/>
      <c r="P12" s="3729"/>
      <c r="Q12" s="1341">
        <f t="shared" si="6"/>
        <v>111</v>
      </c>
      <c r="R12" s="700" t="s">
        <v>18</v>
      </c>
      <c r="S12" s="701">
        <f t="shared" si="0"/>
        <v>100</v>
      </c>
      <c r="T12" s="700" t="s">
        <v>18</v>
      </c>
      <c r="U12" s="701">
        <f t="shared" si="1"/>
        <v>100</v>
      </c>
      <c r="V12" s="700" t="s">
        <v>18</v>
      </c>
      <c r="W12" s="701">
        <f t="shared" si="2"/>
        <v>100</v>
      </c>
      <c r="X12" s="702"/>
      <c r="Y12" s="3686"/>
      <c r="Z12" s="52">
        <f t="shared" si="7"/>
        <v>111</v>
      </c>
      <c r="AA12" s="703">
        <f>D12/F12</f>
        <v>1</v>
      </c>
      <c r="AB12" s="703">
        <f>D12/H12</f>
        <v>1</v>
      </c>
      <c r="AC12" s="703">
        <f>D12/J12</f>
        <v>1</v>
      </c>
    </row>
    <row r="13" spans="1:29" ht="15">
      <c r="A13" s="379"/>
      <c r="B13" s="1891">
        <v>111</v>
      </c>
      <c r="C13" s="385"/>
      <c r="D13" s="386">
        <v>100</v>
      </c>
      <c r="E13" s="385"/>
      <c r="F13" s="376">
        <f>SUMIF(72:72,E13,73:73)-SUMIF(72:72,C13,73:73)+100</f>
        <v>100</v>
      </c>
      <c r="G13" s="385"/>
      <c r="H13" s="386">
        <f>SUMIF(72:72,G13,73:73)-SUMIF(72:72,C13,73:73)+100</f>
        <v>100</v>
      </c>
      <c r="I13" s="385"/>
      <c r="J13" s="386">
        <f>SUMIF(72:72,I13,73:73)-SUMIF(72:72,C13,73:73)+100</f>
        <v>100</v>
      </c>
      <c r="K13" s="1892"/>
      <c r="L13" s="2719"/>
      <c r="M13" s="2713"/>
      <c r="N13" s="2713"/>
      <c r="O13" s="2713"/>
      <c r="P13" s="3729"/>
      <c r="Q13" s="1341">
        <f t="shared" si="6"/>
        <v>111</v>
      </c>
      <c r="R13" s="700" t="s">
        <v>18</v>
      </c>
      <c r="S13" s="701">
        <f t="shared" si="0"/>
        <v>100</v>
      </c>
      <c r="T13" s="700" t="s">
        <v>18</v>
      </c>
      <c r="U13" s="701">
        <f t="shared" si="1"/>
        <v>100</v>
      </c>
      <c r="V13" s="700" t="s">
        <v>18</v>
      </c>
      <c r="W13" s="701">
        <f t="shared" si="2"/>
        <v>100</v>
      </c>
      <c r="X13" s="702"/>
      <c r="Y13" s="3686"/>
      <c r="Z13" s="52">
        <f t="shared" si="7"/>
        <v>111</v>
      </c>
      <c r="AA13" s="703">
        <f t="shared" si="3"/>
        <v>1</v>
      </c>
      <c r="AB13" s="703">
        <f t="shared" si="4"/>
        <v>1</v>
      </c>
      <c r="AC13" s="703">
        <f t="shared" si="5"/>
        <v>1</v>
      </c>
    </row>
    <row r="14" spans="1:29" ht="15.75" thickBot="1">
      <c r="A14" s="387"/>
      <c r="B14" s="1893">
        <v>111</v>
      </c>
      <c r="C14" s="388"/>
      <c r="D14" s="389">
        <v>100</v>
      </c>
      <c r="E14" s="388"/>
      <c r="F14" s="390">
        <f>SUMIF(74:74,E14,75:75)-SUMIF(74:74,C14,75:75)+100</f>
        <v>100</v>
      </c>
      <c r="G14" s="388"/>
      <c r="H14" s="389">
        <f>SUMIF(74:74,G14,75:75)-SUMIF(74:74,C14,75:75)+100</f>
        <v>100</v>
      </c>
      <c r="I14" s="388"/>
      <c r="J14" s="389">
        <f>SUMIF(74:74,I14,75:75)-SUMIF(74:74,C14,75:75)+100</f>
        <v>100</v>
      </c>
      <c r="K14" s="1892"/>
      <c r="L14" s="2719"/>
      <c r="M14" s="2713"/>
      <c r="N14" s="2713"/>
      <c r="O14" s="2713"/>
      <c r="P14" s="3729"/>
      <c r="Q14" s="1341">
        <f t="shared" si="6"/>
        <v>111</v>
      </c>
      <c r="R14" s="700" t="s">
        <v>18</v>
      </c>
      <c r="S14" s="701">
        <f t="shared" si="0"/>
        <v>100</v>
      </c>
      <c r="T14" s="700" t="s">
        <v>18</v>
      </c>
      <c r="U14" s="701">
        <f t="shared" si="1"/>
        <v>100</v>
      </c>
      <c r="V14" s="700" t="s">
        <v>18</v>
      </c>
      <c r="W14" s="701">
        <f t="shared" si="2"/>
        <v>100</v>
      </c>
      <c r="X14" s="702"/>
      <c r="Y14" s="3686"/>
      <c r="Z14" s="52">
        <f t="shared" si="7"/>
        <v>111</v>
      </c>
      <c r="AA14" s="703">
        <f t="shared" si="3"/>
        <v>1</v>
      </c>
      <c r="AB14" s="703">
        <f t="shared" si="4"/>
        <v>1</v>
      </c>
      <c r="AC14" s="703">
        <f t="shared" si="5"/>
        <v>1</v>
      </c>
    </row>
    <row r="15" spans="1:29" ht="85.5">
      <c r="A15" s="391" t="s">
        <v>1690</v>
      </c>
      <c r="B15" s="61" t="s">
        <v>1257</v>
      </c>
      <c r="C15" s="1894"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19"/>
      <c r="M15" s="2713"/>
      <c r="N15" s="2713"/>
      <c r="O15" s="2713"/>
      <c r="P15" s="3743" t="s">
        <v>1691</v>
      </c>
      <c r="Q15" s="1350" t="str">
        <f t="shared" si="6"/>
        <v>居住社区成熟度</v>
      </c>
      <c r="R15" s="704" t="s">
        <v>18</v>
      </c>
      <c r="S15" s="705">
        <f t="shared" si="0"/>
        <v>100</v>
      </c>
      <c r="T15" s="704" t="s">
        <v>18</v>
      </c>
      <c r="U15" s="705">
        <f t="shared" si="1"/>
        <v>100</v>
      </c>
      <c r="V15" s="704" t="s">
        <v>18</v>
      </c>
      <c r="W15" s="705">
        <f t="shared" si="2"/>
        <v>100</v>
      </c>
      <c r="X15" s="1353"/>
      <c r="Y15" s="3745" t="s">
        <v>1691</v>
      </c>
      <c r="Z15" s="1354" t="str">
        <f t="shared" si="7"/>
        <v>居住社区成熟度</v>
      </c>
      <c r="AA15" s="1351">
        <f t="shared" si="3"/>
        <v>1</v>
      </c>
      <c r="AB15" s="1351">
        <f t="shared" si="4"/>
        <v>1</v>
      </c>
      <c r="AC15" s="1351">
        <f t="shared" si="5"/>
        <v>1</v>
      </c>
    </row>
    <row r="16" spans="1:29" ht="15">
      <c r="A16" s="379"/>
      <c r="B16" s="397"/>
      <c r="C16" s="398"/>
      <c r="D16" s="399"/>
      <c r="E16" s="1895"/>
      <c r="F16" s="399"/>
      <c r="G16" s="1896"/>
      <c r="H16" s="401"/>
      <c r="I16" s="1896"/>
      <c r="J16" s="399"/>
      <c r="K16" s="1897"/>
      <c r="L16" s="2719"/>
      <c r="M16" s="2713"/>
      <c r="N16" s="2713"/>
      <c r="O16" s="2713"/>
      <c r="P16" s="3744"/>
      <c r="Q16" s="1350"/>
      <c r="R16" s="704"/>
      <c r="S16" s="705"/>
      <c r="T16" s="704"/>
      <c r="U16" s="705"/>
      <c r="V16" s="704"/>
      <c r="W16" s="705"/>
      <c r="X16" s="1353"/>
      <c r="Y16" s="3746"/>
      <c r="Z16" s="1354"/>
      <c r="AA16" s="1351">
        <v>1</v>
      </c>
      <c r="AB16" s="1351">
        <v>1</v>
      </c>
      <c r="AC16" s="1351">
        <v>1</v>
      </c>
    </row>
    <row r="17" spans="1:29" ht="71.25">
      <c r="A17" s="379"/>
      <c r="B17" s="402" t="s">
        <v>1259</v>
      </c>
      <c r="C17" s="1898"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19"/>
      <c r="M17" s="2713"/>
      <c r="N17" s="2713"/>
      <c r="O17" s="2713"/>
      <c r="P17" s="3744"/>
      <c r="Q17" s="1350" t="str">
        <f>B17</f>
        <v>交通便捷度</v>
      </c>
      <c r="R17" s="704" t="s">
        <v>18</v>
      </c>
      <c r="S17" s="705">
        <f>F17</f>
        <v>100</v>
      </c>
      <c r="T17" s="704" t="s">
        <v>18</v>
      </c>
      <c r="U17" s="705">
        <f>H17</f>
        <v>100</v>
      </c>
      <c r="V17" s="704" t="s">
        <v>18</v>
      </c>
      <c r="W17" s="705">
        <f>J17</f>
        <v>100</v>
      </c>
      <c r="X17" s="1353"/>
      <c r="Y17" s="3746"/>
      <c r="Z17" s="1354" t="str">
        <f>Q17</f>
        <v>交通便捷度</v>
      </c>
      <c r="AA17" s="1351">
        <f t="shared" si="3"/>
        <v>1</v>
      </c>
      <c r="AB17" s="1351">
        <f t="shared" si="4"/>
        <v>1</v>
      </c>
      <c r="AC17" s="1351">
        <f t="shared" si="5"/>
        <v>1</v>
      </c>
    </row>
    <row r="18" spans="1:29" ht="15">
      <c r="A18" s="379"/>
      <c r="B18" s="407"/>
      <c r="C18" s="1899"/>
      <c r="D18" s="401"/>
      <c r="E18" s="1900"/>
      <c r="F18" s="401"/>
      <c r="G18" s="1901"/>
      <c r="H18" s="399"/>
      <c r="I18" s="1901"/>
      <c r="J18" s="399"/>
      <c r="K18" s="1897"/>
      <c r="L18" s="2719"/>
      <c r="M18" s="2713"/>
      <c r="N18" s="2713"/>
      <c r="O18" s="2713"/>
      <c r="P18" s="3744"/>
      <c r="Q18" s="1350"/>
      <c r="R18" s="704"/>
      <c r="S18" s="705"/>
      <c r="T18" s="704"/>
      <c r="U18" s="705"/>
      <c r="V18" s="704"/>
      <c r="W18" s="705"/>
      <c r="X18" s="1353"/>
      <c r="Y18" s="3746"/>
      <c r="Z18" s="1354"/>
      <c r="AA18" s="1351">
        <v>1</v>
      </c>
      <c r="AB18" s="1351">
        <v>1</v>
      </c>
      <c r="AC18" s="1351">
        <v>1</v>
      </c>
    </row>
    <row r="19" spans="1:29" ht="42.75">
      <c r="A19" s="379"/>
      <c r="B19" s="402" t="s">
        <v>1258</v>
      </c>
      <c r="C19" s="1898"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19"/>
      <c r="M19" s="2713"/>
      <c r="N19" s="2713"/>
      <c r="O19" s="2713"/>
      <c r="P19" s="3744"/>
      <c r="Q19" s="1350" t="str">
        <f>B19</f>
        <v>公共配套设施</v>
      </c>
      <c r="R19" s="704" t="s">
        <v>18</v>
      </c>
      <c r="S19" s="705">
        <f>F19</f>
        <v>100</v>
      </c>
      <c r="T19" s="704" t="s">
        <v>18</v>
      </c>
      <c r="U19" s="705">
        <f>H19</f>
        <v>100</v>
      </c>
      <c r="V19" s="704" t="s">
        <v>18</v>
      </c>
      <c r="W19" s="705">
        <f>J19</f>
        <v>100</v>
      </c>
      <c r="X19" s="1353"/>
      <c r="Y19" s="3746"/>
      <c r="Z19" s="1354" t="str">
        <f>Q19</f>
        <v>公共配套设施</v>
      </c>
      <c r="AA19" s="1351">
        <f t="shared" si="3"/>
        <v>1</v>
      </c>
      <c r="AB19" s="1351">
        <f t="shared" si="4"/>
        <v>1</v>
      </c>
      <c r="AC19" s="1351">
        <f t="shared" si="5"/>
        <v>1</v>
      </c>
    </row>
    <row r="20" spans="1:29" ht="15">
      <c r="A20" s="379"/>
      <c r="B20" s="407"/>
      <c r="C20" s="398"/>
      <c r="D20" s="399"/>
      <c r="E20" s="1895"/>
      <c r="F20" s="399"/>
      <c r="G20" s="1896"/>
      <c r="H20" s="399"/>
      <c r="I20" s="1896"/>
      <c r="J20" s="399"/>
      <c r="K20" s="1897"/>
      <c r="L20" s="2719"/>
      <c r="M20" s="2713"/>
      <c r="N20" s="2713"/>
      <c r="O20" s="2713"/>
      <c r="P20" s="3744"/>
      <c r="Q20" s="1350"/>
      <c r="R20" s="704"/>
      <c r="S20" s="705"/>
      <c r="T20" s="704"/>
      <c r="U20" s="705"/>
      <c r="V20" s="704"/>
      <c r="W20" s="705"/>
      <c r="X20" s="1353"/>
      <c r="Y20" s="3746"/>
      <c r="Z20" s="1354"/>
      <c r="AA20" s="1351">
        <v>1</v>
      </c>
      <c r="AB20" s="1351">
        <v>1</v>
      </c>
      <c r="AC20" s="1351">
        <v>1</v>
      </c>
    </row>
    <row r="21" spans="1:29" ht="28.5">
      <c r="A21" s="379"/>
      <c r="B21" s="1130" t="s">
        <v>1260</v>
      </c>
      <c r="C21" s="1898"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19"/>
      <c r="M21" s="2713"/>
      <c r="N21" s="2713"/>
      <c r="O21" s="2713"/>
      <c r="P21" s="3744"/>
      <c r="Q21" s="1350" t="str">
        <f>B21</f>
        <v>基础设施水平</v>
      </c>
      <c r="R21" s="704" t="s">
        <v>14</v>
      </c>
      <c r="S21" s="705">
        <f>F21</f>
        <v>100</v>
      </c>
      <c r="T21" s="704" t="s">
        <v>14</v>
      </c>
      <c r="U21" s="705">
        <f>H21</f>
        <v>100</v>
      </c>
      <c r="V21" s="704" t="s">
        <v>14</v>
      </c>
      <c r="W21" s="705">
        <f>J21</f>
        <v>100</v>
      </c>
      <c r="X21" s="1353"/>
      <c r="Y21" s="3746"/>
      <c r="Z21" s="1354" t="str">
        <f>Q21</f>
        <v>基础设施水平</v>
      </c>
      <c r="AA21" s="1351">
        <f t="shared" ref="AA21" si="8">D21/F21</f>
        <v>1</v>
      </c>
      <c r="AB21" s="1351">
        <f t="shared" ref="AB21" si="9">D21/H21</f>
        <v>1</v>
      </c>
      <c r="AC21" s="1351">
        <f t="shared" ref="AC21" si="10">D21/J21</f>
        <v>1</v>
      </c>
    </row>
    <row r="22" spans="1:29" ht="15">
      <c r="A22" s="379"/>
      <c r="B22" s="1130"/>
      <c r="C22" s="1899"/>
      <c r="D22" s="399"/>
      <c r="E22" s="398"/>
      <c r="F22" s="399"/>
      <c r="G22" s="1902"/>
      <c r="H22" s="399"/>
      <c r="I22" s="398"/>
      <c r="J22" s="399"/>
      <c r="K22" s="1903"/>
      <c r="L22" s="2719"/>
      <c r="M22" s="2713"/>
      <c r="N22" s="2713"/>
      <c r="O22" s="2713"/>
      <c r="P22" s="3744"/>
      <c r="Q22" s="1350"/>
      <c r="R22" s="704"/>
      <c r="S22" s="705"/>
      <c r="T22" s="704"/>
      <c r="U22" s="705"/>
      <c r="V22" s="704"/>
      <c r="W22" s="705"/>
      <c r="X22" s="1353"/>
      <c r="Y22" s="3746"/>
      <c r="Z22" s="1354"/>
      <c r="AA22" s="1351">
        <v>1</v>
      </c>
      <c r="AB22" s="1351">
        <v>1</v>
      </c>
      <c r="AC22" s="1351">
        <v>1</v>
      </c>
    </row>
    <row r="23" spans="1:29" ht="42.75">
      <c r="A23" s="379"/>
      <c r="B23" s="402" t="s">
        <v>1261</v>
      </c>
      <c r="C23" s="1898"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19"/>
      <c r="M23" s="2713"/>
      <c r="N23" s="2713"/>
      <c r="O23" s="2713"/>
      <c r="P23" s="3744"/>
      <c r="Q23" s="1350" t="str">
        <f>B23</f>
        <v>自然及人文环境</v>
      </c>
      <c r="R23" s="704" t="s">
        <v>18</v>
      </c>
      <c r="S23" s="705">
        <f>F23</f>
        <v>100</v>
      </c>
      <c r="T23" s="704" t="s">
        <v>18</v>
      </c>
      <c r="U23" s="705">
        <f>H23</f>
        <v>100</v>
      </c>
      <c r="V23" s="704" t="s">
        <v>18</v>
      </c>
      <c r="W23" s="705">
        <f>J23</f>
        <v>100</v>
      </c>
      <c r="X23" s="1353"/>
      <c r="Y23" s="3746"/>
      <c r="Z23" s="1354" t="str">
        <f>Q23</f>
        <v>自然及人文环境</v>
      </c>
      <c r="AA23" s="1351">
        <f>D23/F23</f>
        <v>1</v>
      </c>
      <c r="AB23" s="1351">
        <f>D23/H23</f>
        <v>1</v>
      </c>
      <c r="AC23" s="1351">
        <f>D23/J23</f>
        <v>1</v>
      </c>
    </row>
    <row r="24" spans="1:29" ht="15">
      <c r="A24" s="379"/>
      <c r="B24" s="407"/>
      <c r="C24" s="398"/>
      <c r="D24" s="399"/>
      <c r="E24" s="1895"/>
      <c r="F24" s="399"/>
      <c r="G24" s="1896"/>
      <c r="H24" s="399"/>
      <c r="I24" s="1896"/>
      <c r="J24" s="399"/>
      <c r="K24" s="1897"/>
      <c r="L24" s="2719"/>
      <c r="M24" s="2713"/>
      <c r="N24" s="2713"/>
      <c r="O24" s="2713"/>
      <c r="P24" s="3744"/>
      <c r="Q24" s="1350"/>
      <c r="R24" s="704"/>
      <c r="S24" s="705"/>
      <c r="T24" s="704"/>
      <c r="U24" s="705"/>
      <c r="V24" s="704"/>
      <c r="W24" s="705"/>
      <c r="X24" s="1353"/>
      <c r="Y24" s="3746"/>
      <c r="Z24" s="1354"/>
      <c r="AA24" s="1351">
        <v>1</v>
      </c>
      <c r="AB24" s="1351">
        <v>1</v>
      </c>
      <c r="AC24" s="1351">
        <v>1</v>
      </c>
    </row>
    <row r="25" spans="1:29" ht="15">
      <c r="A25" s="379"/>
      <c r="B25" s="375" t="s">
        <v>1692</v>
      </c>
      <c r="C25" s="411"/>
      <c r="D25" s="386">
        <v>100</v>
      </c>
      <c r="E25" s="1904"/>
      <c r="F25" s="386">
        <f>SUMIF(86:86,E25,87:87)-SUMIF(86:86,C25,87:87)+100</f>
        <v>100</v>
      </c>
      <c r="G25" s="1905"/>
      <c r="H25" s="386">
        <f>SUMIF(86:86,G25,87:87)-SUMIF(86:86,C25,87:87)+100</f>
        <v>100</v>
      </c>
      <c r="I25" s="1905"/>
      <c r="J25" s="386">
        <f>SUMIF(86:86,I25,87:87)-SUMIF(86:86,C25,87:87)+100</f>
        <v>100</v>
      </c>
      <c r="K25" s="377"/>
      <c r="L25" s="2719"/>
      <c r="M25" s="2713"/>
      <c r="N25" s="2713"/>
      <c r="O25" s="2713"/>
      <c r="P25" s="3744"/>
      <c r="Q25" s="1350" t="str">
        <f t="shared" ref="Q25:Q46" si="11">B25</f>
        <v>楼层-1</v>
      </c>
      <c r="R25" s="704" t="s">
        <v>18</v>
      </c>
      <c r="S25" s="705">
        <f t="shared" ref="S25:S46" si="12">F25</f>
        <v>100</v>
      </c>
      <c r="T25" s="704" t="s">
        <v>18</v>
      </c>
      <c r="U25" s="705">
        <f t="shared" ref="U25:U46" si="13">H25</f>
        <v>100</v>
      </c>
      <c r="V25" s="704" t="s">
        <v>18</v>
      </c>
      <c r="W25" s="705">
        <f t="shared" ref="W25:W46" si="14">J25</f>
        <v>100</v>
      </c>
      <c r="X25" s="1353"/>
      <c r="Y25" s="3746"/>
      <c r="Z25" s="1354" t="str">
        <f>Q25</f>
        <v>楼层-1</v>
      </c>
      <c r="AA25" s="1351">
        <f t="shared" ref="AA25:AA46" si="15">D25/F25</f>
        <v>1</v>
      </c>
      <c r="AB25" s="1351">
        <f t="shared" ref="AB25:AB46" si="16">D25/H25</f>
        <v>1</v>
      </c>
      <c r="AC25" s="1351">
        <f t="shared" ref="AC25:AC46" si="17">D25/J25</f>
        <v>1</v>
      </c>
    </row>
    <row r="26" spans="1:29" ht="15">
      <c r="A26" s="379"/>
      <c r="B26" s="375" t="s">
        <v>1693</v>
      </c>
      <c r="C26" s="411"/>
      <c r="D26" s="386">
        <v>100</v>
      </c>
      <c r="E26" s="1904"/>
      <c r="F26" s="386">
        <f>SUMIF(88:88,E26,89:89)-SUMIF(88:88,C26,89:89)+100</f>
        <v>100</v>
      </c>
      <c r="G26" s="1905"/>
      <c r="H26" s="386">
        <f>SUMIF(88:88,G26,89:89)-SUMIF(88:88,C26,89:89)+100</f>
        <v>100</v>
      </c>
      <c r="I26" s="1905"/>
      <c r="J26" s="386">
        <f>SUMIF(88:88,I26,89:89)-SUMIF(88:88,C26,89:89)+100</f>
        <v>100</v>
      </c>
      <c r="K26" s="377"/>
      <c r="L26" s="2719"/>
      <c r="M26" s="2713"/>
      <c r="N26" s="2713"/>
      <c r="O26" s="2713"/>
      <c r="P26" s="3744"/>
      <c r="Q26" s="1350" t="str">
        <f t="shared" si="11"/>
        <v>朝向</v>
      </c>
      <c r="R26" s="704" t="s">
        <v>18</v>
      </c>
      <c r="S26" s="705">
        <f t="shared" si="12"/>
        <v>100</v>
      </c>
      <c r="T26" s="704" t="s">
        <v>18</v>
      </c>
      <c r="U26" s="705">
        <f t="shared" si="13"/>
        <v>100</v>
      </c>
      <c r="V26" s="704" t="s">
        <v>18</v>
      </c>
      <c r="W26" s="705">
        <f t="shared" si="14"/>
        <v>100</v>
      </c>
      <c r="X26" s="1353"/>
      <c r="Y26" s="3746"/>
      <c r="Z26" s="1354" t="str">
        <f>Q26</f>
        <v>朝向</v>
      </c>
      <c r="AA26" s="1351">
        <f t="shared" si="15"/>
        <v>1</v>
      </c>
      <c r="AB26" s="1351">
        <f t="shared" si="16"/>
        <v>1</v>
      </c>
      <c r="AC26" s="1351">
        <f t="shared" si="17"/>
        <v>1</v>
      </c>
    </row>
    <row r="27" spans="1:29" s="108" customFormat="1" ht="15">
      <c r="A27" s="382"/>
      <c r="B27" s="1132">
        <v>111</v>
      </c>
      <c r="C27" s="383"/>
      <c r="D27" s="413">
        <v>100</v>
      </c>
      <c r="E27" s="416"/>
      <c r="F27" s="413">
        <f>SUMIF(90:90,E27,91:91)-SUMIF(90:90,C27,91:91)+100</f>
        <v>100</v>
      </c>
      <c r="G27" s="414"/>
      <c r="H27" s="413">
        <f>SUMIF(90:90,G27,91:91)-SUMIF(90:90,C27,91:91)+100</f>
        <v>100</v>
      </c>
      <c r="I27" s="414"/>
      <c r="J27" s="413">
        <f>SUMIF(90:90,I27,91:91)-SUMIF(90:90,C27,91:91)+100</f>
        <v>100</v>
      </c>
      <c r="K27" s="1892"/>
      <c r="L27" s="2714"/>
      <c r="M27" s="2715"/>
      <c r="N27" s="2715"/>
      <c r="O27" s="2715"/>
      <c r="P27" s="3744"/>
      <c r="Q27" s="1341">
        <f t="shared" si="11"/>
        <v>111</v>
      </c>
      <c r="R27" s="700" t="s">
        <v>18</v>
      </c>
      <c r="S27" s="701">
        <f t="shared" si="12"/>
        <v>100</v>
      </c>
      <c r="T27" s="700" t="s">
        <v>18</v>
      </c>
      <c r="U27" s="701">
        <f t="shared" si="13"/>
        <v>100</v>
      </c>
      <c r="V27" s="700" t="s">
        <v>18</v>
      </c>
      <c r="W27" s="701">
        <f t="shared" si="14"/>
        <v>100</v>
      </c>
      <c r="X27" s="702"/>
      <c r="Y27" s="3746"/>
      <c r="Z27" s="52">
        <f>Q27</f>
        <v>111</v>
      </c>
      <c r="AA27" s="1351">
        <f t="shared" si="15"/>
        <v>1</v>
      </c>
      <c r="AB27" s="1351">
        <f t="shared" si="16"/>
        <v>1</v>
      </c>
      <c r="AC27" s="1351">
        <f t="shared" si="17"/>
        <v>1</v>
      </c>
    </row>
    <row r="28" spans="1:29" ht="15">
      <c r="A28" s="379"/>
      <c r="B28" s="1132">
        <v>111</v>
      </c>
      <c r="C28" s="385"/>
      <c r="D28" s="386">
        <v>100</v>
      </c>
      <c r="E28" s="385"/>
      <c r="F28" s="386">
        <f>SUMIF(92:92,E28,93:93)-SUMIF(92:92,C28,93:93)+100</f>
        <v>100</v>
      </c>
      <c r="G28" s="1906"/>
      <c r="H28" s="386">
        <f>SUMIF(92:92,G28,93:93)-SUMIF(92:92,C28,93:93)+100</f>
        <v>100</v>
      </c>
      <c r="I28" s="385"/>
      <c r="J28" s="386">
        <f>SUMIF(92:92,I28,93:93)-SUMIF(92:92,C28,93:93)+100</f>
        <v>100</v>
      </c>
      <c r="K28" s="1892"/>
      <c r="L28" s="2719"/>
      <c r="M28" s="2713"/>
      <c r="N28" s="2713"/>
      <c r="O28" s="2713"/>
      <c r="P28" s="3744"/>
      <c r="Q28" s="1350">
        <f t="shared" si="11"/>
        <v>111</v>
      </c>
      <c r="R28" s="704" t="s">
        <v>18</v>
      </c>
      <c r="S28" s="705">
        <f t="shared" si="12"/>
        <v>100</v>
      </c>
      <c r="T28" s="704" t="s">
        <v>18</v>
      </c>
      <c r="U28" s="705">
        <f t="shared" si="13"/>
        <v>100</v>
      </c>
      <c r="V28" s="704" t="s">
        <v>18</v>
      </c>
      <c r="W28" s="705">
        <f t="shared" si="14"/>
        <v>100</v>
      </c>
      <c r="X28" s="1353"/>
      <c r="Y28" s="3746"/>
      <c r="Z28" s="1354">
        <f t="shared" ref="Z28:Z46" si="18">Q28</f>
        <v>111</v>
      </c>
      <c r="AA28" s="1351">
        <f t="shared" si="15"/>
        <v>1</v>
      </c>
      <c r="AB28" s="1351">
        <f t="shared" si="16"/>
        <v>1</v>
      </c>
      <c r="AC28" s="1351">
        <f t="shared" si="17"/>
        <v>1</v>
      </c>
    </row>
    <row r="29" spans="1:29" ht="15">
      <c r="A29" s="379"/>
      <c r="B29" s="1132">
        <v>111</v>
      </c>
      <c r="C29" s="385"/>
      <c r="D29" s="386">
        <v>100</v>
      </c>
      <c r="E29" s="385"/>
      <c r="F29" s="386">
        <f>SUMIF(94:94,E29,95:95)-SUMIF(94:94,C29,95:95)+100</f>
        <v>100</v>
      </c>
      <c r="G29" s="1906"/>
      <c r="H29" s="386">
        <f>SUMIF(94:94,G29,95:95)-SUMIF(94:94,C29,95:95)+100</f>
        <v>100</v>
      </c>
      <c r="I29" s="385"/>
      <c r="J29" s="386">
        <f>SUMIF(94:94,I29,95:95)-SUMIF(94:94,C29,95:95)+100</f>
        <v>100</v>
      </c>
      <c r="K29" s="1892"/>
      <c r="L29" s="2719"/>
      <c r="M29" s="2713"/>
      <c r="N29" s="2713"/>
      <c r="O29" s="2713"/>
      <c r="P29" s="3744"/>
      <c r="Q29" s="1350">
        <f t="shared" si="11"/>
        <v>111</v>
      </c>
      <c r="R29" s="704" t="s">
        <v>18</v>
      </c>
      <c r="S29" s="705">
        <f t="shared" si="12"/>
        <v>100</v>
      </c>
      <c r="T29" s="704" t="s">
        <v>18</v>
      </c>
      <c r="U29" s="705">
        <f t="shared" si="13"/>
        <v>100</v>
      </c>
      <c r="V29" s="704" t="s">
        <v>18</v>
      </c>
      <c r="W29" s="705">
        <f t="shared" si="14"/>
        <v>100</v>
      </c>
      <c r="X29" s="1353"/>
      <c r="Y29" s="3746"/>
      <c r="Z29" s="1354">
        <f t="shared" si="18"/>
        <v>111</v>
      </c>
      <c r="AA29" s="1351">
        <f t="shared" si="15"/>
        <v>1</v>
      </c>
      <c r="AB29" s="1351">
        <f t="shared" si="16"/>
        <v>1</v>
      </c>
      <c r="AC29" s="1351">
        <f t="shared" si="17"/>
        <v>1</v>
      </c>
    </row>
    <row r="30" spans="1:29" ht="15">
      <c r="A30" s="379"/>
      <c r="B30" s="1132">
        <v>111</v>
      </c>
      <c r="C30" s="385"/>
      <c r="D30" s="386">
        <v>100</v>
      </c>
      <c r="E30" s="385"/>
      <c r="F30" s="386">
        <f>SUMIF(96:96,E30,97:97)-SUMIF(96:96,C30,97:97)+100</f>
        <v>100</v>
      </c>
      <c r="G30" s="1906"/>
      <c r="H30" s="386">
        <f>SUMIF(96:96,G30,97:97)-SUMIF(96:96,C30,97:97)+100</f>
        <v>100</v>
      </c>
      <c r="I30" s="385"/>
      <c r="J30" s="386">
        <f>SUMIF(96:96,I30,97:97)-SUMIF(96:96,C30,97:97)+100</f>
        <v>100</v>
      </c>
      <c r="K30" s="1892"/>
      <c r="L30" s="2719"/>
      <c r="M30" s="2713"/>
      <c r="N30" s="2713"/>
      <c r="O30" s="2713"/>
      <c r="P30" s="3744"/>
      <c r="Q30" s="1350">
        <f t="shared" si="11"/>
        <v>111</v>
      </c>
      <c r="R30" s="704" t="s">
        <v>18</v>
      </c>
      <c r="S30" s="705">
        <f t="shared" si="12"/>
        <v>100</v>
      </c>
      <c r="T30" s="704" t="s">
        <v>18</v>
      </c>
      <c r="U30" s="705">
        <f t="shared" si="13"/>
        <v>100</v>
      </c>
      <c r="V30" s="704" t="s">
        <v>18</v>
      </c>
      <c r="W30" s="705">
        <f t="shared" si="14"/>
        <v>100</v>
      </c>
      <c r="X30" s="1353"/>
      <c r="Y30" s="3746"/>
      <c r="Z30" s="1354">
        <f t="shared" si="18"/>
        <v>111</v>
      </c>
      <c r="AA30" s="1351">
        <f t="shared" si="15"/>
        <v>1</v>
      </c>
      <c r="AB30" s="1351">
        <f t="shared" si="16"/>
        <v>1</v>
      </c>
      <c r="AC30" s="1351">
        <f t="shared" si="17"/>
        <v>1</v>
      </c>
    </row>
    <row r="31" spans="1:29" ht="15.75" thickBot="1">
      <c r="A31" s="387"/>
      <c r="B31" s="1132">
        <v>111</v>
      </c>
      <c r="C31" s="388"/>
      <c r="D31" s="389">
        <v>100</v>
      </c>
      <c r="E31" s="388"/>
      <c r="F31" s="389">
        <f>SUMIF(98:98,E31,99:99)-SUMIF(98:98,C31,99:99)+100</f>
        <v>100</v>
      </c>
      <c r="G31" s="1907"/>
      <c r="H31" s="389">
        <f>SUMIF(98:98,G31,99:99)-SUMIF(98:98,C31,99:99)+100</f>
        <v>100</v>
      </c>
      <c r="I31" s="388"/>
      <c r="J31" s="389">
        <f>SUMIF(98:98,I31,99:99)-SUMIF(98:98,C31,99:99)+100</f>
        <v>100</v>
      </c>
      <c r="K31" s="1892"/>
      <c r="L31" s="2719"/>
      <c r="M31" s="2713"/>
      <c r="N31" s="2713"/>
      <c r="O31" s="2713"/>
      <c r="P31" s="3744"/>
      <c r="Q31" s="1350">
        <f t="shared" si="11"/>
        <v>111</v>
      </c>
      <c r="R31" s="704" t="s">
        <v>18</v>
      </c>
      <c r="S31" s="705">
        <f t="shared" si="12"/>
        <v>100</v>
      </c>
      <c r="T31" s="704" t="s">
        <v>18</v>
      </c>
      <c r="U31" s="705">
        <f t="shared" si="13"/>
        <v>100</v>
      </c>
      <c r="V31" s="704" t="s">
        <v>18</v>
      </c>
      <c r="W31" s="705">
        <f t="shared" si="14"/>
        <v>100</v>
      </c>
      <c r="X31" s="1353"/>
      <c r="Y31" s="3746"/>
      <c r="Z31" s="1354">
        <f t="shared" si="18"/>
        <v>111</v>
      </c>
      <c r="AA31" s="1351">
        <f t="shared" si="15"/>
        <v>1</v>
      </c>
      <c r="AB31" s="1351">
        <f t="shared" si="16"/>
        <v>1</v>
      </c>
      <c r="AC31" s="1351">
        <f t="shared" si="17"/>
        <v>1</v>
      </c>
    </row>
    <row r="32" spans="1:29" ht="15">
      <c r="A32" s="391" t="s">
        <v>1694</v>
      </c>
      <c r="B32" s="63" t="s">
        <v>1695</v>
      </c>
      <c r="C32" s="1908"/>
      <c r="D32" s="418">
        <v>100</v>
      </c>
      <c r="E32" s="1909"/>
      <c r="F32" s="412">
        <f>SUMIF(100:100,E32,101:101)-SUMIF(100:100,C32,101:101)+100</f>
        <v>100</v>
      </c>
      <c r="G32" s="1908"/>
      <c r="H32" s="418">
        <f>SUMIF(100:100,G32,101:101)-SUMIF(100:100,C32,101:101)+100</f>
        <v>100</v>
      </c>
      <c r="I32" s="1909"/>
      <c r="J32" s="386">
        <f>SUMIF(100:100,I32,101:101)-SUMIF(100:100,C32,101:101)+100</f>
        <v>100</v>
      </c>
      <c r="K32" s="377"/>
      <c r="L32" s="2719"/>
      <c r="M32" s="2713"/>
      <c r="N32" s="2713"/>
      <c r="O32" s="2713"/>
      <c r="P32" s="3747" t="s">
        <v>1696</v>
      </c>
      <c r="Q32" s="1350" t="str">
        <f t="shared" si="11"/>
        <v>建筑类型</v>
      </c>
      <c r="R32" s="704" t="s">
        <v>18</v>
      </c>
      <c r="S32" s="705">
        <f t="shared" si="12"/>
        <v>100</v>
      </c>
      <c r="T32" s="704" t="s">
        <v>18</v>
      </c>
      <c r="U32" s="705">
        <f t="shared" si="13"/>
        <v>100</v>
      </c>
      <c r="V32" s="704" t="s">
        <v>18</v>
      </c>
      <c r="W32" s="705">
        <f t="shared" si="14"/>
        <v>100</v>
      </c>
      <c r="X32" s="1353"/>
      <c r="Y32" s="3750" t="s">
        <v>1696</v>
      </c>
      <c r="Z32" s="1354" t="str">
        <f t="shared" si="18"/>
        <v>建筑类型</v>
      </c>
      <c r="AA32" s="1351">
        <f t="shared" si="15"/>
        <v>1</v>
      </c>
      <c r="AB32" s="1351">
        <f t="shared" si="16"/>
        <v>1</v>
      </c>
      <c r="AC32" s="1351">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2"/>
      <c r="L33" s="2718"/>
      <c r="M33" s="2720"/>
      <c r="N33" s="2720"/>
      <c r="O33" s="2720"/>
      <c r="P33" s="3748"/>
      <c r="Q33" s="706" t="str">
        <f t="shared" si="11"/>
        <v>项目建筑规模</v>
      </c>
      <c r="R33" s="707" t="s">
        <v>18</v>
      </c>
      <c r="S33" s="708" t="e">
        <f t="shared" si="12"/>
        <v>#N/A</v>
      </c>
      <c r="T33" s="707" t="s">
        <v>18</v>
      </c>
      <c r="U33" s="708" t="e">
        <f t="shared" si="13"/>
        <v>#N/A</v>
      </c>
      <c r="V33" s="707" t="s">
        <v>18</v>
      </c>
      <c r="W33" s="708" t="e">
        <f t="shared" si="14"/>
        <v>#N/A</v>
      </c>
      <c r="X33" s="709"/>
      <c r="Y33" s="3750"/>
      <c r="Z33" s="710" t="str">
        <f t="shared" si="18"/>
        <v>项目建筑规模</v>
      </c>
      <c r="AA33" s="1351" t="e">
        <f t="shared" si="15"/>
        <v>#N/A</v>
      </c>
      <c r="AB33" s="1351" t="e">
        <f t="shared" si="16"/>
        <v>#N/A</v>
      </c>
      <c r="AC33" s="1351" t="e">
        <f t="shared" si="17"/>
        <v>#N/A</v>
      </c>
    </row>
    <row r="34" spans="1:29" ht="15">
      <c r="A34" s="423"/>
      <c r="B34" s="375" t="s">
        <v>1698</v>
      </c>
      <c r="C34" s="1910"/>
      <c r="D34" s="386">
        <v>100</v>
      </c>
      <c r="E34" s="1911"/>
      <c r="F34" s="412">
        <f>SUMIF(105:105,E34,106:106)-SUMIF(105:105,C34,106:106)+100</f>
        <v>100</v>
      </c>
      <c r="G34" s="1910"/>
      <c r="H34" s="386">
        <f>SUMIF(105:105,G34,106:106)-SUMIF(105:105,C34,106:106)+100</f>
        <v>100</v>
      </c>
      <c r="I34" s="1911"/>
      <c r="J34" s="386">
        <f>SUMIF(105:105,I34,106:106)-SUMIF(105:105,C34,106:106)+100</f>
        <v>100</v>
      </c>
      <c r="K34" s="377"/>
      <c r="L34" s="2719"/>
      <c r="M34" s="2713"/>
      <c r="N34" s="2713"/>
      <c r="O34" s="2713"/>
      <c r="P34" s="3748"/>
      <c r="Q34" s="1350" t="str">
        <f t="shared" si="11"/>
        <v>建筑结构</v>
      </c>
      <c r="R34" s="704" t="s">
        <v>18</v>
      </c>
      <c r="S34" s="705">
        <f t="shared" si="12"/>
        <v>100</v>
      </c>
      <c r="T34" s="704" t="s">
        <v>18</v>
      </c>
      <c r="U34" s="705">
        <f t="shared" si="13"/>
        <v>100</v>
      </c>
      <c r="V34" s="704" t="s">
        <v>18</v>
      </c>
      <c r="W34" s="705">
        <f t="shared" si="14"/>
        <v>100</v>
      </c>
      <c r="X34" s="1353"/>
      <c r="Y34" s="3750"/>
      <c r="Z34" s="1354" t="str">
        <f t="shared" si="18"/>
        <v>建筑结构</v>
      </c>
      <c r="AA34" s="1351">
        <f t="shared" si="15"/>
        <v>1</v>
      </c>
      <c r="AB34" s="1351">
        <f t="shared" si="16"/>
        <v>1</v>
      </c>
      <c r="AC34" s="1351">
        <f t="shared" si="17"/>
        <v>1</v>
      </c>
    </row>
    <row r="35" spans="1:29" ht="15">
      <c r="A35" s="423"/>
      <c r="B35" s="375" t="s">
        <v>1699</v>
      </c>
      <c r="C35" s="1904"/>
      <c r="D35" s="386">
        <v>100</v>
      </c>
      <c r="E35" s="1905"/>
      <c r="F35" s="412">
        <f>SUMIF(107:107,E35,108:108)-SUMIF(107:107,C35,108:108)+100</f>
        <v>100</v>
      </c>
      <c r="G35" s="1904"/>
      <c r="H35" s="386">
        <f>SUMIF(107:107,G35,108:108)-SUMIF(107:107,C35,108:108)+100</f>
        <v>100</v>
      </c>
      <c r="I35" s="1905"/>
      <c r="J35" s="386">
        <f>SUMIF(107:107,I35,108:108)-SUMIF(107:107,C35,108:108)+100</f>
        <v>100</v>
      </c>
      <c r="K35" s="377"/>
      <c r="L35" s="2719"/>
      <c r="M35" s="2713"/>
      <c r="N35" s="2713"/>
      <c r="O35" s="2713"/>
      <c r="P35" s="3748"/>
      <c r="Q35" s="1350" t="str">
        <f t="shared" si="11"/>
        <v>建筑品质</v>
      </c>
      <c r="R35" s="704" t="s">
        <v>18</v>
      </c>
      <c r="S35" s="705">
        <f t="shared" si="12"/>
        <v>100</v>
      </c>
      <c r="T35" s="704" t="s">
        <v>18</v>
      </c>
      <c r="U35" s="705">
        <f t="shared" si="13"/>
        <v>100</v>
      </c>
      <c r="V35" s="704" t="s">
        <v>18</v>
      </c>
      <c r="W35" s="705">
        <f t="shared" si="14"/>
        <v>100</v>
      </c>
      <c r="X35" s="1353"/>
      <c r="Y35" s="3750"/>
      <c r="Z35" s="1354" t="str">
        <f t="shared" si="18"/>
        <v>建筑品质</v>
      </c>
      <c r="AA35" s="1351">
        <f t="shared" si="15"/>
        <v>1</v>
      </c>
      <c r="AB35" s="1351">
        <f t="shared" si="16"/>
        <v>1</v>
      </c>
      <c r="AC35" s="1351">
        <f t="shared" si="17"/>
        <v>1</v>
      </c>
    </row>
    <row r="36" spans="1:29" ht="15">
      <c r="A36" s="423"/>
      <c r="B36" s="375" t="s">
        <v>1700</v>
      </c>
      <c r="C36" s="1904"/>
      <c r="D36" s="386">
        <v>100</v>
      </c>
      <c r="E36" s="1905"/>
      <c r="F36" s="412">
        <f>SUMIF(109:109,E36,110:110)-SUMIF(109:109,C36,110:110)+100</f>
        <v>100</v>
      </c>
      <c r="G36" s="1904"/>
      <c r="H36" s="386">
        <f>SUMIF(109:109,G36,110:110)-SUMIF(109:109,C36,110:110)+100</f>
        <v>100</v>
      </c>
      <c r="I36" s="1905"/>
      <c r="J36" s="386">
        <f>SUMIF(109:109,I36,110:110)-SUMIF(109:109,C36,110:110)+100</f>
        <v>100</v>
      </c>
      <c r="K36" s="377"/>
      <c r="L36" s="2719"/>
      <c r="M36" s="2713"/>
      <c r="N36" s="2713"/>
      <c r="O36" s="2713"/>
      <c r="P36" s="3748"/>
      <c r="Q36" s="1350" t="str">
        <f t="shared" si="11"/>
        <v>公共部分装修</v>
      </c>
      <c r="R36" s="704" t="s">
        <v>18</v>
      </c>
      <c r="S36" s="705">
        <f t="shared" si="12"/>
        <v>100</v>
      </c>
      <c r="T36" s="704" t="s">
        <v>18</v>
      </c>
      <c r="U36" s="705">
        <f t="shared" si="13"/>
        <v>100</v>
      </c>
      <c r="V36" s="704" t="s">
        <v>18</v>
      </c>
      <c r="W36" s="705">
        <f t="shared" si="14"/>
        <v>100</v>
      </c>
      <c r="X36" s="1353"/>
      <c r="Y36" s="3750"/>
      <c r="Z36" s="1354" t="str">
        <f t="shared" si="18"/>
        <v>公共部分装修</v>
      </c>
      <c r="AA36" s="1351">
        <f t="shared" si="15"/>
        <v>1</v>
      </c>
      <c r="AB36" s="1351">
        <f t="shared" si="16"/>
        <v>1</v>
      </c>
      <c r="AC36" s="1351">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4"/>
      <c r="M37" s="2715"/>
      <c r="N37" s="2715"/>
      <c r="O37" s="2715"/>
      <c r="P37" s="3748"/>
      <c r="Q37" s="1341" t="str">
        <f t="shared" si="11"/>
        <v>成新度</v>
      </c>
      <c r="R37" s="700" t="s">
        <v>18</v>
      </c>
      <c r="S37" s="701" t="e">
        <f t="shared" si="12"/>
        <v>#N/A</v>
      </c>
      <c r="T37" s="700" t="s">
        <v>18</v>
      </c>
      <c r="U37" s="701" t="e">
        <f t="shared" si="13"/>
        <v>#N/A</v>
      </c>
      <c r="V37" s="700" t="s">
        <v>18</v>
      </c>
      <c r="W37" s="701" t="e">
        <f t="shared" si="14"/>
        <v>#N/A</v>
      </c>
      <c r="X37" s="702"/>
      <c r="Y37" s="3750"/>
      <c r="Z37" s="52" t="str">
        <f t="shared" si="18"/>
        <v>成新度</v>
      </c>
      <c r="AA37" s="703" t="e">
        <f t="shared" si="15"/>
        <v>#N/A</v>
      </c>
      <c r="AB37" s="703" t="e">
        <f t="shared" si="16"/>
        <v>#N/A</v>
      </c>
      <c r="AC37" s="703" t="e">
        <f t="shared" si="17"/>
        <v>#N/A</v>
      </c>
    </row>
    <row r="38" spans="1:29" ht="15">
      <c r="A38" s="423"/>
      <c r="B38" s="375" t="s">
        <v>1702</v>
      </c>
      <c r="C38" s="1904"/>
      <c r="D38" s="386">
        <v>100</v>
      </c>
      <c r="E38" s="1905"/>
      <c r="F38" s="412">
        <f>SUMIF(114:114,E38,115:115)-SUMIF(114:114,C38,115:115)+100</f>
        <v>100</v>
      </c>
      <c r="G38" s="1904"/>
      <c r="H38" s="386">
        <f>SUMIF(114:114,G38,115:115)-SUMIF(114:114,C38,115:115)+100</f>
        <v>100</v>
      </c>
      <c r="I38" s="1905"/>
      <c r="J38" s="386">
        <f>SUMIF(114:114,I38,115:115)-SUMIF(114:114,C38,115:115)+100</f>
        <v>100</v>
      </c>
      <c r="K38" s="377"/>
      <c r="L38" s="2719"/>
      <c r="M38" s="2713"/>
      <c r="N38" s="2713"/>
      <c r="O38" s="2713"/>
      <c r="P38" s="3748" t="s">
        <v>1696</v>
      </c>
      <c r="Q38" s="1350" t="str">
        <f t="shared" si="11"/>
        <v>物业管理</v>
      </c>
      <c r="R38" s="704" t="s">
        <v>18</v>
      </c>
      <c r="S38" s="705">
        <f t="shared" si="12"/>
        <v>100</v>
      </c>
      <c r="T38" s="704" t="s">
        <v>18</v>
      </c>
      <c r="U38" s="705">
        <f t="shared" si="13"/>
        <v>100</v>
      </c>
      <c r="V38" s="704" t="s">
        <v>18</v>
      </c>
      <c r="W38" s="705">
        <f t="shared" si="14"/>
        <v>100</v>
      </c>
      <c r="X38" s="1353"/>
      <c r="Y38" s="3750" t="s">
        <v>1696</v>
      </c>
      <c r="Z38" s="1354" t="str">
        <f t="shared" si="18"/>
        <v>物业管理</v>
      </c>
      <c r="AA38" s="1351">
        <f t="shared" si="15"/>
        <v>1</v>
      </c>
      <c r="AB38" s="1351">
        <f t="shared" si="16"/>
        <v>1</v>
      </c>
      <c r="AC38" s="1351">
        <f t="shared" si="17"/>
        <v>1</v>
      </c>
    </row>
    <row r="39" spans="1:29" ht="15">
      <c r="A39" s="423"/>
      <c r="B39" s="375" t="s">
        <v>1703</v>
      </c>
      <c r="C39" s="1904"/>
      <c r="D39" s="386">
        <v>100</v>
      </c>
      <c r="E39" s="1905"/>
      <c r="F39" s="412">
        <f>SUMIF(116:116,E39,117:117)-SUMIF(116:116,C39,117:117)+100</f>
        <v>100</v>
      </c>
      <c r="G39" s="1904"/>
      <c r="H39" s="386">
        <f>SUMIF(116:116,G39,117:117)-SUMIF(116:116,C39,117:117)+100</f>
        <v>100</v>
      </c>
      <c r="I39" s="1905"/>
      <c r="J39" s="386">
        <f>SUMIF(116:116,I39,117:117)-SUMIF(116:116,C39,117:117)+100</f>
        <v>100</v>
      </c>
      <c r="K39" s="377"/>
      <c r="L39" s="2719"/>
      <c r="M39" s="2713"/>
      <c r="N39" s="2713"/>
      <c r="O39" s="2713"/>
      <c r="P39" s="3748"/>
      <c r="Q39" s="1350" t="str">
        <f t="shared" si="11"/>
        <v>市政基础设施</v>
      </c>
      <c r="R39" s="704" t="s">
        <v>18</v>
      </c>
      <c r="S39" s="705">
        <f t="shared" si="12"/>
        <v>100</v>
      </c>
      <c r="T39" s="704" t="s">
        <v>18</v>
      </c>
      <c r="U39" s="705">
        <f t="shared" si="13"/>
        <v>100</v>
      </c>
      <c r="V39" s="704" t="s">
        <v>18</v>
      </c>
      <c r="W39" s="705">
        <f t="shared" si="14"/>
        <v>100</v>
      </c>
      <c r="X39" s="1353"/>
      <c r="Y39" s="3750"/>
      <c r="Z39" s="1354" t="str">
        <f t="shared" si="18"/>
        <v>市政基础设施</v>
      </c>
      <c r="AA39" s="1351">
        <f t="shared" si="15"/>
        <v>1</v>
      </c>
      <c r="AB39" s="1351">
        <f t="shared" si="16"/>
        <v>1</v>
      </c>
      <c r="AC39" s="1351">
        <f t="shared" si="17"/>
        <v>1</v>
      </c>
    </row>
    <row r="40" spans="1:29" ht="15">
      <c r="A40" s="423"/>
      <c r="B40" s="375" t="s">
        <v>1704</v>
      </c>
      <c r="C40" s="1904"/>
      <c r="D40" s="386">
        <v>100</v>
      </c>
      <c r="E40" s="1905"/>
      <c r="F40" s="412">
        <f>SUMIF(118:118,E40,119:119)-SUMIF(118:118,C40,119:119)+100</f>
        <v>100</v>
      </c>
      <c r="G40" s="1904"/>
      <c r="H40" s="386">
        <f>SUMIF(118:118,G40,119:119)-SUMIF(118:118,C40,119:119)+100</f>
        <v>100</v>
      </c>
      <c r="I40" s="1905"/>
      <c r="J40" s="386">
        <f>SUMIF(118:118,I40,119:119)-SUMIF(118:118,C40,119:119)+100</f>
        <v>100</v>
      </c>
      <c r="K40" s="377"/>
      <c r="L40" s="2719"/>
      <c r="M40" s="2713"/>
      <c r="N40" s="2713"/>
      <c r="O40" s="2713"/>
      <c r="P40" s="3748"/>
      <c r="Q40" s="1350" t="str">
        <f t="shared" si="11"/>
        <v>房型</v>
      </c>
      <c r="R40" s="704" t="s">
        <v>18</v>
      </c>
      <c r="S40" s="705">
        <f t="shared" si="12"/>
        <v>100</v>
      </c>
      <c r="T40" s="704" t="s">
        <v>18</v>
      </c>
      <c r="U40" s="705">
        <f t="shared" si="13"/>
        <v>100</v>
      </c>
      <c r="V40" s="704" t="s">
        <v>18</v>
      </c>
      <c r="W40" s="705">
        <f t="shared" si="14"/>
        <v>100</v>
      </c>
      <c r="X40" s="1353"/>
      <c r="Y40" s="3750"/>
      <c r="Z40" s="1354" t="str">
        <f t="shared" si="18"/>
        <v>房型</v>
      </c>
      <c r="AA40" s="1351">
        <f t="shared" si="15"/>
        <v>1</v>
      </c>
      <c r="AB40" s="1351">
        <f t="shared" si="16"/>
        <v>1</v>
      </c>
      <c r="AC40" s="1351">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2"/>
      <c r="L41" s="2718"/>
      <c r="M41" s="2720"/>
      <c r="N41" s="2720"/>
      <c r="O41" s="2720"/>
      <c r="P41" s="3748"/>
      <c r="Q41" s="706" t="str">
        <f t="shared" si="11"/>
        <v>单套/主力户型建筑面积</v>
      </c>
      <c r="R41" s="707" t="s">
        <v>18</v>
      </c>
      <c r="S41" s="708">
        <f t="shared" si="12"/>
        <v>100</v>
      </c>
      <c r="T41" s="707" t="s">
        <v>18</v>
      </c>
      <c r="U41" s="708">
        <f t="shared" si="13"/>
        <v>100</v>
      </c>
      <c r="V41" s="707" t="s">
        <v>18</v>
      </c>
      <c r="W41" s="708">
        <f t="shared" si="14"/>
        <v>100</v>
      </c>
      <c r="X41" s="709"/>
      <c r="Y41" s="3750"/>
      <c r="Z41" s="710" t="str">
        <f t="shared" si="18"/>
        <v>单套/主力户型建筑面积</v>
      </c>
      <c r="AA41" s="1351">
        <f t="shared" si="15"/>
        <v>1</v>
      </c>
      <c r="AB41" s="1351">
        <f t="shared" si="16"/>
        <v>1</v>
      </c>
      <c r="AC41" s="1351">
        <f t="shared" si="17"/>
        <v>1</v>
      </c>
    </row>
    <row r="42" spans="1:29" ht="15">
      <c r="A42" s="423"/>
      <c r="B42" s="375" t="s">
        <v>1706</v>
      </c>
      <c r="C42" s="1904"/>
      <c r="D42" s="386">
        <v>100</v>
      </c>
      <c r="E42" s="1905"/>
      <c r="F42" s="412">
        <f>SUMIF(122:122,E42,123:123)-SUMIF(122:122,C42,123:123)+100</f>
        <v>100</v>
      </c>
      <c r="G42" s="1904"/>
      <c r="H42" s="386">
        <f>SUMIF(122:122,G42,123:123)-SUMIF(122:122,C42,123:123)+100</f>
        <v>100</v>
      </c>
      <c r="I42" s="1905"/>
      <c r="J42" s="386">
        <f>SUMIF(122:122,I42,123:123)-SUMIF(122:122,C42,123:123)+100</f>
        <v>100</v>
      </c>
      <c r="K42" s="377"/>
      <c r="L42" s="2719"/>
      <c r="M42" s="2713"/>
      <c r="N42" s="2713"/>
      <c r="O42" s="2713"/>
      <c r="P42" s="3748"/>
      <c r="Q42" s="1350" t="str">
        <f t="shared" si="11"/>
        <v>内部装修</v>
      </c>
      <c r="R42" s="704" t="s">
        <v>18</v>
      </c>
      <c r="S42" s="705">
        <f t="shared" si="12"/>
        <v>100</v>
      </c>
      <c r="T42" s="704" t="s">
        <v>18</v>
      </c>
      <c r="U42" s="705">
        <f t="shared" si="13"/>
        <v>100</v>
      </c>
      <c r="V42" s="704" t="s">
        <v>18</v>
      </c>
      <c r="W42" s="705">
        <f t="shared" si="14"/>
        <v>100</v>
      </c>
      <c r="X42" s="1353"/>
      <c r="Y42" s="3750"/>
      <c r="Z42" s="1354" t="str">
        <f t="shared" si="18"/>
        <v>内部装修</v>
      </c>
      <c r="AA42" s="1351">
        <f t="shared" si="15"/>
        <v>1</v>
      </c>
      <c r="AB42" s="1351">
        <f t="shared" si="16"/>
        <v>1</v>
      </c>
      <c r="AC42" s="1351">
        <f t="shared" si="17"/>
        <v>1</v>
      </c>
    </row>
    <row r="43" spans="1:29" ht="15">
      <c r="A43" s="423"/>
      <c r="B43" s="375" t="s">
        <v>1707</v>
      </c>
      <c r="C43" s="1904"/>
      <c r="D43" s="386">
        <v>100</v>
      </c>
      <c r="E43" s="1905"/>
      <c r="F43" s="412">
        <f>SUMIF(124:124,E43,125:125)-SUMIF(124:124,C43,125:125)+100</f>
        <v>100</v>
      </c>
      <c r="G43" s="1904"/>
      <c r="H43" s="386">
        <f>SUMIF(124:124,G43,125:125)-SUMIF(124:124,C43,125:125)+100</f>
        <v>100</v>
      </c>
      <c r="I43" s="1905"/>
      <c r="J43" s="386">
        <f>SUMIF(124:124,I43,125:125)-SUMIF(124:124,C43,125:125)+100</f>
        <v>100</v>
      </c>
      <c r="K43" s="377"/>
      <c r="L43" s="2719"/>
      <c r="M43" s="2713"/>
      <c r="N43" s="2713"/>
      <c r="O43" s="2713"/>
      <c r="P43" s="3748"/>
      <c r="Q43" s="1350" t="str">
        <f t="shared" si="11"/>
        <v>内部装修维护情况</v>
      </c>
      <c r="R43" s="704" t="s">
        <v>18</v>
      </c>
      <c r="S43" s="705">
        <f t="shared" si="12"/>
        <v>100</v>
      </c>
      <c r="T43" s="704" t="s">
        <v>18</v>
      </c>
      <c r="U43" s="705">
        <f t="shared" si="13"/>
        <v>100</v>
      </c>
      <c r="V43" s="704" t="s">
        <v>18</v>
      </c>
      <c r="W43" s="705">
        <f t="shared" si="14"/>
        <v>100</v>
      </c>
      <c r="X43" s="1353"/>
      <c r="Y43" s="3750"/>
      <c r="Z43" s="1354" t="str">
        <f t="shared" si="18"/>
        <v>内部装修维护情况</v>
      </c>
      <c r="AA43" s="1351">
        <f t="shared" si="15"/>
        <v>1</v>
      </c>
      <c r="AB43" s="1351">
        <f t="shared" si="16"/>
        <v>1</v>
      </c>
      <c r="AC43" s="1351">
        <f t="shared" si="17"/>
        <v>1</v>
      </c>
    </row>
    <row r="44" spans="1:29" s="108" customFormat="1" ht="15">
      <c r="A44" s="424"/>
      <c r="B44" s="1132">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2"/>
      <c r="L44" s="2714"/>
      <c r="M44" s="2715"/>
      <c r="N44" s="2715"/>
      <c r="O44" s="2715"/>
      <c r="P44" s="3748"/>
      <c r="Q44" s="1341">
        <f t="shared" si="11"/>
        <v>111</v>
      </c>
      <c r="R44" s="700" t="s">
        <v>18</v>
      </c>
      <c r="S44" s="701">
        <f t="shared" si="12"/>
        <v>100</v>
      </c>
      <c r="T44" s="700" t="s">
        <v>18</v>
      </c>
      <c r="U44" s="701">
        <f t="shared" si="13"/>
        <v>100</v>
      </c>
      <c r="V44" s="700" t="s">
        <v>18</v>
      </c>
      <c r="W44" s="701">
        <f t="shared" si="14"/>
        <v>100</v>
      </c>
      <c r="X44" s="702"/>
      <c r="Y44" s="3750"/>
      <c r="Z44" s="52">
        <f t="shared" si="18"/>
        <v>111</v>
      </c>
      <c r="AA44" s="703">
        <f t="shared" si="15"/>
        <v>1</v>
      </c>
      <c r="AB44" s="703">
        <f t="shared" si="16"/>
        <v>1</v>
      </c>
      <c r="AC44" s="703">
        <f t="shared" si="17"/>
        <v>1</v>
      </c>
    </row>
    <row r="45" spans="1:29" ht="15">
      <c r="A45" s="423"/>
      <c r="B45" s="1132">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2"/>
      <c r="L45" s="2719"/>
      <c r="M45" s="2713"/>
      <c r="N45" s="2713"/>
      <c r="O45" s="2713"/>
      <c r="P45" s="3748"/>
      <c r="Q45" s="1350">
        <f t="shared" si="11"/>
        <v>111</v>
      </c>
      <c r="R45" s="704" t="s">
        <v>18</v>
      </c>
      <c r="S45" s="705">
        <f t="shared" si="12"/>
        <v>100</v>
      </c>
      <c r="T45" s="704" t="s">
        <v>18</v>
      </c>
      <c r="U45" s="705">
        <f t="shared" si="13"/>
        <v>100</v>
      </c>
      <c r="V45" s="704" t="s">
        <v>18</v>
      </c>
      <c r="W45" s="705">
        <f t="shared" si="14"/>
        <v>100</v>
      </c>
      <c r="X45" s="1353"/>
      <c r="Y45" s="3750"/>
      <c r="Z45" s="1354">
        <f t="shared" si="18"/>
        <v>111</v>
      </c>
      <c r="AA45" s="1351">
        <f t="shared" si="15"/>
        <v>1</v>
      </c>
      <c r="AB45" s="1351">
        <f t="shared" si="16"/>
        <v>1</v>
      </c>
      <c r="AC45" s="1351">
        <f t="shared" si="17"/>
        <v>1</v>
      </c>
    </row>
    <row r="46" spans="1:29" ht="15.75" thickBot="1">
      <c r="A46" s="429"/>
      <c r="B46" s="1893">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2"/>
      <c r="L46" s="2719"/>
      <c r="M46" s="2713"/>
      <c r="N46" s="2713"/>
      <c r="O46" s="2713"/>
      <c r="P46" s="3749"/>
      <c r="Q46" s="1350">
        <f t="shared" si="11"/>
        <v>111</v>
      </c>
      <c r="R46" s="704" t="s">
        <v>17</v>
      </c>
      <c r="S46" s="705">
        <f t="shared" si="12"/>
        <v>100</v>
      </c>
      <c r="T46" s="704" t="s">
        <v>17</v>
      </c>
      <c r="U46" s="705">
        <f t="shared" si="13"/>
        <v>100</v>
      </c>
      <c r="V46" s="704" t="s">
        <v>17</v>
      </c>
      <c r="W46" s="705">
        <f t="shared" si="14"/>
        <v>100</v>
      </c>
      <c r="X46" s="1353"/>
      <c r="Y46" s="3751"/>
      <c r="Z46" s="1354">
        <f t="shared" si="18"/>
        <v>111</v>
      </c>
      <c r="AA46" s="1351">
        <f t="shared" si="15"/>
        <v>1</v>
      </c>
      <c r="AB46" s="1351">
        <f t="shared" si="16"/>
        <v>1</v>
      </c>
      <c r="AC46" s="1351">
        <f t="shared" si="17"/>
        <v>1</v>
      </c>
    </row>
    <row r="47" spans="1:29" ht="15">
      <c r="A47" s="430" t="s">
        <v>1708</v>
      </c>
      <c r="B47" s="431"/>
      <c r="C47" s="1153" t="s">
        <v>16</v>
      </c>
      <c r="D47" s="1154"/>
      <c r="E47" s="1155"/>
      <c r="F47" s="1156"/>
      <c r="G47" s="1157"/>
      <c r="H47" s="1158"/>
      <c r="I47" s="1155"/>
      <c r="J47" s="1158"/>
      <c r="K47" s="1912"/>
      <c r="L47" s="2721"/>
      <c r="M47" s="2722"/>
      <c r="N47" s="2713"/>
      <c r="O47" s="2722"/>
      <c r="P47" s="3752" t="str">
        <f>A47</f>
        <v>成交单价（元/平方米）</v>
      </c>
      <c r="Q47" s="3752"/>
      <c r="R47" s="3753">
        <f>E47</f>
        <v>0</v>
      </c>
      <c r="S47" s="3753"/>
      <c r="T47" s="3753">
        <f>G47</f>
        <v>0</v>
      </c>
      <c r="U47" s="3753"/>
      <c r="V47" s="3753">
        <f>I47</f>
        <v>0</v>
      </c>
      <c r="W47" s="3753"/>
      <c r="X47" s="689"/>
      <c r="Y47" s="711"/>
      <c r="Z47" s="689"/>
      <c r="AA47" s="689"/>
      <c r="AB47" s="689"/>
      <c r="AC47" s="689"/>
    </row>
    <row r="48" spans="1:29" ht="15.75" thickBot="1">
      <c r="A48" s="437" t="s">
        <v>1709</v>
      </c>
      <c r="B48" s="438"/>
      <c r="C48" s="1159" t="e">
        <f>R49</f>
        <v>#DIV/0!</v>
      </c>
      <c r="D48" s="2314" t="s">
        <v>2136</v>
      </c>
      <c r="E48" s="1160" t="e">
        <f>R48</f>
        <v>#DIV/0!</v>
      </c>
      <c r="F48" s="2315"/>
      <c r="G48" s="1159" t="e">
        <f>T48</f>
        <v>#DIV/0!</v>
      </c>
      <c r="H48" s="2315"/>
      <c r="I48" s="1160" t="e">
        <f>V48</f>
        <v>#DIV/0!</v>
      </c>
      <c r="J48" s="2315"/>
      <c r="K48" s="2316">
        <f>F48+H48+J48</f>
        <v>0</v>
      </c>
      <c r="L48" s="2721"/>
      <c r="M48" s="2722"/>
      <c r="N48" s="2722"/>
      <c r="O48" s="2722"/>
      <c r="P48" s="3752" t="str">
        <f>A48</f>
        <v>比较价值（元/平方米）</v>
      </c>
      <c r="Q48" s="3752"/>
      <c r="R48" s="3753" t="e">
        <f>IF(F1="售价",ROUND(PRODUCT(R47,AA7:AA46),0),ROUND(PRODUCT(R47,AA7:AA46),1))</f>
        <v>#DIV/0!</v>
      </c>
      <c r="S48" s="3753"/>
      <c r="T48" s="3753" t="e">
        <f>IF(F1="售价",ROUND(PRODUCT(T47,AB7:AB46),0),ROUND(PRODUCT(T47,AB7:AB46),1))</f>
        <v>#DIV/0!</v>
      </c>
      <c r="U48" s="3753"/>
      <c r="V48" s="3753" t="e">
        <f>IF(F1="售价",ROUND(PRODUCT(V47,AC7:AC46),0),ROUND(PRODUCT(V47,AC7:AC46),1))</f>
        <v>#DIV/0!</v>
      </c>
      <c r="W48" s="3753"/>
      <c r="X48" s="689"/>
      <c r="Y48" s="689"/>
      <c r="Z48" s="689"/>
      <c r="AA48" s="689"/>
      <c r="AB48" s="689"/>
      <c r="AC48" s="689"/>
    </row>
    <row r="49" spans="1:29" ht="15.75" thickBot="1">
      <c r="A49" s="441" t="s">
        <v>1710</v>
      </c>
      <c r="B49" s="442"/>
      <c r="C49" s="1161" t="e">
        <f>R49</f>
        <v>#DIV/0!</v>
      </c>
      <c r="D49" s="1162"/>
      <c r="E49" s="1162"/>
      <c r="F49" s="1162"/>
      <c r="G49" s="1162"/>
      <c r="H49" s="1162"/>
      <c r="I49" s="1162"/>
      <c r="J49" s="1162"/>
      <c r="K49" s="1913"/>
      <c r="L49" s="2721"/>
      <c r="M49" s="2722"/>
      <c r="N49" s="2722"/>
      <c r="O49" s="2722"/>
      <c r="P49" s="3754" t="str">
        <f>A49</f>
        <v>估价对象XX用房的比较价值（楼面单价，元/平方米）</v>
      </c>
      <c r="Q49" s="3755"/>
      <c r="R49" s="3756" t="e">
        <f>IF(F1="售价",ROUND(IF(D48="简单平均",AVERAGE(R48:V48),R48*F48+T48*H48+V48*J48),0),ROUND(IF(D48="简单平均",AVERAGE(R48:V48),R48*F48+T48*H48+V48*J48),1))</f>
        <v>#DIV/0!</v>
      </c>
      <c r="S49" s="3756"/>
      <c r="T49" s="3756"/>
      <c r="U49" s="3756"/>
      <c r="V49" s="3756"/>
      <c r="W49" s="3756"/>
      <c r="X49" s="689"/>
      <c r="Y49" s="689"/>
      <c r="Z49" s="689"/>
      <c r="AA49" s="689"/>
      <c r="AB49" s="689"/>
      <c r="AC49" s="689"/>
    </row>
    <row r="50" spans="1:29">
      <c r="A50" s="2722"/>
      <c r="B50" s="2722"/>
      <c r="C50" s="2722"/>
      <c r="D50" s="2722"/>
      <c r="E50" s="2722"/>
      <c r="F50" s="2722"/>
      <c r="G50" s="2726"/>
      <c r="H50" s="2722"/>
      <c r="I50" s="2722"/>
      <c r="J50" s="2722"/>
      <c r="K50" s="2727"/>
      <c r="L50" s="2723"/>
      <c r="M50" s="2722"/>
      <c r="N50" s="2722"/>
      <c r="O50" s="2722"/>
    </row>
    <row r="51" spans="1:29">
      <c r="A51" s="2722"/>
      <c r="B51" s="2722"/>
      <c r="C51" s="2722"/>
      <c r="D51" s="2722"/>
      <c r="E51" s="2722"/>
      <c r="F51" s="2722"/>
      <c r="G51" s="2722"/>
      <c r="H51" s="2722"/>
      <c r="I51" s="2722"/>
      <c r="J51" s="2722"/>
      <c r="K51" s="2727"/>
      <c r="L51" s="2723"/>
      <c r="M51" s="2722"/>
      <c r="N51" s="2722"/>
      <c r="O51" s="2722"/>
    </row>
    <row r="52" spans="1:29" ht="13.5" customHeight="1">
      <c r="A52" s="2722"/>
      <c r="B52" s="2722"/>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7"/>
      <c r="L52" s="2723"/>
      <c r="M52" s="2722"/>
      <c r="N52" s="2722"/>
      <c r="O52" s="2722"/>
    </row>
    <row r="53" spans="1:29" ht="13.5" customHeight="1">
      <c r="A53" s="2722"/>
      <c r="B53" s="2722"/>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7"/>
      <c r="L53" s="2723"/>
      <c r="M53" s="2722"/>
      <c r="N53" s="2722"/>
      <c r="O53" s="2722"/>
    </row>
    <row r="54" spans="1:29" s="451" customFormat="1" ht="13.5" customHeight="1">
      <c r="A54" s="2725"/>
      <c r="B54" s="2725"/>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0"/>
      <c r="L54" s="2724"/>
      <c r="M54" s="2725"/>
      <c r="N54" s="2725"/>
      <c r="O54" s="2725"/>
      <c r="P54" s="1915"/>
    </row>
    <row r="55" spans="1:29" s="451" customFormat="1">
      <c r="A55" s="2725"/>
      <c r="B55" s="2728"/>
      <c r="C55" s="2729"/>
      <c r="D55" s="2725"/>
      <c r="E55" s="2725"/>
      <c r="F55" s="2725"/>
      <c r="G55" s="2725"/>
      <c r="H55" s="2725"/>
      <c r="I55" s="2725"/>
      <c r="J55" s="2725"/>
      <c r="K55" s="2730"/>
      <c r="L55" s="2724"/>
      <c r="M55" s="2725"/>
      <c r="N55" s="2725"/>
      <c r="O55" s="2725"/>
      <c r="P55" s="1915"/>
    </row>
    <row r="56" spans="1:29">
      <c r="A56" s="2722"/>
      <c r="B56" s="2728"/>
      <c r="C56" s="2729"/>
      <c r="D56" s="2722"/>
      <c r="E56" s="2722"/>
      <c r="F56" s="2722"/>
      <c r="G56" s="2722"/>
      <c r="H56" s="2722"/>
      <c r="I56" s="2722"/>
      <c r="J56" s="2722"/>
      <c r="K56" s="2727"/>
      <c r="L56" s="2723"/>
      <c r="M56" s="2722"/>
      <c r="N56" s="2722"/>
      <c r="O56" s="2722"/>
    </row>
    <row r="57" spans="1:29" ht="21.75" thickBot="1">
      <c r="A57" s="693" t="s">
        <v>1714</v>
      </c>
      <c r="B57" s="689"/>
      <c r="C57" s="694"/>
      <c r="D57" s="694"/>
      <c r="E57" s="694"/>
      <c r="F57" s="695"/>
      <c r="G57" s="695"/>
      <c r="H57" s="694"/>
      <c r="I57" s="694"/>
      <c r="J57" s="694"/>
      <c r="K57" s="940"/>
      <c r="L57" s="941"/>
      <c r="M57" s="939"/>
      <c r="N57" s="939"/>
      <c r="O57" s="939"/>
      <c r="P57" s="1916"/>
      <c r="Q57" s="453"/>
    </row>
    <row r="58" spans="1:29" s="457" customFormat="1" ht="15">
      <c r="A58" s="454" t="s">
        <v>1715</v>
      </c>
      <c r="B58" s="455"/>
      <c r="C58" s="1184" t="str">
        <f>YEAR(C7)&amp;"-"&amp;MONTH(C7)</f>
        <v>2023-5</v>
      </c>
      <c r="D58" s="1183">
        <f>EDATE(C58,-1)</f>
        <v>45017</v>
      </c>
      <c r="E58" s="1183">
        <f>EDATE(D58,-1)</f>
        <v>44986</v>
      </c>
      <c r="F58" s="1183">
        <f t="shared" ref="F58:O58" si="19">EDATE(E58,-1)</f>
        <v>44958</v>
      </c>
      <c r="G58" s="1183">
        <f t="shared" si="19"/>
        <v>44927</v>
      </c>
      <c r="H58" s="1183">
        <f t="shared" si="19"/>
        <v>44896</v>
      </c>
      <c r="I58" s="1183">
        <f t="shared" si="19"/>
        <v>44866</v>
      </c>
      <c r="J58" s="1183">
        <f t="shared" si="19"/>
        <v>44835</v>
      </c>
      <c r="K58" s="1183">
        <f t="shared" si="19"/>
        <v>44805</v>
      </c>
      <c r="L58" s="1183">
        <f t="shared" si="19"/>
        <v>44774</v>
      </c>
      <c r="M58" s="1183">
        <f t="shared" si="19"/>
        <v>44743</v>
      </c>
      <c r="N58" s="1183">
        <f t="shared" si="19"/>
        <v>44713</v>
      </c>
      <c r="O58" s="1183">
        <f t="shared" si="19"/>
        <v>44682</v>
      </c>
      <c r="P58" s="1179"/>
    </row>
    <row r="59" spans="1:29" s="108" customFormat="1" ht="15">
      <c r="A59" s="458"/>
      <c r="B59" s="1917"/>
      <c r="C59" s="1181">
        <v>100</v>
      </c>
      <c r="D59" s="460"/>
      <c r="E59" s="461"/>
      <c r="F59" s="461"/>
      <c r="G59" s="461"/>
      <c r="H59" s="461"/>
      <c r="I59" s="461"/>
      <c r="J59" s="461"/>
      <c r="K59" s="461"/>
      <c r="L59" s="461"/>
      <c r="M59" s="462"/>
      <c r="N59" s="461"/>
      <c r="O59" s="462"/>
      <c r="P59" s="1918"/>
    </row>
    <row r="60" spans="1:29" s="108" customFormat="1" ht="15.75" thickBot="1">
      <c r="A60" s="464" t="s">
        <v>1716</v>
      </c>
      <c r="B60" s="465"/>
      <c r="C60" s="466"/>
      <c r="D60" s="467"/>
      <c r="E60" s="467"/>
      <c r="F60" s="467"/>
      <c r="G60" s="467"/>
      <c r="H60" s="467"/>
      <c r="I60" s="467"/>
      <c r="J60" s="467"/>
      <c r="K60" s="467"/>
      <c r="L60" s="467"/>
      <c r="M60" s="468"/>
      <c r="N60" s="467"/>
      <c r="O60" s="468"/>
      <c r="P60" s="1918"/>
      <c r="Q60" s="453"/>
    </row>
    <row r="61" spans="1:29" s="108" customFormat="1" ht="15">
      <c r="A61" s="470" t="s">
        <v>1717</v>
      </c>
      <c r="B61" s="459"/>
      <c r="C61" s="471" t="s">
        <v>1718</v>
      </c>
      <c r="D61" s="472"/>
      <c r="E61" s="472"/>
      <c r="F61" s="472"/>
      <c r="G61" s="472"/>
      <c r="H61" s="472"/>
      <c r="I61" s="472"/>
      <c r="J61" s="472"/>
      <c r="K61" s="472"/>
      <c r="L61" s="473"/>
      <c r="M61" s="474"/>
      <c r="N61" s="931"/>
      <c r="O61" s="931"/>
      <c r="P61" s="1919"/>
      <c r="Q61" s="453"/>
    </row>
    <row r="62" spans="1:29" s="108" customFormat="1" ht="15.75" thickBot="1">
      <c r="A62" s="470"/>
      <c r="B62" s="459"/>
      <c r="C62" s="460">
        <v>100</v>
      </c>
      <c r="D62" s="461"/>
      <c r="E62" s="461"/>
      <c r="F62" s="461"/>
      <c r="G62" s="461"/>
      <c r="H62" s="461"/>
      <c r="I62" s="461"/>
      <c r="J62" s="461"/>
      <c r="K62" s="461"/>
      <c r="L62" s="461"/>
      <c r="M62" s="463"/>
      <c r="N62" s="931"/>
      <c r="O62" s="931"/>
      <c r="P62" s="1918"/>
      <c r="Q62" s="453"/>
    </row>
    <row r="63" spans="1:29">
      <c r="A63" s="476" t="s">
        <v>1719</v>
      </c>
      <c r="B63" s="477" t="s">
        <v>1685</v>
      </c>
      <c r="C63" s="478">
        <f>C9</f>
        <v>0</v>
      </c>
      <c r="D63" s="479"/>
      <c r="E63" s="479"/>
      <c r="F63" s="479"/>
      <c r="G63" s="479"/>
      <c r="H63" s="479"/>
      <c r="I63" s="479"/>
      <c r="J63" s="479"/>
      <c r="K63" s="480"/>
      <c r="L63" s="481"/>
      <c r="M63" s="482"/>
      <c r="N63" s="932"/>
      <c r="O63" s="932"/>
      <c r="P63" s="1920"/>
      <c r="Q63" s="453"/>
    </row>
    <row r="64" spans="1:29" ht="15.75" thickBot="1">
      <c r="A64" s="483"/>
      <c r="B64" s="484"/>
      <c r="C64" s="485">
        <v>100</v>
      </c>
      <c r="D64" s="485"/>
      <c r="E64" s="485"/>
      <c r="F64" s="485"/>
      <c r="G64" s="485"/>
      <c r="H64" s="485"/>
      <c r="I64" s="485"/>
      <c r="J64" s="485"/>
      <c r="K64" s="485"/>
      <c r="L64" s="485"/>
      <c r="M64" s="486"/>
      <c r="N64" s="933"/>
      <c r="O64" s="933"/>
      <c r="P64" s="1920"/>
      <c r="Q64" s="453"/>
    </row>
    <row r="65" spans="1:17" ht="27.75" thickTop="1">
      <c r="A65" s="483"/>
      <c r="B65" s="487" t="s">
        <v>1688</v>
      </c>
      <c r="C65" s="532"/>
      <c r="D65" s="532"/>
      <c r="E65" s="532"/>
      <c r="F65" s="532"/>
      <c r="G65" s="532"/>
      <c r="H65" s="532"/>
      <c r="I65" s="532"/>
      <c r="J65" s="532"/>
      <c r="K65" s="532"/>
      <c r="L65" s="532"/>
      <c r="M65" s="532"/>
      <c r="N65" s="933"/>
      <c r="O65" s="933"/>
      <c r="P65" s="1920"/>
      <c r="Q65" s="453"/>
    </row>
    <row r="66" spans="1:17" ht="15.75" thickBot="1">
      <c r="A66" s="483"/>
      <c r="B66" s="492"/>
      <c r="C66" s="485"/>
      <c r="D66" s="485"/>
      <c r="E66" s="485"/>
      <c r="F66" s="485"/>
      <c r="G66" s="485"/>
      <c r="H66" s="485"/>
      <c r="I66" s="485"/>
      <c r="J66" s="485"/>
      <c r="K66" s="485"/>
      <c r="L66" s="485"/>
      <c r="M66" s="486"/>
      <c r="N66" s="933"/>
      <c r="O66" s="933"/>
      <c r="P66" s="1920"/>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3"/>
      <c r="O67" s="933"/>
      <c r="P67" s="1920"/>
      <c r="Q67" s="453"/>
    </row>
    <row r="68" spans="1:17" ht="15">
      <c r="A68" s="483"/>
      <c r="B68" s="497"/>
      <c r="C68" s="498"/>
      <c r="D68" s="498"/>
      <c r="E68" s="498"/>
      <c r="F68" s="498"/>
      <c r="G68" s="498"/>
      <c r="H68" s="498"/>
      <c r="I68" s="498"/>
      <c r="J68" s="498"/>
      <c r="K68" s="499"/>
      <c r="L68" s="500"/>
      <c r="M68" s="501"/>
      <c r="N68" s="932"/>
      <c r="O68" s="932"/>
      <c r="P68" s="1920"/>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3"/>
      <c r="O69" s="933"/>
      <c r="P69" s="1920"/>
      <c r="Q69" s="453"/>
    </row>
    <row r="70" spans="1:17" s="422" customFormat="1" ht="15.75" thickTop="1">
      <c r="A70" s="502"/>
      <c r="B70" s="487">
        <f>B12</f>
        <v>111</v>
      </c>
      <c r="C70" s="503"/>
      <c r="D70" s="503"/>
      <c r="E70" s="503"/>
      <c r="F70" s="503"/>
      <c r="G70" s="503"/>
      <c r="H70" s="504"/>
      <c r="I70" s="504"/>
      <c r="J70" s="504"/>
      <c r="K70" s="504"/>
      <c r="L70" s="505"/>
      <c r="M70" s="506"/>
      <c r="N70" s="934"/>
      <c r="O70" s="934"/>
      <c r="P70" s="1921"/>
      <c r="Q70" s="508"/>
    </row>
    <row r="71" spans="1:17" s="422" customFormat="1" ht="15.75" thickBot="1">
      <c r="A71" s="502"/>
      <c r="B71" s="492"/>
      <c r="C71" s="509"/>
      <c r="D71" s="485"/>
      <c r="E71" s="485"/>
      <c r="F71" s="485"/>
      <c r="G71" s="485"/>
      <c r="H71" s="485"/>
      <c r="I71" s="485"/>
      <c r="J71" s="485"/>
      <c r="K71" s="485"/>
      <c r="L71" s="485"/>
      <c r="M71" s="486"/>
      <c r="N71" s="933"/>
      <c r="O71" s="933"/>
      <c r="P71" s="1921"/>
      <c r="Q71" s="508"/>
    </row>
    <row r="72" spans="1:17" s="422" customFormat="1" ht="15.75" thickTop="1">
      <c r="A72" s="502"/>
      <c r="B72" s="487">
        <f>B13</f>
        <v>111</v>
      </c>
      <c r="C72" s="503"/>
      <c r="D72" s="503"/>
      <c r="E72" s="503"/>
      <c r="F72" s="503"/>
      <c r="G72" s="503"/>
      <c r="H72" s="504"/>
      <c r="I72" s="504"/>
      <c r="J72" s="504"/>
      <c r="K72" s="504"/>
      <c r="L72" s="505"/>
      <c r="M72" s="506"/>
      <c r="N72" s="934"/>
      <c r="O72" s="934"/>
      <c r="P72" s="1922"/>
      <c r="Q72" s="510"/>
    </row>
    <row r="73" spans="1:17" s="422" customFormat="1" ht="15.75" thickBot="1">
      <c r="A73" s="502"/>
      <c r="B73" s="492"/>
      <c r="C73" s="509"/>
      <c r="D73" s="509"/>
      <c r="E73" s="509"/>
      <c r="F73" s="509"/>
      <c r="G73" s="509"/>
      <c r="H73" s="511"/>
      <c r="I73" s="511"/>
      <c r="J73" s="511"/>
      <c r="K73" s="511"/>
      <c r="L73" s="511"/>
      <c r="M73" s="512"/>
      <c r="N73" s="934"/>
      <c r="O73" s="934"/>
      <c r="P73" s="1921"/>
      <c r="Q73" s="508"/>
    </row>
    <row r="74" spans="1:17" s="422" customFormat="1" ht="15.75" thickTop="1">
      <c r="A74" s="502"/>
      <c r="B74" s="495">
        <f>B14</f>
        <v>111</v>
      </c>
      <c r="C74" s="503"/>
      <c r="D74" s="503"/>
      <c r="E74" s="503"/>
      <c r="F74" s="503"/>
      <c r="G74" s="472"/>
      <c r="H74" s="513"/>
      <c r="I74" s="513"/>
      <c r="J74" s="513"/>
      <c r="K74" s="513"/>
      <c r="L74" s="514"/>
      <c r="M74" s="515"/>
      <c r="N74" s="934"/>
      <c r="O74" s="934"/>
      <c r="P74" s="1923"/>
      <c r="Q74" s="508"/>
    </row>
    <row r="75" spans="1:17" s="422" customFormat="1" ht="15.75" thickBot="1">
      <c r="A75" s="517"/>
      <c r="B75" s="518"/>
      <c r="C75" s="519"/>
      <c r="D75" s="519"/>
      <c r="E75" s="519"/>
      <c r="F75" s="519"/>
      <c r="G75" s="519"/>
      <c r="H75" s="520"/>
      <c r="I75" s="520"/>
      <c r="J75" s="520"/>
      <c r="K75" s="520"/>
      <c r="L75" s="520"/>
      <c r="M75" s="521"/>
      <c r="N75" s="934"/>
      <c r="O75" s="934"/>
      <c r="P75" s="1921"/>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2"/>
      <c r="O76" s="932"/>
      <c r="P76" s="1924"/>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3"/>
      <c r="O77" s="933"/>
      <c r="P77" s="1920"/>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2"/>
      <c r="O78" s="932"/>
      <c r="P78" s="1920"/>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3"/>
      <c r="O79" s="933"/>
      <c r="P79" s="1920"/>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2"/>
      <c r="O80" s="932"/>
      <c r="P80" s="1920"/>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3"/>
      <c r="O81" s="933"/>
      <c r="P81" s="1920"/>
      <c r="Q81" s="453"/>
    </row>
    <row r="82" spans="1:17" ht="15.75" thickTop="1">
      <c r="A82" s="483"/>
      <c r="B82" s="495" t="s">
        <v>1260</v>
      </c>
      <c r="C82" s="488" t="s">
        <v>1728</v>
      </c>
      <c r="D82" s="488" t="s">
        <v>1729</v>
      </c>
      <c r="E82" s="488" t="s">
        <v>1730</v>
      </c>
      <c r="F82" s="488" t="s">
        <v>1731</v>
      </c>
      <c r="G82" s="488" t="s">
        <v>1732</v>
      </c>
      <c r="H82" s="488"/>
      <c r="I82" s="488"/>
      <c r="J82" s="488"/>
      <c r="K82" s="488"/>
      <c r="L82" s="488"/>
      <c r="M82" s="1128"/>
      <c r="N82" s="933"/>
      <c r="O82" s="933"/>
      <c r="P82" s="1920"/>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3"/>
      <c r="O83" s="933"/>
      <c r="P83" s="1920"/>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2"/>
      <c r="O84" s="932"/>
      <c r="P84" s="1920"/>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3"/>
      <c r="O85" s="933"/>
      <c r="P85" s="1920"/>
      <c r="Q85" s="453"/>
    </row>
    <row r="86" spans="1:17" s="108" customFormat="1" ht="15.75" thickTop="1">
      <c r="A86" s="528"/>
      <c r="B86" s="487" t="s">
        <v>1734</v>
      </c>
      <c r="C86" s="503"/>
      <c r="D86" s="503"/>
      <c r="E86" s="503"/>
      <c r="F86" s="503"/>
      <c r="G86" s="503"/>
      <c r="H86" s="503"/>
      <c r="I86" s="503"/>
      <c r="J86" s="503"/>
      <c r="K86" s="503"/>
      <c r="L86" s="529"/>
      <c r="M86" s="530"/>
      <c r="N86" s="931"/>
      <c r="O86" s="931"/>
      <c r="P86" s="1920"/>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3"/>
      <c r="O87" s="933"/>
      <c r="P87" s="1920"/>
      <c r="Q87" s="453"/>
    </row>
    <row r="88" spans="1:17" s="108" customFormat="1" ht="15.75" thickTop="1">
      <c r="A88" s="528"/>
      <c r="B88" s="487" t="s">
        <v>1735</v>
      </c>
      <c r="C88" s="503"/>
      <c r="D88" s="503"/>
      <c r="E88" s="503"/>
      <c r="F88" s="1925"/>
      <c r="G88" s="503"/>
      <c r="H88" s="503"/>
      <c r="I88" s="503"/>
      <c r="J88" s="503"/>
      <c r="K88" s="503"/>
      <c r="L88" s="503"/>
      <c r="M88" s="530"/>
      <c r="N88" s="931"/>
      <c r="O88" s="931"/>
      <c r="P88" s="1920"/>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3"/>
      <c r="O89" s="933"/>
      <c r="P89" s="1920"/>
      <c r="Q89" s="453"/>
    </row>
    <row r="90" spans="1:17" s="422" customFormat="1" ht="15.75" thickTop="1">
      <c r="A90" s="502"/>
      <c r="B90" s="487">
        <f>B27</f>
        <v>111</v>
      </c>
      <c r="C90" s="503"/>
      <c r="D90" s="503"/>
      <c r="E90" s="503"/>
      <c r="F90" s="503"/>
      <c r="G90" s="503"/>
      <c r="H90" s="504"/>
      <c r="I90" s="504"/>
      <c r="J90" s="504"/>
      <c r="K90" s="504"/>
      <c r="L90" s="505"/>
      <c r="M90" s="506"/>
      <c r="N90" s="934"/>
      <c r="O90" s="934"/>
      <c r="P90" s="1921"/>
      <c r="Q90" s="508"/>
    </row>
    <row r="91" spans="1:17" s="422" customFormat="1" ht="15.75" thickBot="1">
      <c r="A91" s="502"/>
      <c r="B91" s="492"/>
      <c r="C91" s="509"/>
      <c r="D91" s="509"/>
      <c r="E91" s="509"/>
      <c r="F91" s="509"/>
      <c r="G91" s="509"/>
      <c r="H91" s="511"/>
      <c r="I91" s="511"/>
      <c r="J91" s="511"/>
      <c r="K91" s="511"/>
      <c r="L91" s="511"/>
      <c r="M91" s="512"/>
      <c r="N91" s="934"/>
      <c r="O91" s="934"/>
      <c r="P91" s="1921"/>
      <c r="Q91" s="508"/>
    </row>
    <row r="92" spans="1:17" ht="15.75" thickTop="1">
      <c r="A92" s="483"/>
      <c r="B92" s="487">
        <f>B28</f>
        <v>111</v>
      </c>
      <c r="C92" s="503"/>
      <c r="D92" s="503"/>
      <c r="E92" s="503"/>
      <c r="F92" s="503"/>
      <c r="G92" s="532"/>
      <c r="H92" s="532"/>
      <c r="I92" s="532"/>
      <c r="J92" s="532"/>
      <c r="K92" s="533"/>
      <c r="L92" s="534"/>
      <c r="M92" s="535"/>
      <c r="N92" s="932"/>
      <c r="O92" s="932"/>
      <c r="P92" s="1920"/>
      <c r="Q92" s="453"/>
    </row>
    <row r="93" spans="1:17" ht="15.75" thickBot="1">
      <c r="A93" s="483"/>
      <c r="B93" s="492"/>
      <c r="C93" s="509"/>
      <c r="D93" s="485"/>
      <c r="E93" s="485"/>
      <c r="F93" s="485"/>
      <c r="G93" s="485"/>
      <c r="H93" s="485"/>
      <c r="I93" s="485"/>
      <c r="J93" s="485"/>
      <c r="K93" s="485"/>
      <c r="L93" s="485"/>
      <c r="M93" s="486"/>
      <c r="N93" s="933"/>
      <c r="O93" s="933"/>
      <c r="P93" s="1920"/>
      <c r="Q93" s="453"/>
    </row>
    <row r="94" spans="1:17" ht="15.75" thickTop="1">
      <c r="A94" s="483"/>
      <c r="B94" s="487">
        <f>B29</f>
        <v>111</v>
      </c>
      <c r="C94" s="503"/>
      <c r="D94" s="503"/>
      <c r="E94" s="503"/>
      <c r="F94" s="503"/>
      <c r="G94" s="532"/>
      <c r="H94" s="532"/>
      <c r="I94" s="532"/>
      <c r="J94" s="532"/>
      <c r="K94" s="533"/>
      <c r="L94" s="534"/>
      <c r="M94" s="535"/>
      <c r="N94" s="932"/>
      <c r="O94" s="932"/>
      <c r="P94" s="1920"/>
      <c r="Q94" s="453"/>
    </row>
    <row r="95" spans="1:17" ht="15.75" thickBot="1">
      <c r="A95" s="483"/>
      <c r="B95" s="492"/>
      <c r="C95" s="509"/>
      <c r="D95" s="509"/>
      <c r="E95" s="509"/>
      <c r="F95" s="509"/>
      <c r="G95" s="485"/>
      <c r="H95" s="485"/>
      <c r="I95" s="485"/>
      <c r="J95" s="485"/>
      <c r="K95" s="485"/>
      <c r="L95" s="485"/>
      <c r="M95" s="486"/>
      <c r="N95" s="933"/>
      <c r="O95" s="933"/>
      <c r="P95" s="1920"/>
      <c r="Q95" s="453"/>
    </row>
    <row r="96" spans="1:17" ht="15.75" thickTop="1">
      <c r="A96" s="483"/>
      <c r="B96" s="487">
        <f>B30</f>
        <v>111</v>
      </c>
      <c r="C96" s="503"/>
      <c r="D96" s="503"/>
      <c r="E96" s="503"/>
      <c r="F96" s="503"/>
      <c r="G96" s="532"/>
      <c r="H96" s="532"/>
      <c r="I96" s="532"/>
      <c r="J96" s="532"/>
      <c r="K96" s="533"/>
      <c r="L96" s="534"/>
      <c r="M96" s="535"/>
      <c r="N96" s="932"/>
      <c r="O96" s="932"/>
      <c r="P96" s="1920"/>
      <c r="Q96" s="453"/>
    </row>
    <row r="97" spans="1:17" ht="15.75" thickBot="1">
      <c r="A97" s="483"/>
      <c r="B97" s="492"/>
      <c r="C97" s="519"/>
      <c r="D97" s="519"/>
      <c r="E97" s="519"/>
      <c r="F97" s="519"/>
      <c r="G97" s="485"/>
      <c r="H97" s="485"/>
      <c r="I97" s="485"/>
      <c r="J97" s="485"/>
      <c r="K97" s="485"/>
      <c r="L97" s="485"/>
      <c r="M97" s="486"/>
      <c r="N97" s="933"/>
      <c r="O97" s="933"/>
      <c r="P97" s="1920"/>
      <c r="Q97" s="453"/>
    </row>
    <row r="98" spans="1:17" ht="15.75" thickTop="1">
      <c r="A98" s="483"/>
      <c r="B98" s="495">
        <f>B31</f>
        <v>111</v>
      </c>
      <c r="C98" s="536"/>
      <c r="D98" s="536"/>
      <c r="E98" s="536"/>
      <c r="F98" s="536"/>
      <c r="G98" s="536"/>
      <c r="H98" s="536"/>
      <c r="I98" s="536"/>
      <c r="J98" s="536"/>
      <c r="K98" s="537"/>
      <c r="L98" s="538"/>
      <c r="M98" s="539"/>
      <c r="N98" s="932"/>
      <c r="O98" s="932"/>
      <c r="P98" s="1920"/>
      <c r="Q98" s="453"/>
    </row>
    <row r="99" spans="1:17" ht="15.75" thickBot="1">
      <c r="A99" s="1926"/>
      <c r="B99" s="518"/>
      <c r="C99" s="540"/>
      <c r="D99" s="540"/>
      <c r="E99" s="540"/>
      <c r="F99" s="540"/>
      <c r="G99" s="540"/>
      <c r="H99" s="540"/>
      <c r="I99" s="540"/>
      <c r="J99" s="540"/>
      <c r="K99" s="540"/>
      <c r="L99" s="540"/>
      <c r="M99" s="541"/>
      <c r="N99" s="933"/>
      <c r="O99" s="933"/>
      <c r="P99" s="1920"/>
      <c r="Q99" s="453"/>
    </row>
    <row r="100" spans="1:17">
      <c r="A100" s="476" t="s">
        <v>1694</v>
      </c>
      <c r="B100" s="477" t="s">
        <v>1736</v>
      </c>
      <c r="C100" s="479"/>
      <c r="D100" s="479"/>
      <c r="E100" s="479"/>
      <c r="F100" s="479"/>
      <c r="G100" s="479"/>
      <c r="H100" s="479"/>
      <c r="I100" s="479"/>
      <c r="J100" s="479"/>
      <c r="K100" s="480"/>
      <c r="L100" s="481"/>
      <c r="M100" s="482"/>
      <c r="N100" s="932"/>
      <c r="O100" s="932"/>
      <c r="P100" s="1920"/>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3"/>
      <c r="O101" s="933"/>
      <c r="P101" s="1920"/>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1"/>
      <c r="O102" s="931"/>
      <c r="P102" s="1920"/>
      <c r="Q102" s="453"/>
    </row>
    <row r="103" spans="1:17" s="422" customFormat="1">
      <c r="A103" s="542"/>
      <c r="B103" s="543"/>
      <c r="C103" s="544"/>
      <c r="D103" s="544"/>
      <c r="E103" s="544"/>
      <c r="F103" s="544"/>
      <c r="G103" s="544"/>
      <c r="H103" s="544"/>
      <c r="I103" s="544"/>
      <c r="J103" s="545"/>
      <c r="K103" s="545"/>
      <c r="L103" s="546"/>
      <c r="M103" s="547"/>
      <c r="N103" s="934"/>
      <c r="O103" s="934"/>
      <c r="P103" s="1921"/>
      <c r="Q103" s="508"/>
    </row>
    <row r="104" spans="1:17" s="422" customFormat="1" ht="15.75" thickBot="1">
      <c r="A104" s="502"/>
      <c r="B104" s="492"/>
      <c r="C104" s="509"/>
      <c r="D104" s="485"/>
      <c r="E104" s="485"/>
      <c r="F104" s="485"/>
      <c r="G104" s="485"/>
      <c r="H104" s="485"/>
      <c r="I104" s="485"/>
      <c r="J104" s="485"/>
      <c r="K104" s="485"/>
      <c r="L104" s="485"/>
      <c r="M104" s="485"/>
      <c r="N104" s="933"/>
      <c r="O104" s="933"/>
      <c r="P104" s="1921"/>
      <c r="Q104" s="508"/>
    </row>
    <row r="105" spans="1:17" ht="15" thickTop="1">
      <c r="A105" s="548"/>
      <c r="B105" s="487" t="s">
        <v>1738</v>
      </c>
      <c r="C105" s="503"/>
      <c r="D105" s="503"/>
      <c r="E105" s="532"/>
      <c r="F105" s="532"/>
      <c r="G105" s="532"/>
      <c r="H105" s="532"/>
      <c r="I105" s="532"/>
      <c r="J105" s="532"/>
      <c r="K105" s="533"/>
      <c r="L105" s="534"/>
      <c r="M105" s="535"/>
      <c r="N105" s="932"/>
      <c r="O105" s="932"/>
      <c r="P105" s="1920"/>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3"/>
      <c r="O106" s="933"/>
      <c r="P106" s="1920"/>
      <c r="Q106" s="453"/>
    </row>
    <row r="107" spans="1:17" ht="15" thickTop="1">
      <c r="A107" s="548"/>
      <c r="B107" s="487" t="s">
        <v>1739</v>
      </c>
      <c r="C107" s="532"/>
      <c r="D107" s="532"/>
      <c r="E107" s="532"/>
      <c r="F107" s="532"/>
      <c r="G107" s="532"/>
      <c r="H107" s="532"/>
      <c r="I107" s="532"/>
      <c r="J107" s="532"/>
      <c r="K107" s="533"/>
      <c r="L107" s="534"/>
      <c r="M107" s="535"/>
      <c r="N107" s="932"/>
      <c r="O107" s="932"/>
      <c r="P107" s="1920"/>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3"/>
      <c r="O108" s="933"/>
      <c r="P108" s="1920"/>
      <c r="Q108" s="453"/>
    </row>
    <row r="109" spans="1:17" ht="15" thickTop="1">
      <c r="A109" s="548"/>
      <c r="B109" s="487" t="s">
        <v>1740</v>
      </c>
      <c r="C109" s="503"/>
      <c r="D109" s="503"/>
      <c r="E109" s="503"/>
      <c r="F109" s="532"/>
      <c r="G109" s="532"/>
      <c r="H109" s="532"/>
      <c r="I109" s="532"/>
      <c r="J109" s="532"/>
      <c r="K109" s="533"/>
      <c r="L109" s="534"/>
      <c r="M109" s="535"/>
      <c r="N109" s="932"/>
      <c r="O109" s="932"/>
      <c r="P109" s="1920"/>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3"/>
      <c r="O110" s="933"/>
      <c r="P110" s="1920"/>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4"/>
      <c r="O111" s="934"/>
      <c r="P111" s="1921"/>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4"/>
      <c r="O112" s="934"/>
      <c r="P112" s="1921"/>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4"/>
      <c r="O113" s="934"/>
      <c r="P113" s="1921"/>
      <c r="Q113" s="508"/>
    </row>
    <row r="114" spans="1:17" ht="15" thickTop="1">
      <c r="A114" s="548"/>
      <c r="B114" s="487" t="s">
        <v>1741</v>
      </c>
      <c r="C114" s="503"/>
      <c r="D114" s="503"/>
      <c r="E114" s="532"/>
      <c r="F114" s="532"/>
      <c r="G114" s="532"/>
      <c r="H114" s="532"/>
      <c r="I114" s="532"/>
      <c r="J114" s="532"/>
      <c r="K114" s="533"/>
      <c r="L114" s="534"/>
      <c r="M114" s="535"/>
      <c r="N114" s="932"/>
      <c r="O114" s="932"/>
      <c r="P114" s="1920"/>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3"/>
      <c r="O115" s="933"/>
      <c r="P115" s="1920"/>
      <c r="Q115" s="453"/>
    </row>
    <row r="116" spans="1:17" ht="15" thickTop="1">
      <c r="A116" s="548"/>
      <c r="B116" s="487" t="s">
        <v>1742</v>
      </c>
      <c r="C116" s="503"/>
      <c r="D116" s="503"/>
      <c r="E116" s="503"/>
      <c r="F116" s="503"/>
      <c r="G116" s="503"/>
      <c r="H116" s="532"/>
      <c r="I116" s="532"/>
      <c r="J116" s="532"/>
      <c r="K116" s="533"/>
      <c r="L116" s="534"/>
      <c r="M116" s="535"/>
      <c r="N116" s="932"/>
      <c r="O116" s="932"/>
      <c r="P116" s="1920"/>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3"/>
      <c r="O117" s="933"/>
      <c r="P117" s="1920"/>
      <c r="Q117" s="453"/>
    </row>
    <row r="118" spans="1:17" ht="15" thickTop="1">
      <c r="A118" s="548"/>
      <c r="B118" s="487" t="s">
        <v>1743</v>
      </c>
      <c r="C118" s="532"/>
      <c r="D118" s="532"/>
      <c r="E118" s="532"/>
      <c r="F118" s="532"/>
      <c r="G118" s="532"/>
      <c r="H118" s="532"/>
      <c r="I118" s="532"/>
      <c r="J118" s="532"/>
      <c r="K118" s="533"/>
      <c r="L118" s="534"/>
      <c r="M118" s="535"/>
      <c r="N118" s="932"/>
      <c r="O118" s="932"/>
      <c r="P118" s="1920"/>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3"/>
      <c r="O119" s="933"/>
      <c r="P119" s="1920"/>
      <c r="Q119" s="453"/>
    </row>
    <row r="120" spans="1:17" s="422" customFormat="1" ht="28.5" thickTop="1">
      <c r="A120" s="542"/>
      <c r="B120" s="487" t="s">
        <v>1705</v>
      </c>
      <c r="C120" s="503"/>
      <c r="D120" s="503"/>
      <c r="E120" s="503"/>
      <c r="F120" s="503"/>
      <c r="G120" s="503"/>
      <c r="H120" s="503"/>
      <c r="I120" s="503"/>
      <c r="J120" s="503"/>
      <c r="K120" s="503"/>
      <c r="L120" s="529"/>
      <c r="M120" s="530"/>
      <c r="N120" s="934"/>
      <c r="O120" s="934"/>
      <c r="P120" s="1921"/>
      <c r="Q120" s="508"/>
    </row>
    <row r="121" spans="1:17" s="422" customFormat="1" ht="15.75" thickBot="1">
      <c r="A121" s="502"/>
      <c r="B121" s="484"/>
      <c r="C121" s="509"/>
      <c r="D121" s="485"/>
      <c r="E121" s="485"/>
      <c r="F121" s="485"/>
      <c r="G121" s="485"/>
      <c r="H121" s="485"/>
      <c r="I121" s="485"/>
      <c r="J121" s="485"/>
      <c r="K121" s="485"/>
      <c r="L121" s="485"/>
      <c r="M121" s="485"/>
      <c r="N121" s="934"/>
      <c r="O121" s="934"/>
      <c r="P121" s="1921"/>
      <c r="Q121" s="508"/>
    </row>
    <row r="122" spans="1:17" ht="15" thickTop="1">
      <c r="A122" s="548"/>
      <c r="B122" s="487" t="s">
        <v>1744</v>
      </c>
      <c r="C122" s="503"/>
      <c r="D122" s="503"/>
      <c r="E122" s="503"/>
      <c r="F122" s="532"/>
      <c r="G122" s="532"/>
      <c r="H122" s="532"/>
      <c r="I122" s="532"/>
      <c r="J122" s="532"/>
      <c r="K122" s="533"/>
      <c r="L122" s="534"/>
      <c r="M122" s="535"/>
      <c r="N122" s="932"/>
      <c r="O122" s="932"/>
      <c r="P122" s="1920"/>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3"/>
      <c r="O123" s="933"/>
      <c r="P123" s="1920"/>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2"/>
      <c r="O124" s="932"/>
      <c r="P124" s="1921"/>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3"/>
      <c r="O125" s="933"/>
      <c r="P125" s="1920"/>
      <c r="Q125" s="453"/>
    </row>
    <row r="126" spans="1:17" s="422" customFormat="1" ht="15" thickTop="1">
      <c r="A126" s="542"/>
      <c r="B126" s="487">
        <f>B44</f>
        <v>111</v>
      </c>
      <c r="C126" s="503"/>
      <c r="D126" s="503"/>
      <c r="E126" s="503"/>
      <c r="F126" s="503"/>
      <c r="G126" s="503"/>
      <c r="H126" s="504"/>
      <c r="I126" s="504"/>
      <c r="J126" s="504"/>
      <c r="K126" s="504"/>
      <c r="L126" s="505"/>
      <c r="M126" s="506"/>
      <c r="N126" s="934"/>
      <c r="O126" s="934"/>
      <c r="P126" s="1921"/>
      <c r="Q126" s="508"/>
    </row>
    <row r="127" spans="1:17" s="422" customFormat="1" ht="15.75" thickBot="1">
      <c r="A127" s="502"/>
      <c r="B127" s="492"/>
      <c r="C127" s="509"/>
      <c r="D127" s="485"/>
      <c r="E127" s="485"/>
      <c r="F127" s="485"/>
      <c r="G127" s="509"/>
      <c r="H127" s="511"/>
      <c r="I127" s="511"/>
      <c r="J127" s="511"/>
      <c r="K127" s="511"/>
      <c r="L127" s="511"/>
      <c r="M127" s="512"/>
      <c r="N127" s="934"/>
      <c r="O127" s="934"/>
      <c r="P127" s="1921"/>
      <c r="Q127" s="508"/>
    </row>
    <row r="128" spans="1:17" ht="15" thickTop="1">
      <c r="A128" s="548"/>
      <c r="B128" s="487">
        <f>B45</f>
        <v>111</v>
      </c>
      <c r="C128" s="503"/>
      <c r="D128" s="503"/>
      <c r="E128" s="503"/>
      <c r="F128" s="503"/>
      <c r="G128" s="532"/>
      <c r="H128" s="532"/>
      <c r="I128" s="532"/>
      <c r="J128" s="532"/>
      <c r="K128" s="533"/>
      <c r="L128" s="534"/>
      <c r="M128" s="535"/>
      <c r="N128" s="932"/>
      <c r="O128" s="932"/>
      <c r="P128" s="1920"/>
      <c r="Q128" s="453"/>
    </row>
    <row r="129" spans="1:17" ht="15.75" thickBot="1">
      <c r="A129" s="483"/>
      <c r="B129" s="492"/>
      <c r="C129" s="509"/>
      <c r="D129" s="509"/>
      <c r="E129" s="509"/>
      <c r="F129" s="509"/>
      <c r="G129" s="485"/>
      <c r="H129" s="485"/>
      <c r="I129" s="485"/>
      <c r="J129" s="485"/>
      <c r="K129" s="485"/>
      <c r="L129" s="485"/>
      <c r="M129" s="486"/>
      <c r="N129" s="933"/>
      <c r="O129" s="933"/>
      <c r="P129" s="1920"/>
      <c r="Q129" s="453"/>
    </row>
    <row r="130" spans="1:17" ht="15" thickTop="1">
      <c r="A130" s="548"/>
      <c r="B130" s="495">
        <f>B46</f>
        <v>111</v>
      </c>
      <c r="C130" s="503"/>
      <c r="D130" s="503"/>
      <c r="E130" s="503"/>
      <c r="F130" s="503"/>
      <c r="G130" s="536"/>
      <c r="H130" s="536"/>
      <c r="I130" s="536"/>
      <c r="J130" s="536"/>
      <c r="K130" s="472"/>
      <c r="L130" s="473"/>
      <c r="M130" s="539"/>
      <c r="N130" s="932"/>
      <c r="O130" s="932"/>
      <c r="P130" s="1920"/>
      <c r="Q130" s="453"/>
    </row>
    <row r="131" spans="1:17" ht="15.75" thickBot="1">
      <c r="A131" s="1926"/>
      <c r="B131" s="518"/>
      <c r="C131" s="519"/>
      <c r="D131" s="519"/>
      <c r="E131" s="519"/>
      <c r="F131" s="519"/>
      <c r="G131" s="540"/>
      <c r="H131" s="540"/>
      <c r="I131" s="540"/>
      <c r="J131" s="540"/>
      <c r="K131" s="540"/>
      <c r="L131" s="540"/>
      <c r="M131" s="541"/>
      <c r="N131" s="933"/>
      <c r="O131" s="933"/>
      <c r="P131" s="1920"/>
      <c r="Q131" s="453"/>
    </row>
    <row r="136" spans="1:17" ht="15" thickBot="1">
      <c r="B136" s="1927" t="s">
        <v>1746</v>
      </c>
    </row>
    <row r="137" spans="1:17" ht="15">
      <c r="B137" s="1928" t="s">
        <v>1747</v>
      </c>
      <c r="C137" s="1929"/>
      <c r="D137" s="1929"/>
      <c r="E137" s="1929"/>
      <c r="F137" s="1929"/>
      <c r="G137" s="1930"/>
      <c r="H137" s="1931"/>
      <c r="I137" s="1932" t="s">
        <v>1748</v>
      </c>
      <c r="J137" s="1929"/>
      <c r="K137" s="1933"/>
    </row>
    <row r="138" spans="1:17" ht="15">
      <c r="B138" s="1934"/>
      <c r="C138" s="137" t="s">
        <v>1749</v>
      </c>
      <c r="D138" s="137" t="s">
        <v>1750</v>
      </c>
      <c r="E138" s="1935" t="s">
        <v>1751</v>
      </c>
      <c r="F138" s="1936" t="s">
        <v>1752</v>
      </c>
      <c r="G138" s="137" t="s">
        <v>1750</v>
      </c>
      <c r="H138" s="138" t="s">
        <v>1751</v>
      </c>
      <c r="I138" s="1937"/>
      <c r="J138" s="137" t="s">
        <v>1753</v>
      </c>
      <c r="K138" s="138" t="s">
        <v>1754</v>
      </c>
    </row>
    <row r="139" spans="1:17" ht="15">
      <c r="B139" s="866">
        <v>6</v>
      </c>
      <c r="C139" s="867">
        <v>96</v>
      </c>
      <c r="D139" s="1938" t="s">
        <v>1755</v>
      </c>
      <c r="E139" s="868">
        <v>100</v>
      </c>
      <c r="F139" s="869">
        <v>102.5</v>
      </c>
      <c r="G139" s="1938" t="s">
        <v>1755</v>
      </c>
      <c r="H139" s="870">
        <v>105</v>
      </c>
      <c r="I139" s="1939" t="s">
        <v>1756</v>
      </c>
      <c r="J139" s="867">
        <v>20</v>
      </c>
      <c r="K139" s="871">
        <f>C145/(J139-2)</f>
        <v>4.0555555555555553E-3</v>
      </c>
    </row>
    <row r="140" spans="1:17" ht="15">
      <c r="B140" s="872">
        <v>5</v>
      </c>
      <c r="C140" s="873">
        <v>100</v>
      </c>
      <c r="D140" s="873"/>
      <c r="E140" s="874"/>
      <c r="F140" s="875">
        <v>102</v>
      </c>
      <c r="G140" s="873"/>
      <c r="H140" s="876"/>
      <c r="I140" s="1940" t="s">
        <v>1757</v>
      </c>
      <c r="J140" s="271">
        <f>ROUNDUP((J139-1)/2,0)</f>
        <v>10</v>
      </c>
      <c r="K140" s="877">
        <v>100</v>
      </c>
    </row>
    <row r="141" spans="1:17" ht="15">
      <c r="B141" s="872">
        <v>4</v>
      </c>
      <c r="C141" s="873">
        <v>102</v>
      </c>
      <c r="D141" s="873"/>
      <c r="E141" s="874"/>
      <c r="F141" s="875">
        <v>101.5</v>
      </c>
      <c r="G141" s="873"/>
      <c r="H141" s="876"/>
      <c r="I141" s="1940" t="s">
        <v>1758</v>
      </c>
      <c r="J141" s="271">
        <v>1</v>
      </c>
      <c r="K141" s="878">
        <f>ROUND(100+(J141-J140)*K139*100,1)</f>
        <v>96.4</v>
      </c>
    </row>
    <row r="142" spans="1:17" ht="15">
      <c r="B142" s="872">
        <v>3</v>
      </c>
      <c r="C142" s="873">
        <v>103</v>
      </c>
      <c r="D142" s="873"/>
      <c r="E142" s="874"/>
      <c r="F142" s="875">
        <v>101</v>
      </c>
      <c r="G142" s="873"/>
      <c r="H142" s="876"/>
      <c r="I142" s="1940" t="s">
        <v>1759</v>
      </c>
      <c r="J142" s="271">
        <f>J139</f>
        <v>20</v>
      </c>
      <c r="K142" s="879">
        <v>95</v>
      </c>
    </row>
    <row r="143" spans="1:17" ht="15">
      <c r="B143" s="872">
        <v>2</v>
      </c>
      <c r="C143" s="873">
        <v>100</v>
      </c>
      <c r="D143" s="873"/>
      <c r="E143" s="874"/>
      <c r="F143" s="875">
        <v>100.5</v>
      </c>
      <c r="G143" s="873"/>
      <c r="H143" s="876"/>
      <c r="I143" s="1940" t="s">
        <v>1760</v>
      </c>
      <c r="J143" s="873">
        <v>15</v>
      </c>
      <c r="K143" s="878">
        <f>ROUND(100+(J143-J140)*K139*100,1)</f>
        <v>102</v>
      </c>
    </row>
    <row r="144" spans="1:17" ht="15">
      <c r="B144" s="872">
        <v>1</v>
      </c>
      <c r="C144" s="873">
        <v>98</v>
      </c>
      <c r="D144" s="1941" t="s">
        <v>1761</v>
      </c>
      <c r="E144" s="874">
        <v>102</v>
      </c>
      <c r="F144" s="880">
        <v>100</v>
      </c>
      <c r="G144" s="1941" t="s">
        <v>1761</v>
      </c>
      <c r="H144" s="876">
        <v>105</v>
      </c>
      <c r="I144" s="1940" t="s">
        <v>1760</v>
      </c>
      <c r="J144" s="873">
        <v>18</v>
      </c>
      <c r="K144" s="878">
        <f>ROUND(100+(J144-J140)*K139*100,1)</f>
        <v>103.2</v>
      </c>
    </row>
    <row r="145" spans="2:11" ht="15.75" thickBot="1">
      <c r="B145" s="1942" t="s">
        <v>1762</v>
      </c>
      <c r="C145" s="881">
        <f>ROUND(MAX(C139:C144)/MIN(C139:C144)-1,3)</f>
        <v>7.2999999999999995E-2</v>
      </c>
      <c r="D145" s="882"/>
      <c r="E145" s="882"/>
      <c r="F145" s="1943" t="s">
        <v>1763</v>
      </c>
      <c r="G145" s="1944"/>
      <c r="H145" s="1945"/>
      <c r="I145" s="1946" t="s">
        <v>1760</v>
      </c>
      <c r="J145" s="883">
        <v>8</v>
      </c>
      <c r="K145" s="884">
        <f>ROUND(100+(J145-J140)*K139*100,1)</f>
        <v>99.2</v>
      </c>
    </row>
    <row r="147" spans="2:11">
      <c r="B147" s="1927" t="s">
        <v>1764</v>
      </c>
    </row>
    <row r="148" spans="2:11">
      <c r="B148" s="1927"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11" priority="19" stopIfTrue="1" operator="containsText" text="超过">
      <formula>NOT(ISERROR(SEARCH("超过",F52)))</formula>
    </cfRule>
  </conditionalFormatting>
  <conditionalFormatting sqref="J54">
    <cfRule type="containsText" dxfId="110" priority="18" stopIfTrue="1" operator="containsText" text="超过">
      <formula>NOT(ISERROR(SEARCH("超过",J54)))</formula>
    </cfRule>
  </conditionalFormatting>
  <conditionalFormatting sqref="H54">
    <cfRule type="containsText" dxfId="109" priority="17" stopIfTrue="1" operator="containsText" text="超过">
      <formula>NOT(ISERROR(SEARCH("超过",H54)))</formula>
    </cfRule>
  </conditionalFormatting>
  <conditionalFormatting sqref="F54">
    <cfRule type="containsText" dxfId="108" priority="16" stopIfTrue="1" operator="containsText" text="超过">
      <formula>NOT(ISERROR(SEARCH("超过",F54)))</formula>
    </cfRule>
  </conditionalFormatting>
  <conditionalFormatting sqref="F53 H53 J53">
    <cfRule type="containsText" dxfId="107" priority="15" stopIfTrue="1" operator="containsText" text="超过">
      <formula>NOT(ISERROR(SEARCH("超过",F53)))</formula>
    </cfRule>
  </conditionalFormatting>
  <conditionalFormatting sqref="E52">
    <cfRule type="expression" dxfId="106" priority="14" stopIfTrue="1">
      <formula>$F$52="超过30%"</formula>
    </cfRule>
  </conditionalFormatting>
  <conditionalFormatting sqref="G54">
    <cfRule type="expression" dxfId="105" priority="12" stopIfTrue="1">
      <formula>$H$54="超过30%"</formula>
    </cfRule>
  </conditionalFormatting>
  <conditionalFormatting sqref="E53">
    <cfRule type="expression" dxfId="104" priority="11" stopIfTrue="1">
      <formula>$F$53="超过20%"</formula>
    </cfRule>
  </conditionalFormatting>
  <conditionalFormatting sqref="E54">
    <cfRule type="expression" dxfId="103" priority="10" stopIfTrue="1">
      <formula>$F$54="超过30%"</formula>
    </cfRule>
  </conditionalFormatting>
  <conditionalFormatting sqref="G52">
    <cfRule type="expression" dxfId="102" priority="9" stopIfTrue="1">
      <formula>$H$52="超过30%"</formula>
    </cfRule>
  </conditionalFormatting>
  <conditionalFormatting sqref="G53">
    <cfRule type="expression" dxfId="101" priority="8" stopIfTrue="1">
      <formula>$H$53="超过20%"</formula>
    </cfRule>
  </conditionalFormatting>
  <conditionalFormatting sqref="I52">
    <cfRule type="expression" dxfId="100" priority="7" stopIfTrue="1">
      <formula>$J$52="超过30%"</formula>
    </cfRule>
  </conditionalFormatting>
  <conditionalFormatting sqref="I53">
    <cfRule type="expression" dxfId="99" priority="6" stopIfTrue="1">
      <formula>$J$53="超过20%"</formula>
    </cfRule>
  </conditionalFormatting>
  <conditionalFormatting sqref="I54">
    <cfRule type="expression" dxfId="98" priority="5" stopIfTrue="1">
      <formula>$J$54="超过30%"</formula>
    </cfRule>
  </conditionalFormatting>
  <conditionalFormatting sqref="F48">
    <cfRule type="expression" dxfId="97" priority="4">
      <formula>$D$48="简单平均"</formula>
    </cfRule>
  </conditionalFormatting>
  <conditionalFormatting sqref="H48">
    <cfRule type="expression" dxfId="96" priority="3">
      <formula>$D$48="简单平均"</formula>
    </cfRule>
  </conditionalFormatting>
  <conditionalFormatting sqref="J48">
    <cfRule type="expression" dxfId="95" priority="2">
      <formula>$D$48="简单平均"</formula>
    </cfRule>
  </conditionalFormatting>
  <conditionalFormatting sqref="F7:F46 H7:H46 J7:J46">
    <cfRule type="cellIs" dxfId="9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1826</v>
      </c>
      <c r="C1" s="1222" t="s">
        <v>1662</v>
      </c>
      <c r="D1" s="1223"/>
      <c r="E1" s="3429"/>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IF(E1="项目模式",IF(C2="——",ROUND(C43*D3/10000,0),ROUND(C43*D3/10000,0)-D2),IF(E1="单套模式",IF(C2="——",ROUND(C43*D3/10000,4),ROUND(C43*D3/10000,4)-D2)))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7"/>
      <c r="L2" s="910"/>
      <c r="M2" s="911"/>
      <c r="N2" s="911"/>
      <c r="O2" s="911"/>
      <c r="P2" s="698"/>
      <c r="Q2" s="698"/>
      <c r="R2" s="698"/>
      <c r="S2" s="698"/>
      <c r="T2" s="698"/>
      <c r="U2" s="698"/>
      <c r="V2" s="698"/>
      <c r="W2" s="698"/>
      <c r="X2" s="698"/>
      <c r="Y2" s="698"/>
      <c r="Z2" s="698"/>
      <c r="AA2" s="698"/>
      <c r="AB2" s="698"/>
      <c r="AC2" s="712"/>
    </row>
    <row r="3" spans="1:29" s="352" customFormat="1" ht="28.5" customHeight="1" thickBot="1">
      <c r="A3" s="203" t="s">
        <v>1464</v>
      </c>
      <c r="B3" s="558">
        <f>IF(C2="——",C43,ROUND(B2*10000/D3,0))</f>
        <v>0</v>
      </c>
      <c r="C3" s="354" t="s">
        <v>1768</v>
      </c>
      <c r="D3" s="353">
        <f>IF(D1="",'数据-汇总表'!E3,SUMIF('数据-汇总表'!$C19:$C33,D1,'数据-汇总表'!$E19:$E33))</f>
        <v>20062.899999999998</v>
      </c>
      <c r="E3" s="907"/>
      <c r="F3" s="908"/>
      <c r="G3" s="907"/>
      <c r="H3" s="907"/>
      <c r="I3" s="907"/>
      <c r="J3" s="907"/>
      <c r="K3" s="909"/>
      <c r="L3" s="910"/>
      <c r="M3" s="911"/>
      <c r="N3" s="911"/>
      <c r="O3" s="911"/>
      <c r="P3" s="698"/>
      <c r="Q3" s="698"/>
      <c r="R3" s="698"/>
      <c r="S3" s="698"/>
      <c r="T3" s="698"/>
      <c r="U3" s="698"/>
      <c r="V3" s="698"/>
      <c r="W3" s="698"/>
      <c r="X3" s="698"/>
      <c r="Y3" s="698"/>
      <c r="Z3" s="698"/>
      <c r="AA3" s="698"/>
      <c r="AB3" s="715"/>
      <c r="AC3" s="712"/>
    </row>
    <row r="4" spans="1:29" ht="15">
      <c r="A4" s="355" t="s">
        <v>1769</v>
      </c>
      <c r="B4" s="356"/>
      <c r="C4" s="3730" t="s">
        <v>1770</v>
      </c>
      <c r="D4" s="3731"/>
      <c r="E4" s="3732" t="s">
        <v>1771</v>
      </c>
      <c r="F4" s="3733"/>
      <c r="G4" s="3730" t="s">
        <v>1772</v>
      </c>
      <c r="H4" s="3731"/>
      <c r="I4" s="3730" t="s">
        <v>1773</v>
      </c>
      <c r="J4" s="3731"/>
      <c r="K4" s="559" t="s">
        <v>1774</v>
      </c>
      <c r="L4" s="912"/>
      <c r="M4" s="913"/>
      <c r="N4" s="913"/>
      <c r="O4" s="913"/>
      <c r="P4" s="3734" t="s">
        <v>1775</v>
      </c>
      <c r="Q4" s="3735"/>
      <c r="R4" s="3716" t="s">
        <v>1771</v>
      </c>
      <c r="S4" s="3717"/>
      <c r="T4" s="3716" t="s">
        <v>1772</v>
      </c>
      <c r="U4" s="3717"/>
      <c r="V4" s="3713" t="s">
        <v>1773</v>
      </c>
      <c r="W4" s="3713"/>
      <c r="X4" s="1353"/>
      <c r="Y4" s="3716" t="s">
        <v>1775</v>
      </c>
      <c r="Z4" s="3717"/>
      <c r="AA4" s="3710" t="s">
        <v>1771</v>
      </c>
      <c r="AB4" s="3711" t="s">
        <v>1772</v>
      </c>
      <c r="AC4" s="3710" t="s">
        <v>1773</v>
      </c>
    </row>
    <row r="5" spans="1:29" ht="15">
      <c r="A5" s="358"/>
      <c r="B5" s="359"/>
      <c r="C5" s="3722" t="s">
        <v>1673</v>
      </c>
      <c r="D5" s="3723"/>
      <c r="E5" s="3760" t="s">
        <v>1674</v>
      </c>
      <c r="F5" s="3721"/>
      <c r="G5" s="3722" t="s">
        <v>1675</v>
      </c>
      <c r="H5" s="3723"/>
      <c r="I5" s="3722" t="s">
        <v>1676</v>
      </c>
      <c r="J5" s="3723"/>
      <c r="K5" s="559"/>
      <c r="L5" s="912"/>
      <c r="M5" s="913"/>
      <c r="N5" s="913"/>
      <c r="O5" s="913"/>
      <c r="P5" s="3736"/>
      <c r="Q5" s="3737"/>
      <c r="R5" s="3718"/>
      <c r="S5" s="3719"/>
      <c r="T5" s="3718"/>
      <c r="U5" s="3719"/>
      <c r="V5" s="3713"/>
      <c r="W5" s="3713"/>
      <c r="X5" s="1353"/>
      <c r="Y5" s="3718"/>
      <c r="Z5" s="3719"/>
      <c r="AA5" s="3711"/>
      <c r="AB5" s="3711"/>
      <c r="AC5" s="3711"/>
    </row>
    <row r="6" spans="1:29" ht="15.75" thickBot="1">
      <c r="A6" s="360"/>
      <c r="B6" s="361"/>
      <c r="C6" s="3724" t="s">
        <v>1677</v>
      </c>
      <c r="D6" s="3725"/>
      <c r="E6" s="3727" t="s">
        <v>1677</v>
      </c>
      <c r="F6" s="3728"/>
      <c r="G6" s="3724" t="s">
        <v>1677</v>
      </c>
      <c r="H6" s="3725"/>
      <c r="I6" s="3724" t="s">
        <v>1677</v>
      </c>
      <c r="J6" s="3725"/>
      <c r="K6" s="559" t="s">
        <v>1678</v>
      </c>
      <c r="L6" s="912"/>
      <c r="M6" s="913"/>
      <c r="N6" s="913"/>
      <c r="O6" s="913"/>
      <c r="P6" s="3738"/>
      <c r="Q6" s="3739"/>
      <c r="R6" s="3718"/>
      <c r="S6" s="3719"/>
      <c r="T6" s="3740"/>
      <c r="U6" s="3741"/>
      <c r="V6" s="3713"/>
      <c r="W6" s="3713"/>
      <c r="X6" s="1353"/>
      <c r="Y6" s="3740"/>
      <c r="Z6" s="3741"/>
      <c r="AA6" s="3712"/>
      <c r="AB6" s="3712"/>
      <c r="AC6" s="3712"/>
    </row>
    <row r="7" spans="1:29" s="108" customFormat="1" ht="15.75" thickBot="1">
      <c r="A7" s="362" t="s">
        <v>1679</v>
      </c>
      <c r="B7" s="363"/>
      <c r="C7" s="364">
        <f>'数据-取费表'!B2</f>
        <v>45068</v>
      </c>
      <c r="D7" s="365">
        <v>100</v>
      </c>
      <c r="E7" s="366"/>
      <c r="F7" s="367">
        <f>SUMIF(52:52,YEAR(E7)&amp;"-"&amp;MONTH(E7),53:53)</f>
        <v>0</v>
      </c>
      <c r="G7" s="366"/>
      <c r="H7" s="365">
        <f>SUMIF(52:52,YEAR(G7)&amp;"-"&amp;MONTH(G7),53:53)</f>
        <v>0</v>
      </c>
      <c r="I7" s="366"/>
      <c r="J7" s="365">
        <f>SUMIF(52:52,YEAR(I7)&amp;"-"&amp;MONTH(I7),53:53)</f>
        <v>0</v>
      </c>
      <c r="K7" s="560"/>
      <c r="L7" s="914"/>
      <c r="M7" s="915"/>
      <c r="N7" s="915"/>
      <c r="O7" s="915"/>
      <c r="P7" s="3714" t="s">
        <v>1680</v>
      </c>
      <c r="Q7" s="3742"/>
      <c r="R7" s="700" t="s">
        <v>14</v>
      </c>
      <c r="S7" s="701">
        <f t="shared" ref="S7:S15" si="0">F7</f>
        <v>0</v>
      </c>
      <c r="T7" s="700" t="s">
        <v>14</v>
      </c>
      <c r="U7" s="701">
        <f t="shared" ref="U7:U15" si="1">H7</f>
        <v>0</v>
      </c>
      <c r="V7" s="700" t="s">
        <v>14</v>
      </c>
      <c r="W7" s="701">
        <f t="shared" ref="W7:W15" si="2">J7</f>
        <v>0</v>
      </c>
      <c r="X7" s="702"/>
      <c r="Y7" s="3714" t="s">
        <v>1680</v>
      </c>
      <c r="Z7" s="3715"/>
      <c r="AA7" s="703" t="e">
        <f>D7/F7</f>
        <v>#DIV/0!</v>
      </c>
      <c r="AB7" s="703" t="e">
        <f>D7/H7</f>
        <v>#DIV/0!</v>
      </c>
      <c r="AC7" s="703"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4"/>
      <c r="M8" s="915"/>
      <c r="N8" s="915"/>
      <c r="O8" s="915"/>
      <c r="P8" s="3714" t="s">
        <v>1683</v>
      </c>
      <c r="Q8" s="3715"/>
      <c r="R8" s="700" t="s">
        <v>14</v>
      </c>
      <c r="S8" s="701">
        <f t="shared" si="0"/>
        <v>100</v>
      </c>
      <c r="T8" s="700" t="s">
        <v>14</v>
      </c>
      <c r="U8" s="701">
        <f t="shared" si="1"/>
        <v>100</v>
      </c>
      <c r="V8" s="700" t="s">
        <v>14</v>
      </c>
      <c r="W8" s="701">
        <f t="shared" si="2"/>
        <v>100</v>
      </c>
      <c r="X8" s="702"/>
      <c r="Y8" s="3714" t="s">
        <v>1683</v>
      </c>
      <c r="Z8" s="3715"/>
      <c r="AA8" s="703">
        <f t="shared" ref="AA8:AA40" si="3">D8/F8</f>
        <v>1</v>
      </c>
      <c r="AB8" s="703">
        <f t="shared" ref="AB8:AB40" si="4">D8/H8</f>
        <v>1</v>
      </c>
      <c r="AC8" s="703">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4"/>
      <c r="M9" s="915"/>
      <c r="N9" s="915"/>
      <c r="O9" s="916"/>
      <c r="P9" s="3752" t="s">
        <v>1686</v>
      </c>
      <c r="Q9" s="1341" t="str">
        <f t="shared" ref="Q9:Q15" si="6">B9</f>
        <v>用途</v>
      </c>
      <c r="R9" s="700" t="s">
        <v>14</v>
      </c>
      <c r="S9" s="701">
        <f t="shared" si="0"/>
        <v>100</v>
      </c>
      <c r="T9" s="700" t="s">
        <v>14</v>
      </c>
      <c r="U9" s="701">
        <f t="shared" si="1"/>
        <v>100</v>
      </c>
      <c r="V9" s="700" t="s">
        <v>14</v>
      </c>
      <c r="W9" s="701">
        <f t="shared" si="2"/>
        <v>100</v>
      </c>
      <c r="X9" s="702"/>
      <c r="Y9" s="3686" t="s">
        <v>1687</v>
      </c>
      <c r="Z9" s="52" t="str">
        <f t="shared" ref="Z9:Z15" si="7">Q9</f>
        <v>用途</v>
      </c>
      <c r="AA9" s="703">
        <f t="shared" si="3"/>
        <v>1</v>
      </c>
      <c r="AB9" s="703">
        <f t="shared" si="4"/>
        <v>1</v>
      </c>
      <c r="AC9" s="703">
        <f t="shared" si="5"/>
        <v>1</v>
      </c>
    </row>
    <row r="10" spans="1:29" s="378" customFormat="1" ht="27">
      <c r="A10" s="374"/>
      <c r="B10" s="375" t="s">
        <v>1688</v>
      </c>
      <c r="C10" s="3430"/>
      <c r="D10" s="127">
        <v>100</v>
      </c>
      <c r="E10" s="3430"/>
      <c r="F10" s="127">
        <f>SUMIF(59:59,E10,60:60)-SUMIF(59:59,C10,60:60)+100</f>
        <v>100</v>
      </c>
      <c r="G10" s="3431"/>
      <c r="H10" s="127">
        <f>SUMIF(59:59,G10,60:60)-SUMIF(59:59,C10,60:60)+100</f>
        <v>100</v>
      </c>
      <c r="I10" s="3430"/>
      <c r="J10" s="127">
        <f>SUMIF(59:59,I10,60:60)-SUMIF(59:59,C10,60:60)+100</f>
        <v>100</v>
      </c>
      <c r="K10" s="560"/>
      <c r="L10" s="917"/>
      <c r="M10" s="918"/>
      <c r="N10" s="918"/>
      <c r="O10" s="919"/>
      <c r="P10" s="3752"/>
      <c r="Q10" s="1341" t="str">
        <f t="shared" si="6"/>
        <v>土地使用年限（年）</v>
      </c>
      <c r="R10" s="700" t="s">
        <v>14</v>
      </c>
      <c r="S10" s="701">
        <f t="shared" si="0"/>
        <v>100</v>
      </c>
      <c r="T10" s="700" t="s">
        <v>14</v>
      </c>
      <c r="U10" s="701">
        <f t="shared" si="1"/>
        <v>100</v>
      </c>
      <c r="V10" s="700" t="s">
        <v>14</v>
      </c>
      <c r="W10" s="701">
        <f t="shared" si="2"/>
        <v>100</v>
      </c>
      <c r="X10" s="702"/>
      <c r="Y10" s="3686"/>
      <c r="Z10" s="52" t="str">
        <f t="shared" si="7"/>
        <v>土地使用年限（年）</v>
      </c>
      <c r="AA10" s="703">
        <f t="shared" si="3"/>
        <v>1</v>
      </c>
      <c r="AB10" s="703">
        <f t="shared" si="4"/>
        <v>1</v>
      </c>
      <c r="AC10" s="703">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0"/>
      <c r="M11" s="913"/>
      <c r="N11" s="913"/>
      <c r="O11" s="921"/>
      <c r="P11" s="3752"/>
      <c r="Q11" s="1341" t="str">
        <f t="shared" si="6"/>
        <v>容积率</v>
      </c>
      <c r="R11" s="700" t="s">
        <v>14</v>
      </c>
      <c r="S11" s="701">
        <f t="shared" si="0"/>
        <v>100</v>
      </c>
      <c r="T11" s="700" t="s">
        <v>14</v>
      </c>
      <c r="U11" s="701">
        <f t="shared" si="1"/>
        <v>100</v>
      </c>
      <c r="V11" s="700" t="s">
        <v>14</v>
      </c>
      <c r="W11" s="701">
        <f t="shared" si="2"/>
        <v>100</v>
      </c>
      <c r="X11" s="702"/>
      <c r="Y11" s="3686"/>
      <c r="Z11" s="52" t="str">
        <f t="shared" si="7"/>
        <v>容积率</v>
      </c>
      <c r="AA11" s="703">
        <f t="shared" si="3"/>
        <v>1</v>
      </c>
      <c r="AB11" s="703">
        <f t="shared" si="4"/>
        <v>1</v>
      </c>
      <c r="AC11" s="703">
        <f t="shared" si="5"/>
        <v>1</v>
      </c>
    </row>
    <row r="12" spans="1:29" s="108" customFormat="1" ht="15">
      <c r="A12" s="382"/>
      <c r="B12" s="1891">
        <v>111</v>
      </c>
      <c r="C12" s="383"/>
      <c r="D12" s="384">
        <v>100</v>
      </c>
      <c r="E12" s="385"/>
      <c r="F12" s="127">
        <f>SUMIF(64:64,E12,65:65)-SUMIF(64:64,C12,65:65)+100</f>
        <v>100</v>
      </c>
      <c r="G12" s="1967"/>
      <c r="H12" s="127">
        <f>SUMIF(64:64,G12,65:65)-SUMIF(64:64,C12,65:65)+100</f>
        <v>100</v>
      </c>
      <c r="I12" s="420"/>
      <c r="J12" s="127">
        <f>SUMIF(64:64,I12,65:65)-SUMIF(64:64,C12,65:65)+100</f>
        <v>100</v>
      </c>
      <c r="K12" s="562"/>
      <c r="L12" s="914"/>
      <c r="M12" s="915"/>
      <c r="N12" s="915"/>
      <c r="O12" s="916"/>
      <c r="P12" s="3752"/>
      <c r="Q12" s="1341">
        <f t="shared" si="6"/>
        <v>111</v>
      </c>
      <c r="R12" s="700" t="s">
        <v>14</v>
      </c>
      <c r="S12" s="701">
        <f t="shared" si="0"/>
        <v>100</v>
      </c>
      <c r="T12" s="700" t="s">
        <v>14</v>
      </c>
      <c r="U12" s="701">
        <f t="shared" si="1"/>
        <v>100</v>
      </c>
      <c r="V12" s="700" t="s">
        <v>14</v>
      </c>
      <c r="W12" s="701">
        <f t="shared" si="2"/>
        <v>100</v>
      </c>
      <c r="X12" s="702"/>
      <c r="Y12" s="3686"/>
      <c r="Z12" s="52">
        <f t="shared" si="7"/>
        <v>111</v>
      </c>
      <c r="AA12" s="703">
        <f>D12/F12</f>
        <v>1</v>
      </c>
      <c r="AB12" s="703">
        <f>D12/H12</f>
        <v>1</v>
      </c>
      <c r="AC12" s="703">
        <f>D12/J12</f>
        <v>1</v>
      </c>
    </row>
    <row r="13" spans="1:29" ht="15">
      <c r="A13" s="379"/>
      <c r="B13" s="1891">
        <v>111</v>
      </c>
      <c r="C13" s="385"/>
      <c r="D13" s="386">
        <v>100</v>
      </c>
      <c r="E13" s="385"/>
      <c r="F13" s="127">
        <f>SUMIF(66:66,E13,67:67)-SUMIF(66:66,C13,67:67)+100</f>
        <v>100</v>
      </c>
      <c r="G13" s="1967"/>
      <c r="H13" s="386">
        <f>SUMIF(66:66,G13,67:67)-SUMIF(66:66,C13,67:67)+100</f>
        <v>100</v>
      </c>
      <c r="I13" s="420"/>
      <c r="J13" s="386">
        <f>SUMIF(66:66,I13,67:67)-SUMIF(66:66,C13,67:67)+100</f>
        <v>100</v>
      </c>
      <c r="K13" s="562"/>
      <c r="L13" s="922"/>
      <c r="M13" s="913"/>
      <c r="N13" s="913"/>
      <c r="O13" s="921"/>
      <c r="P13" s="3752"/>
      <c r="Q13" s="1341">
        <f t="shared" si="6"/>
        <v>111</v>
      </c>
      <c r="R13" s="700" t="s">
        <v>14</v>
      </c>
      <c r="S13" s="701">
        <f t="shared" si="0"/>
        <v>100</v>
      </c>
      <c r="T13" s="700" t="s">
        <v>14</v>
      </c>
      <c r="U13" s="701">
        <f t="shared" si="1"/>
        <v>100</v>
      </c>
      <c r="V13" s="700" t="s">
        <v>14</v>
      </c>
      <c r="W13" s="701">
        <f t="shared" si="2"/>
        <v>100</v>
      </c>
      <c r="X13" s="702"/>
      <c r="Y13" s="3686"/>
      <c r="Z13" s="52">
        <f t="shared" si="7"/>
        <v>111</v>
      </c>
      <c r="AA13" s="703">
        <f t="shared" si="3"/>
        <v>1</v>
      </c>
      <c r="AB13" s="703">
        <f t="shared" si="4"/>
        <v>1</v>
      </c>
      <c r="AC13" s="703">
        <f t="shared" si="5"/>
        <v>1</v>
      </c>
    </row>
    <row r="14" spans="1:29" ht="15.75" thickBot="1">
      <c r="A14" s="387"/>
      <c r="B14" s="1893">
        <v>111</v>
      </c>
      <c r="C14" s="388"/>
      <c r="D14" s="389">
        <v>100</v>
      </c>
      <c r="E14" s="388"/>
      <c r="F14" s="389">
        <f>SUMIF(68:68,E14,69:69)-SUMIF(68:68,C14,69:69)+100</f>
        <v>100</v>
      </c>
      <c r="G14" s="1967"/>
      <c r="H14" s="389">
        <f>SUMIF(68:68,G14,69:69)-SUMIF(68:68,C14,69:69)+100</f>
        <v>100</v>
      </c>
      <c r="I14" s="420"/>
      <c r="J14" s="389">
        <f>SUMIF(68:68,I14,69:69)-SUMIF(68:68,C14,69:69)+100</f>
        <v>100</v>
      </c>
      <c r="K14" s="562"/>
      <c r="L14" s="922"/>
      <c r="M14" s="913"/>
      <c r="N14" s="913"/>
      <c r="O14" s="921"/>
      <c r="P14" s="3752"/>
      <c r="Q14" s="1341">
        <f t="shared" si="6"/>
        <v>111</v>
      </c>
      <c r="R14" s="700" t="s">
        <v>14</v>
      </c>
      <c r="S14" s="701">
        <f t="shared" si="0"/>
        <v>100</v>
      </c>
      <c r="T14" s="700" t="s">
        <v>14</v>
      </c>
      <c r="U14" s="701">
        <f t="shared" si="1"/>
        <v>100</v>
      </c>
      <c r="V14" s="700" t="s">
        <v>14</v>
      </c>
      <c r="W14" s="701">
        <f t="shared" si="2"/>
        <v>100</v>
      </c>
      <c r="X14" s="702"/>
      <c r="Y14" s="3686"/>
      <c r="Z14" s="52">
        <f t="shared" si="7"/>
        <v>111</v>
      </c>
      <c r="AA14" s="703">
        <f t="shared" si="3"/>
        <v>1</v>
      </c>
      <c r="AB14" s="703">
        <f t="shared" si="4"/>
        <v>1</v>
      </c>
      <c r="AC14" s="703">
        <f t="shared" si="5"/>
        <v>1</v>
      </c>
    </row>
    <row r="15" spans="1:29" ht="57">
      <c r="A15" s="391" t="s">
        <v>1690</v>
      </c>
      <c r="B15" s="61" t="s">
        <v>1827</v>
      </c>
      <c r="C15" s="1968"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2"/>
      <c r="M15" s="913"/>
      <c r="N15" s="913"/>
      <c r="O15" s="921"/>
      <c r="P15" s="3745" t="s">
        <v>1691</v>
      </c>
      <c r="Q15" s="1350" t="str">
        <f t="shared" si="6"/>
        <v>产业集聚程度</v>
      </c>
      <c r="R15" s="704" t="s">
        <v>14</v>
      </c>
      <c r="S15" s="705">
        <f t="shared" si="0"/>
        <v>100</v>
      </c>
      <c r="T15" s="704" t="s">
        <v>14</v>
      </c>
      <c r="U15" s="705">
        <f t="shared" si="1"/>
        <v>100</v>
      </c>
      <c r="V15" s="704" t="s">
        <v>14</v>
      </c>
      <c r="W15" s="705">
        <f t="shared" si="2"/>
        <v>100</v>
      </c>
      <c r="X15" s="1353"/>
      <c r="Y15" s="3745" t="s">
        <v>1691</v>
      </c>
      <c r="Z15" s="1354" t="str">
        <f t="shared" si="7"/>
        <v>产业集聚程度</v>
      </c>
      <c r="AA15" s="1351">
        <f t="shared" si="3"/>
        <v>1</v>
      </c>
      <c r="AB15" s="1351">
        <f t="shared" si="4"/>
        <v>1</v>
      </c>
      <c r="AC15" s="1351">
        <f t="shared" si="5"/>
        <v>1</v>
      </c>
    </row>
    <row r="16" spans="1:29" ht="15">
      <c r="A16" s="379"/>
      <c r="B16" s="397"/>
      <c r="C16" s="398"/>
      <c r="D16" s="399"/>
      <c r="E16" s="398"/>
      <c r="F16" s="400"/>
      <c r="G16" s="398"/>
      <c r="H16" s="401"/>
      <c r="I16" s="398"/>
      <c r="J16" s="399"/>
      <c r="K16" s="564"/>
      <c r="L16" s="922"/>
      <c r="M16" s="913"/>
      <c r="N16" s="913"/>
      <c r="O16" s="921"/>
      <c r="P16" s="3746"/>
      <c r="Q16" s="1350"/>
      <c r="R16" s="704"/>
      <c r="S16" s="705"/>
      <c r="T16" s="704"/>
      <c r="U16" s="705"/>
      <c r="V16" s="704"/>
      <c r="W16" s="705"/>
      <c r="X16" s="1353"/>
      <c r="Y16" s="3746"/>
      <c r="Z16" s="1354"/>
      <c r="AA16" s="1351">
        <v>1</v>
      </c>
      <c r="AB16" s="1351">
        <v>1</v>
      </c>
      <c r="AC16" s="1351">
        <v>1</v>
      </c>
    </row>
    <row r="17" spans="1:29" ht="85.5">
      <c r="A17" s="379"/>
      <c r="B17" s="402" t="s">
        <v>1259</v>
      </c>
      <c r="C17" s="1898"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2"/>
      <c r="M17" s="913"/>
      <c r="N17" s="913"/>
      <c r="O17" s="921"/>
      <c r="P17" s="3746"/>
      <c r="Q17" s="1350" t="str">
        <f>B17</f>
        <v>交通便捷度</v>
      </c>
      <c r="R17" s="704" t="s">
        <v>14</v>
      </c>
      <c r="S17" s="705">
        <f>F17</f>
        <v>100</v>
      </c>
      <c r="T17" s="704" t="s">
        <v>14</v>
      </c>
      <c r="U17" s="705">
        <f>H17</f>
        <v>100</v>
      </c>
      <c r="V17" s="704" t="s">
        <v>14</v>
      </c>
      <c r="W17" s="705">
        <f>J17</f>
        <v>100</v>
      </c>
      <c r="X17" s="1353"/>
      <c r="Y17" s="3746"/>
      <c r="Z17" s="1354" t="str">
        <f>Q17</f>
        <v>交通便捷度</v>
      </c>
      <c r="AA17" s="1351">
        <f t="shared" si="3"/>
        <v>1</v>
      </c>
      <c r="AB17" s="1351">
        <f t="shared" si="4"/>
        <v>1</v>
      </c>
      <c r="AC17" s="1351">
        <f t="shared" si="5"/>
        <v>1</v>
      </c>
    </row>
    <row r="18" spans="1:29" ht="15">
      <c r="A18" s="379"/>
      <c r="B18" s="407"/>
      <c r="C18" s="1899"/>
      <c r="D18" s="401"/>
      <c r="E18" s="1901"/>
      <c r="F18" s="404"/>
      <c r="G18" s="1900"/>
      <c r="H18" s="399"/>
      <c r="I18" s="1901"/>
      <c r="J18" s="399"/>
      <c r="K18" s="564"/>
      <c r="L18" s="922"/>
      <c r="M18" s="913"/>
      <c r="N18" s="913"/>
      <c r="O18" s="921"/>
      <c r="P18" s="3746"/>
      <c r="Q18" s="1350"/>
      <c r="R18" s="704"/>
      <c r="S18" s="705"/>
      <c r="T18" s="704"/>
      <c r="U18" s="705"/>
      <c r="V18" s="704"/>
      <c r="W18" s="705"/>
      <c r="X18" s="1353"/>
      <c r="Y18" s="3746"/>
      <c r="Z18" s="1354"/>
      <c r="AA18" s="1351">
        <v>1</v>
      </c>
      <c r="AB18" s="1351">
        <v>1</v>
      </c>
      <c r="AC18" s="1351">
        <v>1</v>
      </c>
    </row>
    <row r="19" spans="1:29" ht="42.75">
      <c r="A19" s="379"/>
      <c r="B19" s="402" t="s">
        <v>1812</v>
      </c>
      <c r="C19" s="1898"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2"/>
      <c r="M19" s="913"/>
      <c r="N19" s="913"/>
      <c r="O19" s="921"/>
      <c r="P19" s="3746"/>
      <c r="Q19" s="1350" t="str">
        <f>B19</f>
        <v>公共配套设施</v>
      </c>
      <c r="R19" s="704" t="s">
        <v>14</v>
      </c>
      <c r="S19" s="705">
        <f>F19</f>
        <v>100</v>
      </c>
      <c r="T19" s="704" t="s">
        <v>14</v>
      </c>
      <c r="U19" s="705">
        <f>H19</f>
        <v>100</v>
      </c>
      <c r="V19" s="704" t="s">
        <v>14</v>
      </c>
      <c r="W19" s="705">
        <f>J19</f>
        <v>100</v>
      </c>
      <c r="X19" s="1353"/>
      <c r="Y19" s="3746"/>
      <c r="Z19" s="1354" t="str">
        <f>Q19</f>
        <v>公共配套设施</v>
      </c>
      <c r="AA19" s="1351">
        <f t="shared" si="3"/>
        <v>1</v>
      </c>
      <c r="AB19" s="1351">
        <f t="shared" si="4"/>
        <v>1</v>
      </c>
      <c r="AC19" s="1351">
        <f t="shared" si="5"/>
        <v>1</v>
      </c>
    </row>
    <row r="20" spans="1:29" ht="15">
      <c r="A20" s="379"/>
      <c r="B20" s="407"/>
      <c r="C20" s="398"/>
      <c r="D20" s="399"/>
      <c r="E20" s="1896"/>
      <c r="F20" s="400"/>
      <c r="G20" s="1895"/>
      <c r="H20" s="399"/>
      <c r="I20" s="1896"/>
      <c r="J20" s="399"/>
      <c r="K20" s="564"/>
      <c r="L20" s="922"/>
      <c r="M20" s="913"/>
      <c r="N20" s="913"/>
      <c r="O20" s="921"/>
      <c r="P20" s="3746"/>
      <c r="Q20" s="1350"/>
      <c r="R20" s="704"/>
      <c r="S20" s="705"/>
      <c r="T20" s="704"/>
      <c r="U20" s="705"/>
      <c r="V20" s="704"/>
      <c r="W20" s="705"/>
      <c r="X20" s="1353"/>
      <c r="Y20" s="3746"/>
      <c r="Z20" s="1354"/>
      <c r="AA20" s="1351">
        <v>1</v>
      </c>
      <c r="AB20" s="1351">
        <v>1</v>
      </c>
      <c r="AC20" s="1351">
        <v>1</v>
      </c>
    </row>
    <row r="21" spans="1:29" ht="28.5">
      <c r="A21" s="379"/>
      <c r="B21" s="1130" t="s">
        <v>1813</v>
      </c>
      <c r="C21" s="1898"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2"/>
      <c r="M21" s="913"/>
      <c r="N21" s="913"/>
      <c r="O21" s="921"/>
      <c r="P21" s="3746"/>
      <c r="Q21" s="1350" t="str">
        <f>B21</f>
        <v>基础设施水平</v>
      </c>
      <c r="R21" s="704" t="s">
        <v>14</v>
      </c>
      <c r="S21" s="705">
        <f>F21</f>
        <v>100</v>
      </c>
      <c r="T21" s="704" t="s">
        <v>14</v>
      </c>
      <c r="U21" s="705">
        <f>H21</f>
        <v>100</v>
      </c>
      <c r="V21" s="704" t="s">
        <v>14</v>
      </c>
      <c r="W21" s="705">
        <f>J21</f>
        <v>100</v>
      </c>
      <c r="X21" s="1353"/>
      <c r="Y21" s="3746"/>
      <c r="Z21" s="1354" t="str">
        <f>Q21</f>
        <v>基础设施水平</v>
      </c>
      <c r="AA21" s="1351">
        <f t="shared" ref="AA21" si="8">D21/F21</f>
        <v>1</v>
      </c>
      <c r="AB21" s="1351">
        <f t="shared" ref="AB21" si="9">D21/H21</f>
        <v>1</v>
      </c>
      <c r="AC21" s="1351">
        <f t="shared" ref="AC21" si="10">D21/J21</f>
        <v>1</v>
      </c>
    </row>
    <row r="22" spans="1:29" ht="15">
      <c r="A22" s="379"/>
      <c r="B22" s="1130"/>
      <c r="C22" s="1899"/>
      <c r="D22" s="399"/>
      <c r="E22" s="398"/>
      <c r="F22" s="400"/>
      <c r="G22" s="398"/>
      <c r="H22" s="399"/>
      <c r="I22" s="398"/>
      <c r="J22" s="399"/>
      <c r="K22" s="1129"/>
      <c r="L22" s="922"/>
      <c r="M22" s="913"/>
      <c r="N22" s="913"/>
      <c r="O22" s="921"/>
      <c r="P22" s="3746"/>
      <c r="Q22" s="1350"/>
      <c r="R22" s="704"/>
      <c r="S22" s="705"/>
      <c r="T22" s="704"/>
      <c r="U22" s="705"/>
      <c r="V22" s="704"/>
      <c r="W22" s="705"/>
      <c r="X22" s="1353"/>
      <c r="Y22" s="3746"/>
      <c r="Z22" s="1354"/>
      <c r="AA22" s="1351">
        <v>1</v>
      </c>
      <c r="AB22" s="1351">
        <v>1</v>
      </c>
      <c r="AC22" s="1351">
        <v>1</v>
      </c>
    </row>
    <row r="23" spans="1:29" ht="71.25">
      <c r="A23" s="379"/>
      <c r="B23" s="402" t="s">
        <v>1814</v>
      </c>
      <c r="C23" s="1898"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2"/>
      <c r="M23" s="913"/>
      <c r="N23" s="913"/>
      <c r="O23" s="921"/>
      <c r="P23" s="3746"/>
      <c r="Q23" s="1350" t="str">
        <f>B23</f>
        <v>环境质量</v>
      </c>
      <c r="R23" s="704" t="s">
        <v>14</v>
      </c>
      <c r="S23" s="705">
        <f>F23</f>
        <v>100</v>
      </c>
      <c r="T23" s="704" t="s">
        <v>14</v>
      </c>
      <c r="U23" s="705">
        <f>H23</f>
        <v>100</v>
      </c>
      <c r="V23" s="704" t="s">
        <v>14</v>
      </c>
      <c r="W23" s="705">
        <f>J23</f>
        <v>100</v>
      </c>
      <c r="X23" s="1353"/>
      <c r="Y23" s="3746"/>
      <c r="Z23" s="1354" t="str">
        <f>Q23</f>
        <v>环境质量</v>
      </c>
      <c r="AA23" s="1351">
        <f t="shared" si="3"/>
        <v>1</v>
      </c>
      <c r="AB23" s="1351">
        <f t="shared" si="4"/>
        <v>1</v>
      </c>
      <c r="AC23" s="1351">
        <f t="shared" si="5"/>
        <v>1</v>
      </c>
    </row>
    <row r="24" spans="1:29" ht="15">
      <c r="A24" s="379"/>
      <c r="B24" s="1130"/>
      <c r="C24" s="398"/>
      <c r="D24" s="399"/>
      <c r="E24" s="1896"/>
      <c r="F24" s="400"/>
      <c r="G24" s="1895"/>
      <c r="H24" s="399"/>
      <c r="I24" s="1896"/>
      <c r="J24" s="399"/>
      <c r="K24" s="564"/>
      <c r="L24" s="922"/>
      <c r="M24" s="913"/>
      <c r="N24" s="913"/>
      <c r="O24" s="921"/>
      <c r="P24" s="3746"/>
      <c r="Q24" s="1350"/>
      <c r="R24" s="704"/>
      <c r="S24" s="705"/>
      <c r="T24" s="704"/>
      <c r="U24" s="705"/>
      <c r="V24" s="704"/>
      <c r="W24" s="705"/>
      <c r="X24" s="1353"/>
      <c r="Y24" s="3746"/>
      <c r="Z24" s="1354"/>
      <c r="AA24" s="1351">
        <v>1</v>
      </c>
      <c r="AB24" s="1351">
        <v>1</v>
      </c>
      <c r="AC24" s="1351">
        <v>1</v>
      </c>
    </row>
    <row r="25" spans="1:29" ht="15">
      <c r="A25" s="358"/>
      <c r="B25" s="1132">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2"/>
      <c r="M25" s="913"/>
      <c r="N25" s="913"/>
      <c r="O25" s="921"/>
      <c r="P25" s="3746"/>
      <c r="Q25" s="1350">
        <f>B25</f>
        <v>111</v>
      </c>
      <c r="R25" s="704" t="s">
        <v>14</v>
      </c>
      <c r="S25" s="705">
        <f>F25</f>
        <v>100</v>
      </c>
      <c r="T25" s="704" t="s">
        <v>14</v>
      </c>
      <c r="U25" s="705">
        <f>H25</f>
        <v>100</v>
      </c>
      <c r="V25" s="704" t="s">
        <v>14</v>
      </c>
      <c r="W25" s="705">
        <f>J25</f>
        <v>100</v>
      </c>
      <c r="X25" s="1353"/>
      <c r="Y25" s="3746"/>
      <c r="Z25" s="1354">
        <f>Q25</f>
        <v>111</v>
      </c>
      <c r="AA25" s="1351">
        <f t="shared" si="3"/>
        <v>1</v>
      </c>
      <c r="AB25" s="1351">
        <f t="shared" si="4"/>
        <v>1</v>
      </c>
      <c r="AC25" s="1351">
        <f t="shared" si="5"/>
        <v>1</v>
      </c>
    </row>
    <row r="26" spans="1:29" ht="15">
      <c r="A26" s="379"/>
      <c r="B26" s="1132">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2"/>
      <c r="M26" s="913"/>
      <c r="N26" s="913"/>
      <c r="O26" s="921"/>
      <c r="P26" s="3746"/>
      <c r="Q26" s="1350">
        <f t="shared" ref="Q26:Q40" si="11">B26</f>
        <v>111</v>
      </c>
      <c r="R26" s="704" t="s">
        <v>14</v>
      </c>
      <c r="S26" s="705">
        <f>F26</f>
        <v>100</v>
      </c>
      <c r="T26" s="704" t="s">
        <v>14</v>
      </c>
      <c r="U26" s="705">
        <f>H26</f>
        <v>100</v>
      </c>
      <c r="V26" s="704" t="s">
        <v>14</v>
      </c>
      <c r="W26" s="705">
        <f>J26</f>
        <v>100</v>
      </c>
      <c r="X26" s="1353"/>
      <c r="Y26" s="3746"/>
      <c r="Z26" s="1354">
        <f>Q26</f>
        <v>111</v>
      </c>
      <c r="AA26" s="1351">
        <f t="shared" si="3"/>
        <v>1</v>
      </c>
      <c r="AB26" s="1351">
        <f t="shared" si="4"/>
        <v>1</v>
      </c>
      <c r="AC26" s="1351">
        <f t="shared" si="5"/>
        <v>1</v>
      </c>
    </row>
    <row r="27" spans="1:29" s="108" customFormat="1" ht="15">
      <c r="A27" s="382"/>
      <c r="B27" s="1132">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4"/>
      <c r="M27" s="915"/>
      <c r="N27" s="915"/>
      <c r="O27" s="916"/>
      <c r="P27" s="3746"/>
      <c r="Q27" s="1341">
        <f t="shared" si="11"/>
        <v>111</v>
      </c>
      <c r="R27" s="700" t="s">
        <v>14</v>
      </c>
      <c r="S27" s="701">
        <f>F27</f>
        <v>100</v>
      </c>
      <c r="T27" s="700" t="s">
        <v>14</v>
      </c>
      <c r="U27" s="701">
        <f>H27</f>
        <v>100</v>
      </c>
      <c r="V27" s="700" t="s">
        <v>14</v>
      </c>
      <c r="W27" s="701">
        <f>J27</f>
        <v>100</v>
      </c>
      <c r="X27" s="702"/>
      <c r="Y27" s="3746"/>
      <c r="Z27" s="52">
        <f>Q27</f>
        <v>111</v>
      </c>
      <c r="AA27" s="1351">
        <f>D27/F27</f>
        <v>1</v>
      </c>
      <c r="AB27" s="1351">
        <f>D27/H27</f>
        <v>1</v>
      </c>
      <c r="AC27" s="1351">
        <f>D27/J27</f>
        <v>1</v>
      </c>
    </row>
    <row r="28" spans="1:29" ht="15.75" thickBot="1">
      <c r="A28" s="387"/>
      <c r="B28" s="1132">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2"/>
      <c r="M28" s="913"/>
      <c r="N28" s="913"/>
      <c r="O28" s="921"/>
      <c r="P28" s="3746"/>
      <c r="Q28" s="1350">
        <f t="shared" si="11"/>
        <v>111</v>
      </c>
      <c r="R28" s="704" t="s">
        <v>14</v>
      </c>
      <c r="S28" s="705">
        <f t="shared" ref="S28:S40" si="12">F28</f>
        <v>100</v>
      </c>
      <c r="T28" s="704" t="s">
        <v>14</v>
      </c>
      <c r="U28" s="705">
        <f t="shared" ref="U28:U40" si="13">H28</f>
        <v>100</v>
      </c>
      <c r="V28" s="704" t="s">
        <v>14</v>
      </c>
      <c r="W28" s="705">
        <f t="shared" ref="W28:W40" si="14">J28</f>
        <v>100</v>
      </c>
      <c r="X28" s="1353"/>
      <c r="Y28" s="3746"/>
      <c r="Z28" s="1354">
        <f t="shared" ref="Z28:Z40" si="15">Q28</f>
        <v>111</v>
      </c>
      <c r="AA28" s="1351">
        <f t="shared" si="3"/>
        <v>1</v>
      </c>
      <c r="AB28" s="1351">
        <f t="shared" si="4"/>
        <v>1</v>
      </c>
      <c r="AC28" s="1351">
        <f t="shared" si="5"/>
        <v>1</v>
      </c>
    </row>
    <row r="29" spans="1:29" ht="28.5">
      <c r="A29" s="417" t="s">
        <v>1694</v>
      </c>
      <c r="B29" s="63" t="s">
        <v>1817</v>
      </c>
      <c r="C29" s="1964"/>
      <c r="D29" s="418">
        <v>100</v>
      </c>
      <c r="E29" s="1964"/>
      <c r="F29" s="412">
        <f>SUMIF(88:88,E29,89:89)-SUMIF(88:88,C29,89:89)+100</f>
        <v>100</v>
      </c>
      <c r="G29" s="1964"/>
      <c r="H29" s="386">
        <f>SUMIF(88:88,G29,89:89)-SUMIF(88:88,C29,89:89)+100</f>
        <v>100</v>
      </c>
      <c r="I29" s="1964"/>
      <c r="J29" s="418">
        <f>SUMIF(88:88,I29,89:89)-SUMIF(88:88,C29,89:89)+100</f>
        <v>100</v>
      </c>
      <c r="K29" s="561"/>
      <c r="L29" s="922"/>
      <c r="M29" s="913"/>
      <c r="N29" s="913"/>
      <c r="O29" s="921"/>
      <c r="P29" s="3761" t="s">
        <v>1696</v>
      </c>
      <c r="Q29" s="1350" t="str">
        <f t="shared" si="11"/>
        <v>建筑类型</v>
      </c>
      <c r="R29" s="704" t="s">
        <v>14</v>
      </c>
      <c r="S29" s="705">
        <f t="shared" si="12"/>
        <v>100</v>
      </c>
      <c r="T29" s="704" t="s">
        <v>14</v>
      </c>
      <c r="U29" s="705">
        <f t="shared" si="13"/>
        <v>100</v>
      </c>
      <c r="V29" s="704" t="s">
        <v>14</v>
      </c>
      <c r="W29" s="705">
        <f t="shared" si="14"/>
        <v>100</v>
      </c>
      <c r="X29" s="1353"/>
      <c r="Y29" s="3750" t="s">
        <v>1696</v>
      </c>
      <c r="Z29" s="1354" t="str">
        <f t="shared" si="15"/>
        <v>建筑类型</v>
      </c>
      <c r="AA29" s="1351">
        <f t="shared" si="3"/>
        <v>1</v>
      </c>
      <c r="AB29" s="1351">
        <f t="shared" si="4"/>
        <v>1</v>
      </c>
      <c r="AC29" s="1351">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0"/>
      <c r="M30" s="923"/>
      <c r="N30" s="923"/>
      <c r="O30" s="924"/>
      <c r="P30" s="3750"/>
      <c r="Q30" s="706" t="str">
        <f t="shared" si="11"/>
        <v>项目建筑规模</v>
      </c>
      <c r="R30" s="707" t="s">
        <v>14</v>
      </c>
      <c r="S30" s="708" t="e">
        <f t="shared" si="12"/>
        <v>#N/A</v>
      </c>
      <c r="T30" s="707" t="s">
        <v>14</v>
      </c>
      <c r="U30" s="708" t="e">
        <f t="shared" si="13"/>
        <v>#N/A</v>
      </c>
      <c r="V30" s="707" t="s">
        <v>14</v>
      </c>
      <c r="W30" s="708" t="e">
        <f t="shared" si="14"/>
        <v>#N/A</v>
      </c>
      <c r="X30" s="709"/>
      <c r="Y30" s="3750"/>
      <c r="Z30" s="710" t="str">
        <f t="shared" si="15"/>
        <v>项目建筑规模</v>
      </c>
      <c r="AA30" s="1351" t="e">
        <f t="shared" si="3"/>
        <v>#N/A</v>
      </c>
      <c r="AB30" s="1351" t="e">
        <f t="shared" si="4"/>
        <v>#N/A</v>
      </c>
      <c r="AC30" s="1351"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2"/>
      <c r="M31" s="913"/>
      <c r="N31" s="913"/>
      <c r="O31" s="921"/>
      <c r="P31" s="3750"/>
      <c r="Q31" s="1350" t="str">
        <f t="shared" si="11"/>
        <v>建筑结构</v>
      </c>
      <c r="R31" s="704" t="s">
        <v>14</v>
      </c>
      <c r="S31" s="705">
        <f t="shared" si="12"/>
        <v>100</v>
      </c>
      <c r="T31" s="704" t="s">
        <v>14</v>
      </c>
      <c r="U31" s="705">
        <f t="shared" si="13"/>
        <v>100</v>
      </c>
      <c r="V31" s="704" t="s">
        <v>14</v>
      </c>
      <c r="W31" s="705">
        <f t="shared" si="14"/>
        <v>100</v>
      </c>
      <c r="X31" s="1353"/>
      <c r="Y31" s="3750"/>
      <c r="Z31" s="1354" t="str">
        <f t="shared" si="15"/>
        <v>建筑结构</v>
      </c>
      <c r="AA31" s="1351">
        <f t="shared" si="3"/>
        <v>1</v>
      </c>
      <c r="AB31" s="1351">
        <f t="shared" si="4"/>
        <v>1</v>
      </c>
      <c r="AC31" s="1351">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2"/>
      <c r="M32" s="913"/>
      <c r="N32" s="913"/>
      <c r="O32" s="921"/>
      <c r="P32" s="3750"/>
      <c r="Q32" s="1350" t="str">
        <f t="shared" si="11"/>
        <v>公共部分装修</v>
      </c>
      <c r="R32" s="704" t="s">
        <v>14</v>
      </c>
      <c r="S32" s="705">
        <f t="shared" si="12"/>
        <v>100</v>
      </c>
      <c r="T32" s="704" t="s">
        <v>14</v>
      </c>
      <c r="U32" s="705">
        <f t="shared" si="13"/>
        <v>100</v>
      </c>
      <c r="V32" s="704" t="s">
        <v>14</v>
      </c>
      <c r="W32" s="705">
        <f t="shared" si="14"/>
        <v>100</v>
      </c>
      <c r="X32" s="1353"/>
      <c r="Y32" s="3750"/>
      <c r="Z32" s="1354" t="str">
        <f t="shared" si="15"/>
        <v>公共部分装修</v>
      </c>
      <c r="AA32" s="1351">
        <f t="shared" si="3"/>
        <v>1</v>
      </c>
      <c r="AB32" s="1351">
        <f t="shared" si="4"/>
        <v>1</v>
      </c>
      <c r="AC32" s="1351">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2"/>
      <c r="M33" s="913"/>
      <c r="N33" s="913"/>
      <c r="O33" s="921"/>
      <c r="P33" s="3750"/>
      <c r="Q33" s="1350" t="str">
        <f t="shared" si="11"/>
        <v>成新度</v>
      </c>
      <c r="R33" s="704" t="s">
        <v>14</v>
      </c>
      <c r="S33" s="705" t="e">
        <f t="shared" si="12"/>
        <v>#N/A</v>
      </c>
      <c r="T33" s="704" t="s">
        <v>14</v>
      </c>
      <c r="U33" s="705" t="e">
        <f t="shared" si="13"/>
        <v>#N/A</v>
      </c>
      <c r="V33" s="704" t="s">
        <v>14</v>
      </c>
      <c r="W33" s="705" t="e">
        <f t="shared" si="14"/>
        <v>#N/A</v>
      </c>
      <c r="X33" s="1353"/>
      <c r="Y33" s="3750"/>
      <c r="Z33" s="1354" t="str">
        <f t="shared" si="15"/>
        <v>成新度</v>
      </c>
      <c r="AA33" s="1351" t="e">
        <f t="shared" si="3"/>
        <v>#N/A</v>
      </c>
      <c r="AB33" s="1351" t="e">
        <f t="shared" si="4"/>
        <v>#N/A</v>
      </c>
      <c r="AC33" s="1351"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4"/>
      <c r="M34" s="915"/>
      <c r="N34" s="915"/>
      <c r="O34" s="916"/>
      <c r="P34" s="3750"/>
      <c r="Q34" s="1341" t="str">
        <f t="shared" si="11"/>
        <v>物业管理</v>
      </c>
      <c r="R34" s="700" t="s">
        <v>14</v>
      </c>
      <c r="S34" s="701">
        <f t="shared" si="12"/>
        <v>100</v>
      </c>
      <c r="T34" s="700" t="s">
        <v>14</v>
      </c>
      <c r="U34" s="701">
        <f t="shared" si="13"/>
        <v>100</v>
      </c>
      <c r="V34" s="700" t="s">
        <v>14</v>
      </c>
      <c r="W34" s="701">
        <f t="shared" si="14"/>
        <v>100</v>
      </c>
      <c r="X34" s="702"/>
      <c r="Y34" s="3750"/>
      <c r="Z34" s="52" t="str">
        <f t="shared" si="15"/>
        <v>物业管理</v>
      </c>
      <c r="AA34" s="703">
        <f t="shared" si="3"/>
        <v>1</v>
      </c>
      <c r="AB34" s="703">
        <f t="shared" si="4"/>
        <v>1</v>
      </c>
      <c r="AC34" s="703">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2"/>
      <c r="M35" s="913"/>
      <c r="N35" s="913"/>
      <c r="O35" s="921"/>
      <c r="P35" s="3750" t="s">
        <v>1696</v>
      </c>
      <c r="Q35" s="1350" t="str">
        <f t="shared" si="11"/>
        <v>市政基础设施</v>
      </c>
      <c r="R35" s="704" t="s">
        <v>14</v>
      </c>
      <c r="S35" s="705">
        <f t="shared" si="12"/>
        <v>100</v>
      </c>
      <c r="T35" s="704" t="s">
        <v>14</v>
      </c>
      <c r="U35" s="705">
        <f t="shared" si="13"/>
        <v>100</v>
      </c>
      <c r="V35" s="704" t="s">
        <v>14</v>
      </c>
      <c r="W35" s="705">
        <f t="shared" si="14"/>
        <v>100</v>
      </c>
      <c r="X35" s="1353"/>
      <c r="Y35" s="3750" t="s">
        <v>1696</v>
      </c>
      <c r="Z35" s="1354" t="str">
        <f t="shared" si="15"/>
        <v>市政基础设施</v>
      </c>
      <c r="AA35" s="1351">
        <f t="shared" si="3"/>
        <v>1</v>
      </c>
      <c r="AB35" s="1351">
        <f t="shared" si="4"/>
        <v>1</v>
      </c>
      <c r="AC35" s="1351">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2"/>
      <c r="M36" s="913"/>
      <c r="N36" s="913"/>
      <c r="O36" s="921"/>
      <c r="P36" s="3750"/>
      <c r="Q36" s="1350" t="str">
        <f t="shared" si="11"/>
        <v>内部装修</v>
      </c>
      <c r="R36" s="704" t="s">
        <v>14</v>
      </c>
      <c r="S36" s="705">
        <f t="shared" si="12"/>
        <v>100</v>
      </c>
      <c r="T36" s="704" t="s">
        <v>14</v>
      </c>
      <c r="U36" s="705">
        <f t="shared" si="13"/>
        <v>100</v>
      </c>
      <c r="V36" s="704" t="s">
        <v>14</v>
      </c>
      <c r="W36" s="705">
        <f t="shared" si="14"/>
        <v>100</v>
      </c>
      <c r="X36" s="1353"/>
      <c r="Y36" s="3750"/>
      <c r="Z36" s="1354" t="str">
        <f t="shared" si="15"/>
        <v>内部装修</v>
      </c>
      <c r="AA36" s="1351">
        <f t="shared" si="3"/>
        <v>1</v>
      </c>
      <c r="AB36" s="1351">
        <f t="shared" si="4"/>
        <v>1</v>
      </c>
      <c r="AC36" s="1351">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2"/>
      <c r="M37" s="913"/>
      <c r="N37" s="913"/>
      <c r="O37" s="921"/>
      <c r="P37" s="3750"/>
      <c r="Q37" s="1350" t="str">
        <f t="shared" si="11"/>
        <v>内部装修状况</v>
      </c>
      <c r="R37" s="704" t="s">
        <v>14</v>
      </c>
      <c r="S37" s="705">
        <f t="shared" si="12"/>
        <v>100</v>
      </c>
      <c r="T37" s="704" t="s">
        <v>14</v>
      </c>
      <c r="U37" s="705">
        <f t="shared" si="13"/>
        <v>100</v>
      </c>
      <c r="V37" s="704" t="s">
        <v>14</v>
      </c>
      <c r="W37" s="705">
        <f t="shared" si="14"/>
        <v>100</v>
      </c>
      <c r="X37" s="1353"/>
      <c r="Y37" s="3750"/>
      <c r="Z37" s="1354" t="str">
        <f t="shared" si="15"/>
        <v>内部装修状况</v>
      </c>
      <c r="AA37" s="1351">
        <f t="shared" si="3"/>
        <v>1</v>
      </c>
      <c r="AB37" s="1351">
        <f t="shared" si="4"/>
        <v>1</v>
      </c>
      <c r="AC37" s="1351">
        <f t="shared" si="5"/>
        <v>1</v>
      </c>
    </row>
    <row r="38" spans="1:29" s="422" customFormat="1" ht="15">
      <c r="A38" s="419"/>
      <c r="B38" s="1132">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0"/>
      <c r="M38" s="923"/>
      <c r="N38" s="923"/>
      <c r="O38" s="924"/>
      <c r="P38" s="3750"/>
      <c r="Q38" s="706">
        <f t="shared" si="11"/>
        <v>111</v>
      </c>
      <c r="R38" s="707" t="s">
        <v>14</v>
      </c>
      <c r="S38" s="708">
        <f t="shared" si="12"/>
        <v>100</v>
      </c>
      <c r="T38" s="707" t="s">
        <v>14</v>
      </c>
      <c r="U38" s="708">
        <f t="shared" si="13"/>
        <v>100</v>
      </c>
      <c r="V38" s="707" t="s">
        <v>14</v>
      </c>
      <c r="W38" s="708">
        <f t="shared" si="14"/>
        <v>100</v>
      </c>
      <c r="X38" s="709"/>
      <c r="Y38" s="3750"/>
      <c r="Z38" s="710">
        <f t="shared" si="15"/>
        <v>111</v>
      </c>
      <c r="AA38" s="1351">
        <f t="shared" si="3"/>
        <v>1</v>
      </c>
      <c r="AB38" s="1351">
        <f t="shared" si="4"/>
        <v>1</v>
      </c>
      <c r="AC38" s="1351">
        <f t="shared" si="5"/>
        <v>1</v>
      </c>
    </row>
    <row r="39" spans="1:29" ht="15">
      <c r="A39" s="423"/>
      <c r="B39" s="1132">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2"/>
      <c r="M39" s="913"/>
      <c r="N39" s="913"/>
      <c r="O39" s="921"/>
      <c r="P39" s="3750"/>
      <c r="Q39" s="1350">
        <f t="shared" si="11"/>
        <v>111</v>
      </c>
      <c r="R39" s="704" t="s">
        <v>14</v>
      </c>
      <c r="S39" s="705">
        <f t="shared" si="12"/>
        <v>100</v>
      </c>
      <c r="T39" s="704" t="s">
        <v>14</v>
      </c>
      <c r="U39" s="705">
        <f t="shared" si="13"/>
        <v>100</v>
      </c>
      <c r="V39" s="704" t="s">
        <v>14</v>
      </c>
      <c r="W39" s="705">
        <f t="shared" si="14"/>
        <v>100</v>
      </c>
      <c r="X39" s="1353"/>
      <c r="Y39" s="3750"/>
      <c r="Z39" s="1354">
        <f t="shared" si="15"/>
        <v>111</v>
      </c>
      <c r="AA39" s="1351">
        <f t="shared" si="3"/>
        <v>1</v>
      </c>
      <c r="AB39" s="1351">
        <f t="shared" si="4"/>
        <v>1</v>
      </c>
      <c r="AC39" s="1351">
        <f t="shared" si="5"/>
        <v>1</v>
      </c>
    </row>
    <row r="40" spans="1:29" ht="15.75" thickBot="1">
      <c r="A40" s="429"/>
      <c r="B40" s="1893">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2"/>
      <c r="M40" s="913"/>
      <c r="N40" s="913"/>
      <c r="O40" s="921"/>
      <c r="P40" s="3751"/>
      <c r="Q40" s="1350">
        <f t="shared" si="11"/>
        <v>111</v>
      </c>
      <c r="R40" s="704" t="s">
        <v>14</v>
      </c>
      <c r="S40" s="705">
        <f t="shared" si="12"/>
        <v>100</v>
      </c>
      <c r="T40" s="704" t="s">
        <v>14</v>
      </c>
      <c r="U40" s="705">
        <f t="shared" si="13"/>
        <v>100</v>
      </c>
      <c r="V40" s="704" t="s">
        <v>14</v>
      </c>
      <c r="W40" s="705">
        <f t="shared" si="14"/>
        <v>100</v>
      </c>
      <c r="X40" s="1353"/>
      <c r="Y40" s="3751"/>
      <c r="Z40" s="1354">
        <f t="shared" si="15"/>
        <v>111</v>
      </c>
      <c r="AA40" s="1351">
        <f t="shared" si="3"/>
        <v>1</v>
      </c>
      <c r="AB40" s="1351">
        <f t="shared" si="4"/>
        <v>1</v>
      </c>
      <c r="AC40" s="1351">
        <f t="shared" si="5"/>
        <v>1</v>
      </c>
    </row>
    <row r="41" spans="1:29" ht="15">
      <c r="A41" s="430" t="s">
        <v>1708</v>
      </c>
      <c r="B41" s="431"/>
      <c r="C41" s="1153" t="s">
        <v>0</v>
      </c>
      <c r="D41" s="1154"/>
      <c r="E41" s="1155"/>
      <c r="F41" s="1156"/>
      <c r="G41" s="1157"/>
      <c r="H41" s="1158"/>
      <c r="I41" s="1155"/>
      <c r="J41" s="1158"/>
      <c r="K41" s="713"/>
      <c r="L41" s="925"/>
      <c r="M41" s="926"/>
      <c r="N41" s="913"/>
      <c r="O41" s="926"/>
      <c r="P41" s="3752" t="str">
        <f>A41</f>
        <v>成交单价（元/平方米）</v>
      </c>
      <c r="Q41" s="3752"/>
      <c r="R41" s="3753">
        <f>E41</f>
        <v>0</v>
      </c>
      <c r="S41" s="3753"/>
      <c r="T41" s="3753">
        <f>G41</f>
        <v>0</v>
      </c>
      <c r="U41" s="3753"/>
      <c r="V41" s="3753">
        <f>I41</f>
        <v>0</v>
      </c>
      <c r="W41" s="3753"/>
      <c r="X41" s="689"/>
      <c r="Y41" s="711"/>
      <c r="Z41" s="689"/>
      <c r="AA41" s="689"/>
      <c r="AB41" s="689"/>
      <c r="AC41" s="689"/>
    </row>
    <row r="42" spans="1:29" ht="15.75" thickBot="1">
      <c r="A42" s="437" t="s">
        <v>1793</v>
      </c>
      <c r="B42" s="438"/>
      <c r="C42" s="1159" t="e">
        <f>R43</f>
        <v>#DIV/0!</v>
      </c>
      <c r="D42" s="2314" t="s">
        <v>2136</v>
      </c>
      <c r="E42" s="1160" t="e">
        <f>R42</f>
        <v>#DIV/0!</v>
      </c>
      <c r="F42" s="2315"/>
      <c r="G42" s="1159" t="e">
        <f>T42</f>
        <v>#DIV/0!</v>
      </c>
      <c r="H42" s="2315"/>
      <c r="I42" s="1160" t="e">
        <f>V42</f>
        <v>#DIV/0!</v>
      </c>
      <c r="J42" s="2315"/>
      <c r="K42" s="2317">
        <f>F42+H42+J42</f>
        <v>0</v>
      </c>
      <c r="L42" s="925"/>
      <c r="M42" s="926"/>
      <c r="N42" s="913"/>
      <c r="O42" s="926"/>
      <c r="P42" s="3752" t="str">
        <f>A42</f>
        <v>比较价值（元/平方米）</v>
      </c>
      <c r="Q42" s="3752"/>
      <c r="R42" s="3753" t="e">
        <f>IF(F1="售价",ROUND(PRODUCT(R41,AA7:AA40),0),ROUND(PRODUCT(R41,AA7:AA40),1))</f>
        <v>#DIV/0!</v>
      </c>
      <c r="S42" s="3753"/>
      <c r="T42" s="3753" t="e">
        <f>IF(F1="售价",ROUND(PRODUCT(T41,AB7:AB40),0),ROUND(PRODUCT(T41,AB7:AB40),1))</f>
        <v>#DIV/0!</v>
      </c>
      <c r="U42" s="3753"/>
      <c r="V42" s="3753" t="e">
        <f>IF(F1="售价",ROUND(PRODUCT(V41,AC7:AC40),0),ROUND(PRODUCT(V41,AC7:AC40),1))</f>
        <v>#DIV/0!</v>
      </c>
      <c r="W42" s="3753"/>
      <c r="X42" s="689"/>
      <c r="Y42" s="689"/>
      <c r="Z42" s="689"/>
      <c r="AA42" s="689"/>
      <c r="AB42" s="689"/>
      <c r="AC42" s="689"/>
    </row>
    <row r="43" spans="1:29" ht="15.75" thickBot="1">
      <c r="A43" s="441" t="s">
        <v>1794</v>
      </c>
      <c r="B43" s="442"/>
      <c r="C43" s="1162" t="e">
        <f>R43</f>
        <v>#DIV/0!</v>
      </c>
      <c r="D43" s="1162"/>
      <c r="E43" s="1162"/>
      <c r="F43" s="1162"/>
      <c r="G43" s="1162"/>
      <c r="H43" s="1162"/>
      <c r="I43" s="1162"/>
      <c r="J43" s="1162"/>
      <c r="K43" s="714"/>
      <c r="L43" s="925"/>
      <c r="M43" s="926"/>
      <c r="N43" s="926"/>
      <c r="O43" s="926"/>
      <c r="P43" s="3754" t="str">
        <f>A43</f>
        <v>估价对象XX用房的比较价值（楼面单价，元/平方米）</v>
      </c>
      <c r="Q43" s="3755"/>
      <c r="R43" s="3756" t="e">
        <f>IF(F1="售价",ROUND(IF(D42="简单平均",AVERAGE(R42:V42),R42*F42+T42*H42+V42*J42),0),ROUND(IF(D42="简单平均",AVERAGE(R42:V42),R42*F42+T42*H42+V42*J42),1))</f>
        <v>#DIV/0!</v>
      </c>
      <c r="S43" s="3756"/>
      <c r="T43" s="3756"/>
      <c r="U43" s="3756"/>
      <c r="V43" s="3756"/>
      <c r="W43" s="3756"/>
      <c r="X43" s="689"/>
      <c r="Y43" s="689"/>
      <c r="Z43" s="689"/>
      <c r="AA43" s="689"/>
      <c r="AB43" s="689"/>
      <c r="AC43" s="689"/>
    </row>
    <row r="44" spans="1:29">
      <c r="A44" s="2722"/>
      <c r="B44" s="2722"/>
      <c r="C44" s="2722"/>
      <c r="D44" s="2722"/>
      <c r="E44" s="2722"/>
      <c r="F44" s="2722"/>
      <c r="G44" s="2726"/>
      <c r="H44" s="2722"/>
      <c r="I44" s="2722"/>
      <c r="J44" s="2722"/>
      <c r="K44" s="2727"/>
      <c r="L44" s="888"/>
      <c r="M44" s="926"/>
      <c r="N44" s="926"/>
      <c r="O44" s="926"/>
    </row>
    <row r="45" spans="1:29">
      <c r="A45" s="2722"/>
      <c r="B45" s="2722"/>
      <c r="C45" s="2722"/>
      <c r="D45" s="2722"/>
      <c r="E45" s="2722"/>
      <c r="F45" s="2722"/>
      <c r="G45" s="2722"/>
      <c r="H45" s="2722"/>
      <c r="I45" s="2722"/>
      <c r="J45" s="2722"/>
      <c r="K45" s="2727"/>
      <c r="L45" s="888"/>
      <c r="M45" s="926"/>
      <c r="N45" s="926"/>
      <c r="O45" s="926"/>
    </row>
    <row r="46" spans="1:29" ht="13.5" customHeight="1">
      <c r="A46" s="2722"/>
      <c r="B46" s="2722"/>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7"/>
      <c r="L46" s="888"/>
      <c r="M46" s="926"/>
      <c r="N46" s="926"/>
      <c r="O46" s="926"/>
    </row>
    <row r="47" spans="1:29" ht="13.5" customHeight="1">
      <c r="A47" s="2722"/>
      <c r="B47" s="2722"/>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7"/>
      <c r="L47" s="888"/>
      <c r="M47" s="926"/>
      <c r="N47" s="926"/>
      <c r="O47" s="926"/>
    </row>
    <row r="48" spans="1:29" s="451" customFormat="1" ht="13.5" customHeight="1">
      <c r="A48" s="2725"/>
      <c r="B48" s="2725"/>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0"/>
      <c r="L48" s="929"/>
      <c r="M48" s="927"/>
      <c r="N48" s="927"/>
      <c r="O48" s="927"/>
    </row>
    <row r="49" spans="1:17" s="451" customFormat="1">
      <c r="A49" s="2725"/>
      <c r="B49" s="2728"/>
      <c r="C49" s="2729"/>
      <c r="D49" s="2725"/>
      <c r="E49" s="2725"/>
      <c r="F49" s="2725"/>
      <c r="G49" s="2725"/>
      <c r="H49" s="2725"/>
      <c r="I49" s="2725"/>
      <c r="J49" s="2725"/>
      <c r="K49" s="2730"/>
      <c r="L49" s="929"/>
      <c r="M49" s="927"/>
      <c r="N49" s="927"/>
      <c r="O49" s="927"/>
    </row>
    <row r="50" spans="1:17">
      <c r="A50" s="2722"/>
      <c r="B50" s="2728"/>
      <c r="C50" s="2729"/>
      <c r="D50" s="2722"/>
      <c r="E50" s="2722"/>
      <c r="F50" s="2722"/>
      <c r="G50" s="2722"/>
      <c r="H50" s="2722"/>
      <c r="I50" s="2722"/>
      <c r="J50" s="2722"/>
      <c r="K50" s="2727"/>
      <c r="L50" s="888"/>
      <c r="M50" s="926"/>
      <c r="N50" s="926"/>
      <c r="O50" s="926"/>
    </row>
    <row r="51" spans="1:17" ht="21.75" thickBot="1">
      <c r="A51" s="693" t="s">
        <v>1798</v>
      </c>
      <c r="B51" s="689"/>
      <c r="C51" s="694"/>
      <c r="D51" s="694"/>
      <c r="E51" s="694"/>
      <c r="F51" s="695"/>
      <c r="G51" s="695"/>
      <c r="H51" s="694"/>
      <c r="I51" s="694"/>
      <c r="J51" s="694"/>
      <c r="K51" s="940"/>
      <c r="L51" s="941"/>
      <c r="M51" s="939"/>
      <c r="N51" s="939"/>
      <c r="O51" s="939"/>
      <c r="P51" s="452"/>
      <c r="Q51" s="453"/>
    </row>
    <row r="52" spans="1:17" s="457" customFormat="1" ht="15">
      <c r="A52" s="454" t="s">
        <v>1679</v>
      </c>
      <c r="B52" s="455"/>
      <c r="C52" s="1182" t="str">
        <f>YEAR(C7)&amp;"-"&amp;MONTH(C7)</f>
        <v>2023-5</v>
      </c>
      <c r="D52" s="1183">
        <f>EDATE(C52,-1)</f>
        <v>45017</v>
      </c>
      <c r="E52" s="1183">
        <f t="shared" ref="E52:O52" si="16">EDATE(D52,-1)</f>
        <v>44986</v>
      </c>
      <c r="F52" s="1183">
        <f t="shared" si="16"/>
        <v>44958</v>
      </c>
      <c r="G52" s="1183">
        <f t="shared" si="16"/>
        <v>44927</v>
      </c>
      <c r="H52" s="1183">
        <f t="shared" si="16"/>
        <v>44896</v>
      </c>
      <c r="I52" s="1183">
        <f t="shared" si="16"/>
        <v>44866</v>
      </c>
      <c r="J52" s="1183">
        <f t="shared" si="16"/>
        <v>44835</v>
      </c>
      <c r="K52" s="1183">
        <f t="shared" si="16"/>
        <v>44805</v>
      </c>
      <c r="L52" s="1183">
        <f t="shared" si="16"/>
        <v>44774</v>
      </c>
      <c r="M52" s="1183">
        <f t="shared" si="16"/>
        <v>44743</v>
      </c>
      <c r="N52" s="1183">
        <f t="shared" si="16"/>
        <v>44713</v>
      </c>
      <c r="O52" s="1183">
        <f t="shared" si="16"/>
        <v>44682</v>
      </c>
      <c r="P52" s="456"/>
    </row>
    <row r="53" spans="1:17" s="108" customFormat="1" ht="15">
      <c r="A53" s="458"/>
      <c r="B53" s="459"/>
      <c r="C53" s="1181">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6"/>
      <c r="O54" s="2767"/>
      <c r="P54" s="453"/>
      <c r="Q54" s="453"/>
    </row>
    <row r="55" spans="1:17" s="108" customFormat="1" ht="15">
      <c r="A55" s="470" t="s">
        <v>1681</v>
      </c>
      <c r="B55" s="459"/>
      <c r="C55" s="471" t="s">
        <v>1776</v>
      </c>
      <c r="D55" s="472"/>
      <c r="E55" s="472"/>
      <c r="F55" s="472"/>
      <c r="G55" s="472"/>
      <c r="H55" s="472"/>
      <c r="I55" s="472"/>
      <c r="J55" s="472"/>
      <c r="K55" s="472"/>
      <c r="L55" s="473"/>
      <c r="M55" s="474"/>
      <c r="N55" s="931"/>
      <c r="O55" s="931"/>
      <c r="P55" s="475"/>
      <c r="Q55" s="453"/>
    </row>
    <row r="56" spans="1:17" s="108" customFormat="1" ht="15.75" thickBot="1">
      <c r="A56" s="470"/>
      <c r="B56" s="459"/>
      <c r="C56" s="587">
        <v>100</v>
      </c>
      <c r="D56" s="461"/>
      <c r="E56" s="461"/>
      <c r="F56" s="461"/>
      <c r="G56" s="461"/>
      <c r="H56" s="461"/>
      <c r="I56" s="461"/>
      <c r="J56" s="461"/>
      <c r="K56" s="461"/>
      <c r="L56" s="461"/>
      <c r="M56" s="463"/>
      <c r="N56" s="931"/>
      <c r="O56" s="931"/>
      <c r="P56" s="453"/>
      <c r="Q56" s="453"/>
    </row>
    <row r="57" spans="1:17">
      <c r="A57" s="476" t="s">
        <v>1719</v>
      </c>
      <c r="B57" s="477" t="s">
        <v>1685</v>
      </c>
      <c r="C57" s="478">
        <f>C9</f>
        <v>0</v>
      </c>
      <c r="D57" s="479"/>
      <c r="E57" s="479"/>
      <c r="F57" s="479"/>
      <c r="G57" s="479"/>
      <c r="H57" s="479"/>
      <c r="I57" s="479"/>
      <c r="J57" s="479"/>
      <c r="K57" s="480"/>
      <c r="L57" s="481"/>
      <c r="M57" s="482"/>
      <c r="N57" s="932"/>
      <c r="O57" s="932"/>
      <c r="P57" s="42"/>
      <c r="Q57" s="453"/>
    </row>
    <row r="58" spans="1:17" ht="15.75" thickBot="1">
      <c r="A58" s="483"/>
      <c r="B58" s="484"/>
      <c r="C58" s="485">
        <v>100</v>
      </c>
      <c r="D58" s="485"/>
      <c r="E58" s="485"/>
      <c r="F58" s="485"/>
      <c r="G58" s="485"/>
      <c r="H58" s="485"/>
      <c r="I58" s="485"/>
      <c r="J58" s="485"/>
      <c r="K58" s="485"/>
      <c r="L58" s="485"/>
      <c r="M58" s="486"/>
      <c r="N58" s="933"/>
      <c r="O58" s="933"/>
      <c r="P58" s="42"/>
      <c r="Q58" s="453"/>
    </row>
    <row r="59" spans="1:17" ht="27.75" thickTop="1">
      <c r="A59" s="483"/>
      <c r="B59" s="487" t="s">
        <v>1688</v>
      </c>
      <c r="C59" s="532"/>
      <c r="D59" s="532"/>
      <c r="E59" s="532"/>
      <c r="F59" s="532"/>
      <c r="G59" s="532"/>
      <c r="H59" s="532"/>
      <c r="I59" s="532"/>
      <c r="J59" s="532"/>
      <c r="K59" s="533"/>
      <c r="L59" s="534"/>
      <c r="M59" s="535"/>
      <c r="N59" s="932"/>
      <c r="O59" s="932"/>
      <c r="P59" s="42"/>
      <c r="Q59" s="453"/>
    </row>
    <row r="60" spans="1:17" ht="15.75" thickBot="1">
      <c r="A60" s="483"/>
      <c r="B60" s="492"/>
      <c r="C60" s="485"/>
      <c r="D60" s="485"/>
      <c r="E60" s="485"/>
      <c r="F60" s="485"/>
      <c r="G60" s="485"/>
      <c r="H60" s="485"/>
      <c r="I60" s="485"/>
      <c r="J60" s="485"/>
      <c r="K60" s="485"/>
      <c r="L60" s="485"/>
      <c r="M60" s="486"/>
      <c r="N60" s="933"/>
      <c r="O60" s="933"/>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3"/>
      <c r="O61" s="933"/>
      <c r="P61" s="42"/>
      <c r="Q61" s="453"/>
    </row>
    <row r="62" spans="1:17" ht="15">
      <c r="A62" s="483"/>
      <c r="B62" s="497"/>
      <c r="C62" s="498">
        <v>0</v>
      </c>
      <c r="D62" s="498">
        <v>2</v>
      </c>
      <c r="E62" s="498"/>
      <c r="F62" s="498"/>
      <c r="G62" s="498"/>
      <c r="H62" s="498"/>
      <c r="I62" s="498"/>
      <c r="J62" s="498"/>
      <c r="K62" s="499"/>
      <c r="L62" s="500"/>
      <c r="M62" s="501"/>
      <c r="N62" s="932"/>
      <c r="O62" s="932"/>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3"/>
      <c r="O63" s="933"/>
      <c r="P63" s="42"/>
      <c r="Q63" s="453"/>
    </row>
    <row r="64" spans="1:17" s="422" customFormat="1" ht="15.75" thickTop="1">
      <c r="A64" s="502"/>
      <c r="B64" s="487">
        <f>B12</f>
        <v>111</v>
      </c>
      <c r="C64" s="503"/>
      <c r="D64" s="503"/>
      <c r="E64" s="503"/>
      <c r="F64" s="503"/>
      <c r="G64" s="503"/>
      <c r="H64" s="504"/>
      <c r="I64" s="504"/>
      <c r="J64" s="504"/>
      <c r="K64" s="504"/>
      <c r="L64" s="505"/>
      <c r="M64" s="506"/>
      <c r="N64" s="934"/>
      <c r="O64" s="934"/>
      <c r="P64" s="507"/>
      <c r="Q64" s="508"/>
    </row>
    <row r="65" spans="1:17" s="422" customFormat="1" ht="15.75" thickBot="1">
      <c r="A65" s="502"/>
      <c r="B65" s="492"/>
      <c r="C65" s="509"/>
      <c r="D65" s="485"/>
      <c r="E65" s="485"/>
      <c r="F65" s="485"/>
      <c r="G65" s="485"/>
      <c r="H65" s="485"/>
      <c r="I65" s="485"/>
      <c r="J65" s="485"/>
      <c r="K65" s="485"/>
      <c r="L65" s="485"/>
      <c r="M65" s="486"/>
      <c r="N65" s="933"/>
      <c r="O65" s="933"/>
      <c r="P65" s="507"/>
      <c r="Q65" s="508"/>
    </row>
    <row r="66" spans="1:17" s="422" customFormat="1" ht="15.75" thickTop="1">
      <c r="A66" s="502"/>
      <c r="B66" s="487">
        <f>B13</f>
        <v>111</v>
      </c>
      <c r="C66" s="503"/>
      <c r="D66" s="503"/>
      <c r="E66" s="503"/>
      <c r="F66" s="503"/>
      <c r="G66" s="503"/>
      <c r="H66" s="504"/>
      <c r="I66" s="504"/>
      <c r="J66" s="504"/>
      <c r="K66" s="504"/>
      <c r="L66" s="505"/>
      <c r="M66" s="506"/>
      <c r="N66" s="934"/>
      <c r="O66" s="934"/>
      <c r="P66" s="421"/>
      <c r="Q66" s="510"/>
    </row>
    <row r="67" spans="1:17" s="422" customFormat="1" ht="15.75" thickBot="1">
      <c r="A67" s="502"/>
      <c r="B67" s="492"/>
      <c r="C67" s="509"/>
      <c r="D67" s="485"/>
      <c r="E67" s="485"/>
      <c r="F67" s="485"/>
      <c r="G67" s="509"/>
      <c r="H67" s="511"/>
      <c r="I67" s="511"/>
      <c r="J67" s="511"/>
      <c r="K67" s="511"/>
      <c r="L67" s="511"/>
      <c r="M67" s="512"/>
      <c r="N67" s="934"/>
      <c r="O67" s="934"/>
      <c r="P67" s="507"/>
      <c r="Q67" s="508"/>
    </row>
    <row r="68" spans="1:17" s="422" customFormat="1" ht="15.75" thickTop="1">
      <c r="A68" s="502"/>
      <c r="B68" s="495">
        <f>B14</f>
        <v>111</v>
      </c>
      <c r="C68" s="472"/>
      <c r="D68" s="472"/>
      <c r="E68" s="472"/>
      <c r="F68" s="472"/>
      <c r="G68" s="472"/>
      <c r="H68" s="513"/>
      <c r="I68" s="513"/>
      <c r="J68" s="513"/>
      <c r="K68" s="513"/>
      <c r="L68" s="514"/>
      <c r="M68" s="515"/>
      <c r="N68" s="934"/>
      <c r="O68" s="934"/>
      <c r="P68" s="516"/>
      <c r="Q68" s="508"/>
    </row>
    <row r="69" spans="1:17" s="422" customFormat="1" ht="15.75" thickBot="1">
      <c r="A69" s="517"/>
      <c r="B69" s="518"/>
      <c r="C69" s="519"/>
      <c r="D69" s="519"/>
      <c r="E69" s="519"/>
      <c r="F69" s="519"/>
      <c r="G69" s="519"/>
      <c r="H69" s="520"/>
      <c r="I69" s="520"/>
      <c r="J69" s="520"/>
      <c r="K69" s="520"/>
      <c r="L69" s="520"/>
      <c r="M69" s="521"/>
      <c r="N69" s="934"/>
      <c r="O69" s="934"/>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2"/>
      <c r="O70" s="932"/>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3"/>
      <c r="O71" s="933"/>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2"/>
      <c r="O72" s="932"/>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3"/>
      <c r="O73" s="933"/>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2"/>
      <c r="O74" s="932"/>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3"/>
      <c r="O75" s="933"/>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8"/>
      <c r="N76" s="933"/>
      <c r="O76" s="933"/>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3"/>
      <c r="O77" s="933"/>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2"/>
      <c r="O78" s="932"/>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3"/>
      <c r="O79" s="933"/>
      <c r="P79" s="42"/>
      <c r="Q79" s="453"/>
    </row>
    <row r="80" spans="1:17" s="108" customFormat="1" ht="15.75" thickTop="1">
      <c r="A80" s="528"/>
      <c r="B80" s="487">
        <f>B25</f>
        <v>111</v>
      </c>
      <c r="C80" s="503"/>
      <c r="D80" s="503"/>
      <c r="E80" s="503"/>
      <c r="F80" s="503"/>
      <c r="G80" s="503"/>
      <c r="H80" s="503"/>
      <c r="I80" s="503"/>
      <c r="J80" s="503"/>
      <c r="K80" s="503"/>
      <c r="L80" s="529"/>
      <c r="M80" s="530"/>
      <c r="N80" s="931"/>
      <c r="O80" s="931"/>
      <c r="P80" s="42"/>
      <c r="Q80" s="453"/>
    </row>
    <row r="81" spans="1:17" s="108" customFormat="1" ht="15.75" thickBot="1">
      <c r="A81" s="528"/>
      <c r="B81" s="492"/>
      <c r="C81" s="509"/>
      <c r="D81" s="485"/>
      <c r="E81" s="485"/>
      <c r="F81" s="485"/>
      <c r="G81" s="485"/>
      <c r="H81" s="485"/>
      <c r="I81" s="485"/>
      <c r="J81" s="485"/>
      <c r="K81" s="485"/>
      <c r="L81" s="485"/>
      <c r="M81" s="486"/>
      <c r="N81" s="933"/>
      <c r="O81" s="933"/>
      <c r="P81" s="42"/>
      <c r="Q81" s="453"/>
    </row>
    <row r="82" spans="1:17" s="108" customFormat="1" ht="15.75" thickTop="1">
      <c r="A82" s="528"/>
      <c r="B82" s="487">
        <f>B26</f>
        <v>111</v>
      </c>
      <c r="C82" s="503"/>
      <c r="D82" s="503"/>
      <c r="E82" s="503"/>
      <c r="F82" s="503"/>
      <c r="G82" s="503"/>
      <c r="H82" s="503"/>
      <c r="I82" s="503"/>
      <c r="J82" s="503"/>
      <c r="K82" s="503"/>
      <c r="L82" s="529"/>
      <c r="M82" s="530"/>
      <c r="N82" s="931"/>
      <c r="O82" s="931"/>
      <c r="P82" s="42"/>
      <c r="Q82" s="453"/>
    </row>
    <row r="83" spans="1:17" s="108" customFormat="1" ht="15.75" thickBot="1">
      <c r="A83" s="528"/>
      <c r="B83" s="492"/>
      <c r="C83" s="509"/>
      <c r="D83" s="485"/>
      <c r="E83" s="485"/>
      <c r="F83" s="485"/>
      <c r="G83" s="485"/>
      <c r="H83" s="485"/>
      <c r="I83" s="485"/>
      <c r="J83" s="485"/>
      <c r="K83" s="485"/>
      <c r="L83" s="485"/>
      <c r="M83" s="486"/>
      <c r="N83" s="933"/>
      <c r="O83" s="933"/>
      <c r="P83" s="42"/>
      <c r="Q83" s="453"/>
    </row>
    <row r="84" spans="1:17" s="422" customFormat="1" ht="15.75" thickTop="1">
      <c r="A84" s="502"/>
      <c r="B84" s="487">
        <f>B27</f>
        <v>111</v>
      </c>
      <c r="C84" s="503"/>
      <c r="D84" s="503"/>
      <c r="E84" s="503"/>
      <c r="F84" s="503"/>
      <c r="G84" s="503"/>
      <c r="H84" s="503"/>
      <c r="I84" s="503"/>
      <c r="J84" s="503"/>
      <c r="K84" s="503"/>
      <c r="L84" s="529"/>
      <c r="M84" s="530"/>
      <c r="N84" s="934"/>
      <c r="O84" s="934"/>
      <c r="P84" s="507"/>
      <c r="Q84" s="508"/>
    </row>
    <row r="85" spans="1:17" s="422" customFormat="1" ht="15.75" thickBot="1">
      <c r="A85" s="502"/>
      <c r="B85" s="492"/>
      <c r="C85" s="509"/>
      <c r="D85" s="485"/>
      <c r="E85" s="485"/>
      <c r="F85" s="485"/>
      <c r="G85" s="485"/>
      <c r="H85" s="485"/>
      <c r="I85" s="485"/>
      <c r="J85" s="485"/>
      <c r="K85" s="485"/>
      <c r="L85" s="485"/>
      <c r="M85" s="486"/>
      <c r="N85" s="934"/>
      <c r="O85" s="934"/>
      <c r="P85" s="507"/>
      <c r="Q85" s="508"/>
    </row>
    <row r="86" spans="1:17" ht="15.75" thickTop="1">
      <c r="A86" s="483"/>
      <c r="B86" s="495">
        <f>B28</f>
        <v>111</v>
      </c>
      <c r="C86" s="472"/>
      <c r="D86" s="472"/>
      <c r="E86" s="472"/>
      <c r="F86" s="472"/>
      <c r="G86" s="536"/>
      <c r="H86" s="536"/>
      <c r="I86" s="536"/>
      <c r="J86" s="536"/>
      <c r="K86" s="537"/>
      <c r="L86" s="538"/>
      <c r="M86" s="539"/>
      <c r="N86" s="932"/>
      <c r="O86" s="932"/>
      <c r="P86" s="42"/>
      <c r="Q86" s="453"/>
    </row>
    <row r="87" spans="1:17" ht="15.75" thickBot="1">
      <c r="A87" s="1926"/>
      <c r="B87" s="518"/>
      <c r="C87" s="519"/>
      <c r="D87" s="519"/>
      <c r="E87" s="519"/>
      <c r="F87" s="519"/>
      <c r="G87" s="540"/>
      <c r="H87" s="540"/>
      <c r="I87" s="540"/>
      <c r="J87" s="540"/>
      <c r="K87" s="540"/>
      <c r="L87" s="540"/>
      <c r="M87" s="541"/>
      <c r="N87" s="933"/>
      <c r="O87" s="933"/>
      <c r="P87" s="42"/>
      <c r="Q87" s="453"/>
    </row>
    <row r="88" spans="1:17">
      <c r="A88" s="476" t="s">
        <v>1694</v>
      </c>
      <c r="B88" s="477" t="s">
        <v>1736</v>
      </c>
      <c r="C88" s="479"/>
      <c r="D88" s="479"/>
      <c r="E88" s="479"/>
      <c r="F88" s="479"/>
      <c r="G88" s="479"/>
      <c r="H88" s="479"/>
      <c r="I88" s="479"/>
      <c r="J88" s="479"/>
      <c r="K88" s="480"/>
      <c r="L88" s="481"/>
      <c r="M88" s="482"/>
      <c r="N88" s="932"/>
      <c r="O88" s="932"/>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3"/>
      <c r="O89" s="933"/>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1"/>
      <c r="O90" s="931"/>
      <c r="P90" s="42"/>
      <c r="Q90" s="453"/>
    </row>
    <row r="91" spans="1:17" s="422" customFormat="1">
      <c r="A91" s="542"/>
      <c r="B91" s="543"/>
      <c r="C91" s="544"/>
      <c r="D91" s="544"/>
      <c r="E91" s="544"/>
      <c r="F91" s="544"/>
      <c r="G91" s="544"/>
      <c r="H91" s="544"/>
      <c r="I91" s="544"/>
      <c r="J91" s="545"/>
      <c r="K91" s="545"/>
      <c r="L91" s="546"/>
      <c r="M91" s="547"/>
      <c r="N91" s="934"/>
      <c r="O91" s="934"/>
      <c r="P91" s="507"/>
      <c r="Q91" s="508"/>
    </row>
    <row r="92" spans="1:17" s="422" customFormat="1" ht="15.75" thickBot="1">
      <c r="A92" s="502"/>
      <c r="B92" s="492"/>
      <c r="C92" s="509"/>
      <c r="D92" s="485"/>
      <c r="E92" s="485"/>
      <c r="F92" s="485"/>
      <c r="G92" s="485"/>
      <c r="H92" s="485"/>
      <c r="I92" s="485"/>
      <c r="J92" s="485"/>
      <c r="K92" s="485"/>
      <c r="L92" s="485"/>
      <c r="M92" s="486"/>
      <c r="N92" s="933"/>
      <c r="O92" s="933"/>
      <c r="P92" s="507"/>
      <c r="Q92" s="508"/>
    </row>
    <row r="93" spans="1:17" ht="15" thickTop="1">
      <c r="A93" s="548"/>
      <c r="B93" s="487" t="s">
        <v>1738</v>
      </c>
      <c r="C93" s="503"/>
      <c r="D93" s="503"/>
      <c r="E93" s="532"/>
      <c r="F93" s="532"/>
      <c r="G93" s="532"/>
      <c r="H93" s="532"/>
      <c r="I93" s="532"/>
      <c r="J93" s="532"/>
      <c r="K93" s="533"/>
      <c r="L93" s="534"/>
      <c r="M93" s="535"/>
      <c r="N93" s="932"/>
      <c r="O93" s="932"/>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3"/>
      <c r="O94" s="933"/>
      <c r="P94" s="42"/>
      <c r="Q94" s="453"/>
    </row>
    <row r="95" spans="1:17" ht="15" thickTop="1">
      <c r="A95" s="548"/>
      <c r="B95" s="487" t="s">
        <v>1740</v>
      </c>
      <c r="C95" s="503"/>
      <c r="D95" s="503"/>
      <c r="E95" s="503"/>
      <c r="F95" s="532"/>
      <c r="G95" s="532"/>
      <c r="H95" s="532"/>
      <c r="I95" s="532"/>
      <c r="J95" s="532"/>
      <c r="K95" s="533"/>
      <c r="L95" s="534"/>
      <c r="M95" s="535"/>
      <c r="N95" s="932"/>
      <c r="O95" s="932"/>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3"/>
      <c r="O96" s="933"/>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2"/>
      <c r="O97" s="932"/>
      <c r="P97" s="42"/>
      <c r="Q97" s="453"/>
    </row>
    <row r="98" spans="1:17">
      <c r="A98" s="548"/>
      <c r="B98" s="495"/>
      <c r="C98" s="552">
        <v>0.5</v>
      </c>
      <c r="D98" s="552">
        <v>0.6</v>
      </c>
      <c r="E98" s="552">
        <v>0.7</v>
      </c>
      <c r="F98" s="552">
        <v>0.8</v>
      </c>
      <c r="G98" s="552">
        <v>0.9</v>
      </c>
      <c r="H98" s="552">
        <v>1.0001</v>
      </c>
      <c r="I98" s="571"/>
      <c r="J98" s="571"/>
      <c r="K98" s="572"/>
      <c r="L98" s="573"/>
      <c r="M98" s="574"/>
      <c r="N98" s="932"/>
      <c r="O98" s="932"/>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3"/>
      <c r="O99" s="933"/>
      <c r="P99" s="42"/>
      <c r="Q99" s="453"/>
    </row>
    <row r="100" spans="1:17" s="422" customFormat="1" ht="15" thickTop="1">
      <c r="A100" s="542"/>
      <c r="B100" s="487" t="s">
        <v>1741</v>
      </c>
      <c r="C100" s="503"/>
      <c r="D100" s="503"/>
      <c r="E100" s="503"/>
      <c r="F100" s="503"/>
      <c r="G100" s="503"/>
      <c r="H100" s="532"/>
      <c r="I100" s="532"/>
      <c r="J100" s="532"/>
      <c r="K100" s="533"/>
      <c r="L100" s="534"/>
      <c r="M100" s="535"/>
      <c r="N100" s="934"/>
      <c r="O100" s="934"/>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4"/>
      <c r="O101" s="934"/>
      <c r="P101" s="507"/>
      <c r="Q101" s="508"/>
    </row>
    <row r="102" spans="1:17" ht="15" thickTop="1">
      <c r="A102" s="548"/>
      <c r="B102" s="487" t="s">
        <v>1742</v>
      </c>
      <c r="C102" s="503"/>
      <c r="D102" s="503"/>
      <c r="E102" s="503"/>
      <c r="F102" s="503"/>
      <c r="G102" s="503"/>
      <c r="H102" s="532"/>
      <c r="I102" s="532"/>
      <c r="J102" s="532"/>
      <c r="K102" s="533"/>
      <c r="L102" s="534"/>
      <c r="M102" s="535"/>
      <c r="N102" s="932"/>
      <c r="O102" s="932"/>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3"/>
      <c r="O103" s="933"/>
      <c r="P103" s="42"/>
      <c r="Q103" s="453"/>
    </row>
    <row r="104" spans="1:17" ht="15" thickTop="1">
      <c r="A104" s="548"/>
      <c r="B104" s="487" t="s">
        <v>1744</v>
      </c>
      <c r="C104" s="503"/>
      <c r="D104" s="503"/>
      <c r="E104" s="503"/>
      <c r="F104" s="503"/>
      <c r="G104" s="503"/>
      <c r="H104" s="532"/>
      <c r="I104" s="532"/>
      <c r="J104" s="532"/>
      <c r="K104" s="533"/>
      <c r="L104" s="534"/>
      <c r="M104" s="535"/>
      <c r="N104" s="932"/>
      <c r="O104" s="932"/>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3"/>
      <c r="O105" s="933"/>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3"/>
      <c r="O106" s="933"/>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3"/>
      <c r="O107" s="933"/>
      <c r="P107" s="42"/>
      <c r="Q107" s="453"/>
    </row>
    <row r="108" spans="1:17" s="422" customFormat="1" ht="15" thickTop="1">
      <c r="A108" s="542"/>
      <c r="B108" s="487">
        <f>B38</f>
        <v>111</v>
      </c>
      <c r="C108" s="503"/>
      <c r="D108" s="503"/>
      <c r="E108" s="503"/>
      <c r="F108" s="503"/>
      <c r="G108" s="503"/>
      <c r="H108" s="504"/>
      <c r="I108" s="504"/>
      <c r="J108" s="504"/>
      <c r="K108" s="504"/>
      <c r="L108" s="505"/>
      <c r="M108" s="506"/>
      <c r="N108" s="934"/>
      <c r="O108" s="934"/>
      <c r="P108" s="507"/>
      <c r="Q108" s="508"/>
    </row>
    <row r="109" spans="1:17" s="422" customFormat="1" ht="15.75" thickBot="1">
      <c r="A109" s="502"/>
      <c r="B109" s="484"/>
      <c r="C109" s="509"/>
      <c r="D109" s="485"/>
      <c r="E109" s="485"/>
      <c r="F109" s="485"/>
      <c r="G109" s="509"/>
      <c r="H109" s="511"/>
      <c r="I109" s="511"/>
      <c r="J109" s="511"/>
      <c r="K109" s="511"/>
      <c r="L109" s="511"/>
      <c r="M109" s="512"/>
      <c r="N109" s="934"/>
      <c r="O109" s="934"/>
      <c r="P109" s="507"/>
      <c r="Q109" s="508"/>
    </row>
    <row r="110" spans="1:17" ht="15" thickTop="1">
      <c r="A110" s="548"/>
      <c r="B110" s="487">
        <f>B39</f>
        <v>111</v>
      </c>
      <c r="C110" s="503"/>
      <c r="D110" s="503"/>
      <c r="E110" s="503"/>
      <c r="F110" s="503"/>
      <c r="G110" s="503"/>
      <c r="H110" s="504"/>
      <c r="I110" s="504"/>
      <c r="J110" s="504"/>
      <c r="K110" s="504"/>
      <c r="L110" s="505"/>
      <c r="M110" s="506"/>
      <c r="N110" s="932"/>
      <c r="O110" s="932"/>
      <c r="P110" s="42"/>
      <c r="Q110" s="453"/>
    </row>
    <row r="111" spans="1:17" ht="15.75" thickBot="1">
      <c r="A111" s="483"/>
      <c r="B111" s="492"/>
      <c r="C111" s="509"/>
      <c r="D111" s="485"/>
      <c r="E111" s="485"/>
      <c r="F111" s="485"/>
      <c r="G111" s="509"/>
      <c r="H111" s="511"/>
      <c r="I111" s="511"/>
      <c r="J111" s="511"/>
      <c r="K111" s="511"/>
      <c r="L111" s="511"/>
      <c r="M111" s="512"/>
      <c r="N111" s="933"/>
      <c r="O111" s="933"/>
      <c r="P111" s="42"/>
      <c r="Q111" s="453"/>
    </row>
    <row r="112" spans="1:17" ht="15" thickTop="1">
      <c r="A112" s="548"/>
      <c r="B112" s="495">
        <f>B40</f>
        <v>111</v>
      </c>
      <c r="C112" s="472"/>
      <c r="D112" s="472"/>
      <c r="E112" s="472"/>
      <c r="F112" s="472"/>
      <c r="G112" s="536"/>
      <c r="H112" s="536"/>
      <c r="I112" s="536"/>
      <c r="J112" s="536"/>
      <c r="K112" s="472"/>
      <c r="L112" s="473"/>
      <c r="M112" s="539"/>
      <c r="N112" s="932"/>
      <c r="O112" s="932"/>
      <c r="P112" s="42"/>
      <c r="Q112" s="453"/>
    </row>
    <row r="113" spans="1:17" ht="15.75" thickBot="1">
      <c r="A113" s="1926"/>
      <c r="B113" s="518"/>
      <c r="C113" s="519"/>
      <c r="D113" s="519"/>
      <c r="E113" s="519"/>
      <c r="F113" s="519"/>
      <c r="G113" s="540"/>
      <c r="H113" s="540"/>
      <c r="I113" s="540"/>
      <c r="J113" s="540"/>
      <c r="K113" s="540"/>
      <c r="L113" s="540"/>
      <c r="M113" s="541"/>
      <c r="N113" s="933"/>
      <c r="O113" s="933"/>
      <c r="P113" s="42"/>
      <c r="Q113" s="45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93" priority="20" stopIfTrue="1" operator="containsText" text="超过">
      <formula>NOT(ISERROR(SEARCH("超过",F46)))</formula>
    </cfRule>
  </conditionalFormatting>
  <conditionalFormatting sqref="H48">
    <cfRule type="containsText" dxfId="92" priority="19" stopIfTrue="1" operator="containsText" text="超过">
      <formula>NOT(ISERROR(SEARCH("超过",H48)))</formula>
    </cfRule>
  </conditionalFormatting>
  <conditionalFormatting sqref="F48">
    <cfRule type="containsText" dxfId="91" priority="18" stopIfTrue="1" operator="containsText" text="超过">
      <formula>NOT(ISERROR(SEARCH("超过",F48)))</formula>
    </cfRule>
  </conditionalFormatting>
  <conditionalFormatting sqref="F47 H47">
    <cfRule type="containsText" dxfId="90" priority="17" stopIfTrue="1" operator="containsText" text="超过">
      <formula>NOT(ISERROR(SEARCH("超过",F47)))</formula>
    </cfRule>
  </conditionalFormatting>
  <conditionalFormatting sqref="E46">
    <cfRule type="expression" dxfId="89" priority="16" stopIfTrue="1">
      <formula>$F$46="超过30%"</formula>
    </cfRule>
  </conditionalFormatting>
  <conditionalFormatting sqref="E47">
    <cfRule type="expression" dxfId="88" priority="15" stopIfTrue="1">
      <formula>$F$47="超过20%"</formula>
    </cfRule>
  </conditionalFormatting>
  <conditionalFormatting sqref="E48">
    <cfRule type="expression" dxfId="87" priority="14" stopIfTrue="1">
      <formula>$F$48="超过30%"</formula>
    </cfRule>
  </conditionalFormatting>
  <conditionalFormatting sqref="G48">
    <cfRule type="expression" dxfId="86" priority="13" stopIfTrue="1">
      <formula>$H$48="超过30%"</formula>
    </cfRule>
  </conditionalFormatting>
  <conditionalFormatting sqref="G46">
    <cfRule type="expression" dxfId="85" priority="12" stopIfTrue="1">
      <formula>$H$46="超过30%"</formula>
    </cfRule>
  </conditionalFormatting>
  <conditionalFormatting sqref="G47">
    <cfRule type="expression" dxfId="84" priority="11" stopIfTrue="1">
      <formula>$H$47="超过20%"</formula>
    </cfRule>
  </conditionalFormatting>
  <conditionalFormatting sqref="J46">
    <cfRule type="containsText" dxfId="83" priority="10" stopIfTrue="1" operator="containsText" text="超过">
      <formula>NOT(ISERROR(SEARCH("超过",J46)))</formula>
    </cfRule>
  </conditionalFormatting>
  <conditionalFormatting sqref="J48">
    <cfRule type="containsText" dxfId="82" priority="9" stopIfTrue="1" operator="containsText" text="超过">
      <formula>NOT(ISERROR(SEARCH("超过",J48)))</formula>
    </cfRule>
  </conditionalFormatting>
  <conditionalFormatting sqref="J47">
    <cfRule type="containsText" dxfId="81" priority="8" stopIfTrue="1" operator="containsText" text="超过">
      <formula>NOT(ISERROR(SEARCH("超过",J47)))</formula>
    </cfRule>
  </conditionalFormatting>
  <conditionalFormatting sqref="I46">
    <cfRule type="expression" dxfId="80" priority="7" stopIfTrue="1">
      <formula>$J$46="超过30%"</formula>
    </cfRule>
  </conditionalFormatting>
  <conditionalFormatting sqref="I47">
    <cfRule type="expression" dxfId="79" priority="6" stopIfTrue="1">
      <formula>$J$47="超过20%"</formula>
    </cfRule>
  </conditionalFormatting>
  <conditionalFormatting sqref="I48">
    <cfRule type="expression" dxfId="78" priority="5" stopIfTrue="1">
      <formula>$J$48="超过30%"</formula>
    </cfRule>
  </conditionalFormatting>
  <conditionalFormatting sqref="F42">
    <cfRule type="expression" dxfId="77" priority="4">
      <formula>$D$42="简单平均"</formula>
    </cfRule>
  </conditionalFormatting>
  <conditionalFormatting sqref="H42">
    <cfRule type="expression" dxfId="76" priority="3">
      <formula>$D$42="简单平均"</formula>
    </cfRule>
  </conditionalFormatting>
  <conditionalFormatting sqref="J42">
    <cfRule type="expression" dxfId="75" priority="2">
      <formula>$D$42="简单平均"</formula>
    </cfRule>
  </conditionalFormatting>
  <conditionalFormatting sqref="F7:F40 H7:H40 J7:J40">
    <cfRule type="cellIs" dxfId="74"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3335</v>
      </c>
      <c r="C1" s="1222" t="s">
        <v>1662</v>
      </c>
      <c r="D1" s="1223"/>
      <c r="E1" s="3429"/>
      <c r="F1" s="1877"/>
      <c r="G1" s="1225" t="s">
        <v>1767</v>
      </c>
      <c r="H1" s="1224"/>
      <c r="I1" s="1224"/>
      <c r="J1" s="1224"/>
      <c r="K1" s="1226"/>
      <c r="L1" s="1227"/>
      <c r="M1" s="1228"/>
      <c r="N1" s="1228"/>
      <c r="O1" s="1228"/>
      <c r="P1" s="1229"/>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IF(B37="元/平方米",ROUND(C39*D3/10000,0),ROUND(F3*C39/10000,0)),IF(B37="元/平方米",ROUND(C39*D3/10000,0),ROUND(F3*C39/10000,0))-D2),IF(E1="单套模式",IF(C2="——",IF(B37="元/平方米",ROUND(C39*D3/10000,0),ROUND(F3*C39/10000,0)),IF(B37="元/平方米",ROUND(C39*D3/10000,0),ROUND(F3*C39/10000,0))-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9"/>
      <c r="L2" s="2731"/>
      <c r="M2" s="2732"/>
      <c r="N2" s="2732"/>
      <c r="O2" s="2732"/>
      <c r="P2" s="1164"/>
      <c r="Q2" s="698"/>
      <c r="R2" s="698"/>
      <c r="S2" s="698"/>
      <c r="T2" s="698"/>
      <c r="U2" s="698"/>
      <c r="V2" s="698"/>
      <c r="W2" s="698"/>
      <c r="X2" s="698"/>
      <c r="Y2" s="698"/>
      <c r="Z2" s="698"/>
      <c r="AA2" s="698"/>
      <c r="AB2" s="698"/>
      <c r="AC2" s="699"/>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7"/>
      <c r="H3" s="907"/>
      <c r="I3" s="907"/>
      <c r="J3" s="907"/>
      <c r="K3" s="909"/>
      <c r="L3" s="2731"/>
      <c r="M3" s="2732" t="e">
        <f ca="1">IF(C2="——",IF(B37="元/平方米",ROUND(C39*D3/10000,0),ROUND(F3*C39/10000,0)),IF(B37="元/平方米",ROUND(C39*D3/10000,0),ROUND(F3*C39/10000,0))-D2)</f>
        <v>#DIV/0!</v>
      </c>
      <c r="N3" s="2732"/>
      <c r="O3" s="2732"/>
      <c r="P3" s="1164"/>
      <c r="Q3" s="698"/>
      <c r="R3" s="698"/>
      <c r="S3" s="698"/>
      <c r="T3" s="698"/>
      <c r="U3" s="698"/>
      <c r="V3" s="698"/>
      <c r="W3" s="698"/>
      <c r="X3" s="698"/>
      <c r="Y3" s="698"/>
      <c r="Z3" s="698"/>
      <c r="AA3" s="698"/>
      <c r="AB3" s="715"/>
      <c r="AC3" s="712"/>
    </row>
    <row r="4" spans="1:29" ht="15">
      <c r="A4" s="355" t="s">
        <v>1769</v>
      </c>
      <c r="B4" s="356"/>
      <c r="C4" s="3730" t="s">
        <v>1770</v>
      </c>
      <c r="D4" s="3731"/>
      <c r="E4" s="3732" t="s">
        <v>1771</v>
      </c>
      <c r="F4" s="3733"/>
      <c r="G4" s="3730" t="s">
        <v>1772</v>
      </c>
      <c r="H4" s="3731"/>
      <c r="I4" s="3730" t="s">
        <v>1773</v>
      </c>
      <c r="J4" s="3731"/>
      <c r="K4" s="559" t="s">
        <v>1774</v>
      </c>
      <c r="L4" s="2712"/>
      <c r="M4" s="2713"/>
      <c r="N4" s="2713"/>
      <c r="O4" s="2713"/>
      <c r="P4" s="3734" t="s">
        <v>1775</v>
      </c>
      <c r="Q4" s="3735"/>
      <c r="R4" s="3716" t="s">
        <v>1771</v>
      </c>
      <c r="S4" s="3717"/>
      <c r="T4" s="3716" t="s">
        <v>1772</v>
      </c>
      <c r="U4" s="3717"/>
      <c r="V4" s="3713" t="s">
        <v>1773</v>
      </c>
      <c r="W4" s="3713"/>
      <c r="X4" s="1353"/>
      <c r="Y4" s="3716" t="s">
        <v>1775</v>
      </c>
      <c r="Z4" s="3717"/>
      <c r="AA4" s="3710" t="s">
        <v>1771</v>
      </c>
      <c r="AB4" s="3711" t="s">
        <v>1772</v>
      </c>
      <c r="AC4" s="3710" t="s">
        <v>1773</v>
      </c>
    </row>
    <row r="5" spans="1:29" ht="15">
      <c r="A5" s="358"/>
      <c r="B5" s="359"/>
      <c r="C5" s="3722" t="s">
        <v>1673</v>
      </c>
      <c r="D5" s="3723"/>
      <c r="E5" s="3760" t="s">
        <v>1674</v>
      </c>
      <c r="F5" s="3721"/>
      <c r="G5" s="3722" t="s">
        <v>1675</v>
      </c>
      <c r="H5" s="3723"/>
      <c r="I5" s="3722" t="s">
        <v>1676</v>
      </c>
      <c r="J5" s="3723"/>
      <c r="K5" s="559"/>
      <c r="L5" s="2712"/>
      <c r="M5" s="2713"/>
      <c r="N5" s="2713"/>
      <c r="O5" s="2713"/>
      <c r="P5" s="3736"/>
      <c r="Q5" s="3737"/>
      <c r="R5" s="3718"/>
      <c r="S5" s="3719"/>
      <c r="T5" s="3718"/>
      <c r="U5" s="3719"/>
      <c r="V5" s="3713"/>
      <c r="W5" s="3713"/>
      <c r="X5" s="1353"/>
      <c r="Y5" s="3718"/>
      <c r="Z5" s="3719"/>
      <c r="AA5" s="3711"/>
      <c r="AB5" s="3711"/>
      <c r="AC5" s="3711"/>
    </row>
    <row r="6" spans="1:29" ht="15.75" thickBot="1">
      <c r="A6" s="360"/>
      <c r="B6" s="361"/>
      <c r="C6" s="3724" t="s">
        <v>1677</v>
      </c>
      <c r="D6" s="3725"/>
      <c r="E6" s="3727" t="s">
        <v>1677</v>
      </c>
      <c r="F6" s="3728"/>
      <c r="G6" s="3724" t="s">
        <v>1677</v>
      </c>
      <c r="H6" s="3725"/>
      <c r="I6" s="3724" t="s">
        <v>1677</v>
      </c>
      <c r="J6" s="3725"/>
      <c r="K6" s="559" t="s">
        <v>1678</v>
      </c>
      <c r="L6" s="2712"/>
      <c r="M6" s="2713"/>
      <c r="N6" s="2713"/>
      <c r="O6" s="2713"/>
      <c r="P6" s="3738"/>
      <c r="Q6" s="3739"/>
      <c r="R6" s="3718"/>
      <c r="S6" s="3719"/>
      <c r="T6" s="3740"/>
      <c r="U6" s="3741"/>
      <c r="V6" s="3713"/>
      <c r="W6" s="3713"/>
      <c r="X6" s="1353"/>
      <c r="Y6" s="3740"/>
      <c r="Z6" s="3741"/>
      <c r="AA6" s="3712"/>
      <c r="AB6" s="3712"/>
      <c r="AC6" s="3712"/>
    </row>
    <row r="7" spans="1:29" s="108" customFormat="1" ht="15.75" thickBot="1">
      <c r="A7" s="362" t="s">
        <v>1679</v>
      </c>
      <c r="B7" s="363"/>
      <c r="C7" s="364">
        <f>'数据-取费表'!B2</f>
        <v>45068</v>
      </c>
      <c r="D7" s="365">
        <v>100</v>
      </c>
      <c r="E7" s="366"/>
      <c r="F7" s="367">
        <f>SUMIF(48:48,YEAR(E7)&amp;"-"&amp;MONTH(E7),49:49)</f>
        <v>0</v>
      </c>
      <c r="G7" s="366"/>
      <c r="H7" s="365">
        <f>SUMIF(48:48,YEAR(G7)&amp;"-"&amp;MONTH(G7),49:49)</f>
        <v>0</v>
      </c>
      <c r="I7" s="366"/>
      <c r="J7" s="365">
        <f>SUMIF(48:48,YEAR(I7)&amp;"-"&amp;MONTH(I7),49:49)</f>
        <v>0</v>
      </c>
      <c r="K7" s="560"/>
      <c r="L7" s="2714"/>
      <c r="M7" s="2715"/>
      <c r="N7" s="2715"/>
      <c r="O7" s="2715"/>
      <c r="P7" s="3714" t="s">
        <v>1680</v>
      </c>
      <c r="Q7" s="3742"/>
      <c r="R7" s="700" t="s">
        <v>14</v>
      </c>
      <c r="S7" s="701">
        <f t="shared" ref="S7:S14" si="0">F7</f>
        <v>0</v>
      </c>
      <c r="T7" s="700" t="s">
        <v>14</v>
      </c>
      <c r="U7" s="701">
        <f t="shared" ref="U7:U14" si="1">H7</f>
        <v>0</v>
      </c>
      <c r="V7" s="700" t="s">
        <v>14</v>
      </c>
      <c r="W7" s="701">
        <f t="shared" ref="W7:W14" si="2">J7</f>
        <v>0</v>
      </c>
      <c r="X7" s="702"/>
      <c r="Y7" s="3714" t="s">
        <v>1680</v>
      </c>
      <c r="Z7" s="3715"/>
      <c r="AA7" s="703" t="e">
        <f>D7/F7</f>
        <v>#DIV/0!</v>
      </c>
      <c r="AB7" s="703" t="e">
        <f>D7/H7</f>
        <v>#DIV/0!</v>
      </c>
      <c r="AC7" s="703"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4"/>
      <c r="M8" s="2715"/>
      <c r="N8" s="2715"/>
      <c r="O8" s="2715"/>
      <c r="P8" s="3714" t="s">
        <v>1683</v>
      </c>
      <c r="Q8" s="3715"/>
      <c r="R8" s="700" t="s">
        <v>14</v>
      </c>
      <c r="S8" s="701">
        <f t="shared" si="0"/>
        <v>100</v>
      </c>
      <c r="T8" s="700" t="s">
        <v>14</v>
      </c>
      <c r="U8" s="701">
        <f t="shared" si="1"/>
        <v>100</v>
      </c>
      <c r="V8" s="700" t="s">
        <v>14</v>
      </c>
      <c r="W8" s="701">
        <f t="shared" si="2"/>
        <v>100</v>
      </c>
      <c r="X8" s="702"/>
      <c r="Y8" s="3714" t="s">
        <v>1683</v>
      </c>
      <c r="Z8" s="3715"/>
      <c r="AA8" s="703">
        <f t="shared" ref="AA8:AA36" si="3">D8/F8</f>
        <v>1</v>
      </c>
      <c r="AB8" s="703">
        <f t="shared" ref="AB8:AB36" si="4">D8/H8</f>
        <v>1</v>
      </c>
      <c r="AC8" s="703">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4"/>
      <c r="M9" s="2715"/>
      <c r="N9" s="2715"/>
      <c r="O9" s="2715"/>
      <c r="P9" s="3752" t="s">
        <v>1686</v>
      </c>
      <c r="Q9" s="1341" t="str">
        <f t="shared" ref="Q9:Q14" si="6">B9</f>
        <v>用途</v>
      </c>
      <c r="R9" s="700" t="s">
        <v>14</v>
      </c>
      <c r="S9" s="701">
        <f t="shared" si="0"/>
        <v>100</v>
      </c>
      <c r="T9" s="700" t="s">
        <v>14</v>
      </c>
      <c r="U9" s="701">
        <f t="shared" si="1"/>
        <v>100</v>
      </c>
      <c r="V9" s="700" t="s">
        <v>14</v>
      </c>
      <c r="W9" s="701">
        <f t="shared" si="2"/>
        <v>100</v>
      </c>
      <c r="X9" s="702"/>
      <c r="Y9" s="3686" t="s">
        <v>1687</v>
      </c>
      <c r="Z9" s="52" t="str">
        <f t="shared" ref="Z9:Z14" si="7">Q9</f>
        <v>用途</v>
      </c>
      <c r="AA9" s="703">
        <f t="shared" si="3"/>
        <v>1</v>
      </c>
      <c r="AB9" s="703">
        <f t="shared" si="4"/>
        <v>1</v>
      </c>
      <c r="AC9" s="703">
        <f t="shared" si="5"/>
        <v>1</v>
      </c>
    </row>
    <row r="10" spans="1:29" s="378" customFormat="1" ht="27">
      <c r="A10" s="589"/>
      <c r="B10" s="590" t="s">
        <v>1688</v>
      </c>
      <c r="C10" s="3430"/>
      <c r="D10" s="127">
        <v>100</v>
      </c>
      <c r="E10" s="3430"/>
      <c r="F10" s="127">
        <f>SUMIF(55:55,E10,56:56)-SUMIF(55:55,C10,56:56)+100</f>
        <v>100</v>
      </c>
      <c r="G10" s="3431"/>
      <c r="H10" s="127">
        <f>SUMIF(55:55,G10,56:56)-SUMIF(55:55,C10,56:56)+100</f>
        <v>100</v>
      </c>
      <c r="I10" s="3430"/>
      <c r="J10" s="127">
        <f>SUMIF(55:55,I10,56:56)-SUMIF(55:55,C10,56:56)+100</f>
        <v>100</v>
      </c>
      <c r="K10" s="560"/>
      <c r="L10" s="2716"/>
      <c r="M10" s="2717"/>
      <c r="N10" s="2717"/>
      <c r="O10" s="2717"/>
      <c r="P10" s="3752"/>
      <c r="Q10" s="1341" t="str">
        <f t="shared" si="6"/>
        <v>土地使用年限（年）</v>
      </c>
      <c r="R10" s="700" t="s">
        <v>14</v>
      </c>
      <c r="S10" s="701">
        <f t="shared" si="0"/>
        <v>100</v>
      </c>
      <c r="T10" s="700" t="s">
        <v>14</v>
      </c>
      <c r="U10" s="701">
        <f t="shared" si="1"/>
        <v>100</v>
      </c>
      <c r="V10" s="700" t="s">
        <v>14</v>
      </c>
      <c r="W10" s="701">
        <f t="shared" si="2"/>
        <v>100</v>
      </c>
      <c r="X10" s="702"/>
      <c r="Y10" s="3686"/>
      <c r="Z10" s="52" t="str">
        <f t="shared" si="7"/>
        <v>土地使用年限（年）</v>
      </c>
      <c r="AA10" s="703">
        <f t="shared" si="3"/>
        <v>1</v>
      </c>
      <c r="AB10" s="703">
        <f t="shared" si="4"/>
        <v>1</v>
      </c>
      <c r="AC10" s="703">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18"/>
      <c r="M11" s="2713"/>
      <c r="N11" s="2713"/>
      <c r="O11" s="2713"/>
      <c r="P11" s="3752"/>
      <c r="Q11" s="1341">
        <f t="shared" si="6"/>
        <v>111</v>
      </c>
      <c r="R11" s="700" t="s">
        <v>14</v>
      </c>
      <c r="S11" s="701">
        <f t="shared" si="0"/>
        <v>100</v>
      </c>
      <c r="T11" s="700" t="s">
        <v>14</v>
      </c>
      <c r="U11" s="701">
        <f t="shared" si="1"/>
        <v>100</v>
      </c>
      <c r="V11" s="700" t="s">
        <v>14</v>
      </c>
      <c r="W11" s="701">
        <f t="shared" si="2"/>
        <v>100</v>
      </c>
      <c r="X11" s="702"/>
      <c r="Y11" s="3686"/>
      <c r="Z11" s="52">
        <f t="shared" si="7"/>
        <v>111</v>
      </c>
      <c r="AA11" s="703">
        <f t="shared" si="3"/>
        <v>1</v>
      </c>
      <c r="AB11" s="703">
        <f t="shared" si="4"/>
        <v>1</v>
      </c>
      <c r="AC11" s="703">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4"/>
      <c r="M12" s="2715"/>
      <c r="N12" s="2715"/>
      <c r="O12" s="2715"/>
      <c r="P12" s="3752"/>
      <c r="Q12" s="1341">
        <f t="shared" si="6"/>
        <v>111</v>
      </c>
      <c r="R12" s="700" t="s">
        <v>14</v>
      </c>
      <c r="S12" s="701">
        <f t="shared" si="0"/>
        <v>100</v>
      </c>
      <c r="T12" s="700" t="s">
        <v>14</v>
      </c>
      <c r="U12" s="701">
        <f t="shared" si="1"/>
        <v>100</v>
      </c>
      <c r="V12" s="700" t="s">
        <v>14</v>
      </c>
      <c r="W12" s="701">
        <f t="shared" si="2"/>
        <v>100</v>
      </c>
      <c r="X12" s="702"/>
      <c r="Y12" s="3686"/>
      <c r="Z12" s="52">
        <f t="shared" si="7"/>
        <v>111</v>
      </c>
      <c r="AA12" s="703">
        <f>D12/F12</f>
        <v>1</v>
      </c>
      <c r="AB12" s="703">
        <f>D12/H12</f>
        <v>1</v>
      </c>
      <c r="AC12" s="703">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19"/>
      <c r="M13" s="2713"/>
      <c r="N13" s="2713"/>
      <c r="O13" s="2713"/>
      <c r="P13" s="3752"/>
      <c r="Q13" s="1341">
        <f t="shared" si="6"/>
        <v>111</v>
      </c>
      <c r="R13" s="700" t="s">
        <v>14</v>
      </c>
      <c r="S13" s="701">
        <f t="shared" si="0"/>
        <v>100</v>
      </c>
      <c r="T13" s="700" t="s">
        <v>14</v>
      </c>
      <c r="U13" s="701">
        <f t="shared" si="1"/>
        <v>100</v>
      </c>
      <c r="V13" s="700" t="s">
        <v>14</v>
      </c>
      <c r="W13" s="701">
        <f t="shared" si="2"/>
        <v>100</v>
      </c>
      <c r="X13" s="702"/>
      <c r="Y13" s="3686"/>
      <c r="Z13" s="52">
        <f t="shared" si="7"/>
        <v>111</v>
      </c>
      <c r="AA13" s="703">
        <f t="shared" si="3"/>
        <v>1</v>
      </c>
      <c r="AB13" s="703">
        <f t="shared" si="4"/>
        <v>1</v>
      </c>
      <c r="AC13" s="703">
        <f t="shared" si="5"/>
        <v>1</v>
      </c>
    </row>
    <row r="14" spans="1:29" ht="85.5">
      <c r="A14" s="355" t="s">
        <v>1690</v>
      </c>
      <c r="B14" s="577" t="s">
        <v>1833</v>
      </c>
      <c r="C14" s="1968"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19"/>
      <c r="M14" s="2713"/>
      <c r="N14" s="2713"/>
      <c r="O14" s="2713"/>
      <c r="P14" s="3745" t="s">
        <v>1691</v>
      </c>
      <c r="Q14" s="1350" t="str">
        <f t="shared" si="6"/>
        <v>交通便捷度</v>
      </c>
      <c r="R14" s="704" t="s">
        <v>14</v>
      </c>
      <c r="S14" s="705">
        <f t="shared" si="0"/>
        <v>100</v>
      </c>
      <c r="T14" s="704" t="s">
        <v>14</v>
      </c>
      <c r="U14" s="705">
        <f t="shared" si="1"/>
        <v>100</v>
      </c>
      <c r="V14" s="704" t="s">
        <v>14</v>
      </c>
      <c r="W14" s="705">
        <f t="shared" si="2"/>
        <v>100</v>
      </c>
      <c r="X14" s="1353"/>
      <c r="Y14" s="3745" t="s">
        <v>1691</v>
      </c>
      <c r="Z14" s="1354" t="str">
        <f t="shared" si="7"/>
        <v>交通便捷度</v>
      </c>
      <c r="AA14" s="1351">
        <f t="shared" si="3"/>
        <v>1</v>
      </c>
      <c r="AB14" s="1351">
        <f t="shared" si="4"/>
        <v>1</v>
      </c>
      <c r="AC14" s="1351">
        <f t="shared" si="5"/>
        <v>1</v>
      </c>
    </row>
    <row r="15" spans="1:29" ht="15">
      <c r="A15" s="358"/>
      <c r="B15" s="595"/>
      <c r="C15" s="398"/>
      <c r="D15" s="399"/>
      <c r="E15" s="398"/>
      <c r="F15" s="400"/>
      <c r="G15" s="398"/>
      <c r="H15" s="401"/>
      <c r="I15" s="398"/>
      <c r="J15" s="399"/>
      <c r="K15" s="564"/>
      <c r="L15" s="2719"/>
      <c r="M15" s="2713"/>
      <c r="N15" s="2713"/>
      <c r="O15" s="2713"/>
      <c r="P15" s="3746"/>
      <c r="Q15" s="1350"/>
      <c r="R15" s="704"/>
      <c r="S15" s="705"/>
      <c r="T15" s="704"/>
      <c r="U15" s="705"/>
      <c r="V15" s="704"/>
      <c r="W15" s="705"/>
      <c r="X15" s="1353"/>
      <c r="Y15" s="3746"/>
      <c r="Z15" s="1354"/>
      <c r="AA15" s="1351">
        <v>1</v>
      </c>
      <c r="AB15" s="1351">
        <v>1</v>
      </c>
      <c r="AC15" s="1351">
        <v>1</v>
      </c>
    </row>
    <row r="16" spans="1:29" ht="42.75">
      <c r="A16" s="358"/>
      <c r="B16" s="579" t="s">
        <v>1812</v>
      </c>
      <c r="C16" s="1898"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19"/>
      <c r="M16" s="2713"/>
      <c r="N16" s="2713"/>
      <c r="O16" s="2713"/>
      <c r="P16" s="3746"/>
      <c r="Q16" s="1350" t="str">
        <f>B16</f>
        <v>公共配套设施</v>
      </c>
      <c r="R16" s="704" t="s">
        <v>14</v>
      </c>
      <c r="S16" s="705">
        <f>F16</f>
        <v>100</v>
      </c>
      <c r="T16" s="704" t="s">
        <v>14</v>
      </c>
      <c r="U16" s="705">
        <f>H16</f>
        <v>100</v>
      </c>
      <c r="V16" s="704" t="s">
        <v>14</v>
      </c>
      <c r="W16" s="705">
        <f>J16</f>
        <v>100</v>
      </c>
      <c r="X16" s="1353"/>
      <c r="Y16" s="3746"/>
      <c r="Z16" s="1354" t="str">
        <f>Q16</f>
        <v>公共配套设施</v>
      </c>
      <c r="AA16" s="1351">
        <f t="shared" si="3"/>
        <v>1</v>
      </c>
      <c r="AB16" s="1351">
        <f t="shared" si="4"/>
        <v>1</v>
      </c>
      <c r="AC16" s="1351">
        <f t="shared" si="5"/>
        <v>1</v>
      </c>
    </row>
    <row r="17" spans="1:29" ht="15">
      <c r="A17" s="358"/>
      <c r="B17" s="580"/>
      <c r="C17" s="1899"/>
      <c r="D17" s="399"/>
      <c r="E17" s="398"/>
      <c r="F17" s="400"/>
      <c r="G17" s="398"/>
      <c r="H17" s="399"/>
      <c r="I17" s="398"/>
      <c r="J17" s="399"/>
      <c r="K17" s="564"/>
      <c r="L17" s="2719"/>
      <c r="M17" s="2713"/>
      <c r="N17" s="2713"/>
      <c r="O17" s="2713"/>
      <c r="P17" s="3746"/>
      <c r="Q17" s="1350"/>
      <c r="R17" s="704"/>
      <c r="S17" s="705"/>
      <c r="T17" s="704"/>
      <c r="U17" s="705"/>
      <c r="V17" s="704"/>
      <c r="W17" s="705"/>
      <c r="X17" s="1353"/>
      <c r="Y17" s="3746"/>
      <c r="Z17" s="1354"/>
      <c r="AA17" s="1351">
        <v>1</v>
      </c>
      <c r="AB17" s="1351">
        <v>1</v>
      </c>
      <c r="AC17" s="1351">
        <v>1</v>
      </c>
    </row>
    <row r="18" spans="1:29" ht="28.5">
      <c r="A18" s="358"/>
      <c r="B18" s="581" t="s">
        <v>1813</v>
      </c>
      <c r="C18" s="1898"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19"/>
      <c r="M18" s="2713"/>
      <c r="N18" s="2713"/>
      <c r="O18" s="2713"/>
      <c r="P18" s="3746"/>
      <c r="Q18" s="1350" t="str">
        <f>B18</f>
        <v>基础设施水平</v>
      </c>
      <c r="R18" s="704" t="s">
        <v>14</v>
      </c>
      <c r="S18" s="705">
        <f>F18</f>
        <v>100</v>
      </c>
      <c r="T18" s="704" t="s">
        <v>14</v>
      </c>
      <c r="U18" s="705">
        <f>H18</f>
        <v>100</v>
      </c>
      <c r="V18" s="704" t="s">
        <v>14</v>
      </c>
      <c r="W18" s="705">
        <f>J18</f>
        <v>100</v>
      </c>
      <c r="X18" s="1353"/>
      <c r="Y18" s="3746"/>
      <c r="Z18" s="1354" t="str">
        <f>Q18</f>
        <v>基础设施水平</v>
      </c>
      <c r="AA18" s="1351">
        <f t="shared" ref="AA18" si="8">D18/F18</f>
        <v>1</v>
      </c>
      <c r="AB18" s="1351">
        <f t="shared" ref="AB18" si="9">D18/H18</f>
        <v>1</v>
      </c>
      <c r="AC18" s="1351">
        <f t="shared" ref="AC18" si="10">D18/J18</f>
        <v>1</v>
      </c>
    </row>
    <row r="19" spans="1:29" ht="15">
      <c r="A19" s="358"/>
      <c r="B19" s="581"/>
      <c r="C19" s="1899"/>
      <c r="D19" s="401"/>
      <c r="E19" s="1899"/>
      <c r="F19" s="404"/>
      <c r="G19" s="1899"/>
      <c r="H19" s="399"/>
      <c r="I19" s="398"/>
      <c r="J19" s="399"/>
      <c r="K19" s="1129"/>
      <c r="L19" s="2719"/>
      <c r="M19" s="2713"/>
      <c r="N19" s="2713"/>
      <c r="O19" s="2713"/>
      <c r="P19" s="3746"/>
      <c r="Q19" s="1350"/>
      <c r="R19" s="704"/>
      <c r="S19" s="705"/>
      <c r="T19" s="704"/>
      <c r="U19" s="705"/>
      <c r="V19" s="704"/>
      <c r="W19" s="705"/>
      <c r="X19" s="1353"/>
      <c r="Y19" s="3746"/>
      <c r="Z19" s="1354"/>
      <c r="AA19" s="1351">
        <v>1</v>
      </c>
      <c r="AB19" s="1351">
        <v>1</v>
      </c>
      <c r="AC19" s="1351">
        <v>1</v>
      </c>
    </row>
    <row r="20" spans="1:29" ht="57">
      <c r="A20" s="358"/>
      <c r="B20" s="579" t="s">
        <v>1834</v>
      </c>
      <c r="C20" s="1898"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19"/>
      <c r="M20" s="2713"/>
      <c r="N20" s="2713"/>
      <c r="O20" s="2713"/>
      <c r="P20" s="3746"/>
      <c r="Q20" s="1350" t="str">
        <f>B20</f>
        <v>自然及人文环境</v>
      </c>
      <c r="R20" s="704" t="s">
        <v>14</v>
      </c>
      <c r="S20" s="705">
        <f>F20</f>
        <v>100</v>
      </c>
      <c r="T20" s="704" t="s">
        <v>14</v>
      </c>
      <c r="U20" s="705">
        <f>H20</f>
        <v>100</v>
      </c>
      <c r="V20" s="704" t="s">
        <v>14</v>
      </c>
      <c r="W20" s="705">
        <f>J20</f>
        <v>100</v>
      </c>
      <c r="X20" s="1353"/>
      <c r="Y20" s="3746"/>
      <c r="Z20" s="1354" t="str">
        <f>Q20</f>
        <v>自然及人文环境</v>
      </c>
      <c r="AA20" s="1351">
        <f t="shared" si="3"/>
        <v>1</v>
      </c>
      <c r="AB20" s="1351">
        <f t="shared" si="4"/>
        <v>1</v>
      </c>
      <c r="AC20" s="1351">
        <f t="shared" si="5"/>
        <v>1</v>
      </c>
    </row>
    <row r="21" spans="1:29" ht="15">
      <c r="A21" s="358"/>
      <c r="B21" s="580"/>
      <c r="C21" s="398"/>
      <c r="D21" s="399"/>
      <c r="E21" s="398"/>
      <c r="F21" s="400"/>
      <c r="G21" s="398"/>
      <c r="H21" s="399"/>
      <c r="I21" s="398"/>
      <c r="J21" s="399"/>
      <c r="K21" s="564"/>
      <c r="L21" s="2719"/>
      <c r="M21" s="2713"/>
      <c r="N21" s="2713"/>
      <c r="O21" s="2713"/>
      <c r="P21" s="3746"/>
      <c r="Q21" s="1350"/>
      <c r="R21" s="704"/>
      <c r="S21" s="705"/>
      <c r="T21" s="704"/>
      <c r="U21" s="705"/>
      <c r="V21" s="704"/>
      <c r="W21" s="705"/>
      <c r="X21" s="1353"/>
      <c r="Y21" s="3746"/>
      <c r="Z21" s="1354"/>
      <c r="AA21" s="1351">
        <v>1</v>
      </c>
      <c r="AB21" s="1351">
        <v>1</v>
      </c>
      <c r="AC21" s="1351">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19"/>
      <c r="M22" s="2713"/>
      <c r="N22" s="2713"/>
      <c r="O22" s="2713"/>
      <c r="P22" s="3746"/>
      <c r="Q22" s="1350" t="str">
        <f>B22</f>
        <v>楼层</v>
      </c>
      <c r="R22" s="704" t="s">
        <v>14</v>
      </c>
      <c r="S22" s="705">
        <f>F22</f>
        <v>100</v>
      </c>
      <c r="T22" s="704" t="s">
        <v>14</v>
      </c>
      <c r="U22" s="705">
        <f>H22</f>
        <v>100</v>
      </c>
      <c r="V22" s="704" t="s">
        <v>14</v>
      </c>
      <c r="W22" s="705">
        <f>J22</f>
        <v>100</v>
      </c>
      <c r="X22" s="1353"/>
      <c r="Y22" s="3746"/>
      <c r="Z22" s="1354" t="str">
        <f>Q22</f>
        <v>楼层</v>
      </c>
      <c r="AA22" s="1351">
        <f t="shared" si="3"/>
        <v>1</v>
      </c>
      <c r="AB22" s="1351">
        <f t="shared" si="4"/>
        <v>1</v>
      </c>
      <c r="AC22" s="1351">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19"/>
      <c r="M23" s="2713"/>
      <c r="N23" s="2713"/>
      <c r="O23" s="2713"/>
      <c r="P23" s="3746"/>
      <c r="Q23" s="1350">
        <f>B23</f>
        <v>111</v>
      </c>
      <c r="R23" s="704" t="s">
        <v>14</v>
      </c>
      <c r="S23" s="705">
        <f>F23</f>
        <v>100</v>
      </c>
      <c r="T23" s="704" t="s">
        <v>14</v>
      </c>
      <c r="U23" s="705">
        <f>H23</f>
        <v>100</v>
      </c>
      <c r="V23" s="704" t="s">
        <v>14</v>
      </c>
      <c r="W23" s="705">
        <f>J23</f>
        <v>100</v>
      </c>
      <c r="X23" s="1353"/>
      <c r="Y23" s="3746"/>
      <c r="Z23" s="1354">
        <f>Q23</f>
        <v>111</v>
      </c>
      <c r="AA23" s="1351">
        <f t="shared" si="3"/>
        <v>1</v>
      </c>
      <c r="AB23" s="1351">
        <f t="shared" si="4"/>
        <v>1</v>
      </c>
      <c r="AC23" s="1351">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19"/>
      <c r="M24" s="2713"/>
      <c r="N24" s="2713"/>
      <c r="O24" s="2713"/>
      <c r="P24" s="3746"/>
      <c r="Q24" s="1350">
        <f t="shared" ref="Q24:Q36" si="11">B24</f>
        <v>111</v>
      </c>
      <c r="R24" s="704" t="s">
        <v>14</v>
      </c>
      <c r="S24" s="705">
        <f>F24</f>
        <v>100</v>
      </c>
      <c r="T24" s="704" t="s">
        <v>14</v>
      </c>
      <c r="U24" s="705">
        <f>H24</f>
        <v>100</v>
      </c>
      <c r="V24" s="704" t="s">
        <v>14</v>
      </c>
      <c r="W24" s="705">
        <f>J24</f>
        <v>100</v>
      </c>
      <c r="X24" s="1353"/>
      <c r="Y24" s="3746"/>
      <c r="Z24" s="1354">
        <f>Q24</f>
        <v>111</v>
      </c>
      <c r="AA24" s="1351">
        <f t="shared" si="3"/>
        <v>1</v>
      </c>
      <c r="AB24" s="1351">
        <f t="shared" si="4"/>
        <v>1</v>
      </c>
      <c r="AC24" s="1351">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4"/>
      <c r="M25" s="2715"/>
      <c r="N25" s="2715"/>
      <c r="O25" s="2715"/>
      <c r="P25" s="3746"/>
      <c r="Q25" s="1341">
        <f t="shared" si="11"/>
        <v>111</v>
      </c>
      <c r="R25" s="700" t="s">
        <v>14</v>
      </c>
      <c r="S25" s="701">
        <f>F25</f>
        <v>100</v>
      </c>
      <c r="T25" s="700" t="s">
        <v>14</v>
      </c>
      <c r="U25" s="701">
        <f>H25</f>
        <v>100</v>
      </c>
      <c r="V25" s="700" t="s">
        <v>14</v>
      </c>
      <c r="W25" s="701">
        <f>J25</f>
        <v>100</v>
      </c>
      <c r="X25" s="702"/>
      <c r="Y25" s="3746"/>
      <c r="Z25" s="52">
        <f>Q25</f>
        <v>111</v>
      </c>
      <c r="AA25" s="1351">
        <f>D25/F25</f>
        <v>1</v>
      </c>
      <c r="AB25" s="1351">
        <f>D25/H25</f>
        <v>1</v>
      </c>
      <c r="AC25" s="1351">
        <f>D25/J25</f>
        <v>1</v>
      </c>
    </row>
    <row r="26" spans="1:29" ht="28.5">
      <c r="A26" s="600" t="s">
        <v>1694</v>
      </c>
      <c r="B26" s="62" t="s">
        <v>1836</v>
      </c>
      <c r="C26" s="1969" t="str">
        <f>B1</f>
        <v>车库</v>
      </c>
      <c r="D26" s="399">
        <v>100</v>
      </c>
      <c r="E26" s="398"/>
      <c r="F26" s="400">
        <f>SUMIF(79:79,E26,80:80)-SUMIF(79:79,C26,80:80)+100</f>
        <v>0</v>
      </c>
      <c r="G26" s="398"/>
      <c r="H26" s="399">
        <f>SUMIF(79:79,G26,80:80)-SUMIF(79:79,C26,80:80)+100</f>
        <v>0</v>
      </c>
      <c r="I26" s="398"/>
      <c r="J26" s="399">
        <f>SUMIF(79:79,I26,80:80)-SUMIF(79:79,C26,80:80)+100</f>
        <v>0</v>
      </c>
      <c r="K26" s="561"/>
      <c r="L26" s="2719"/>
      <c r="M26" s="2713"/>
      <c r="N26" s="2713"/>
      <c r="O26" s="2713"/>
      <c r="P26" s="3761" t="s">
        <v>1696</v>
      </c>
      <c r="Q26" s="1350" t="str">
        <f t="shared" si="11"/>
        <v>配套类型</v>
      </c>
      <c r="R26" s="704" t="s">
        <v>14</v>
      </c>
      <c r="S26" s="705">
        <f t="shared" ref="S26:S36" si="12">F26</f>
        <v>0</v>
      </c>
      <c r="T26" s="704" t="s">
        <v>14</v>
      </c>
      <c r="U26" s="705">
        <f t="shared" ref="U26:U36" si="13">H26</f>
        <v>0</v>
      </c>
      <c r="V26" s="704" t="s">
        <v>14</v>
      </c>
      <c r="W26" s="705">
        <f t="shared" ref="W26:W36" si="14">J26</f>
        <v>0</v>
      </c>
      <c r="X26" s="1353"/>
      <c r="Y26" s="3750" t="s">
        <v>1696</v>
      </c>
      <c r="Z26" s="1354" t="str">
        <f t="shared" ref="Z26:Z36" si="15">Q26</f>
        <v>配套类型</v>
      </c>
      <c r="AA26" s="1351" t="e">
        <f t="shared" si="3"/>
        <v>#DIV/0!</v>
      </c>
      <c r="AB26" s="1351" t="e">
        <f t="shared" si="4"/>
        <v>#DIV/0!</v>
      </c>
      <c r="AC26" s="1351"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18"/>
      <c r="M27" s="2720"/>
      <c r="N27" s="2720"/>
      <c r="O27" s="2720"/>
      <c r="P27" s="3750"/>
      <c r="Q27" s="706" t="str">
        <f t="shared" si="11"/>
        <v>项目停车位配比</v>
      </c>
      <c r="R27" s="707" t="s">
        <v>14</v>
      </c>
      <c r="S27" s="708">
        <f t="shared" si="12"/>
        <v>100</v>
      </c>
      <c r="T27" s="707" t="s">
        <v>14</v>
      </c>
      <c r="U27" s="708">
        <f t="shared" si="13"/>
        <v>100</v>
      </c>
      <c r="V27" s="707" t="s">
        <v>14</v>
      </c>
      <c r="W27" s="708">
        <f t="shared" si="14"/>
        <v>100</v>
      </c>
      <c r="X27" s="709"/>
      <c r="Y27" s="3750"/>
      <c r="Z27" s="710" t="str">
        <f t="shared" si="15"/>
        <v>项目停车位配比</v>
      </c>
      <c r="AA27" s="1351">
        <f t="shared" si="3"/>
        <v>1</v>
      </c>
      <c r="AB27" s="1351">
        <f t="shared" si="4"/>
        <v>1</v>
      </c>
      <c r="AC27" s="1351">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19"/>
      <c r="M28" s="2713"/>
      <c r="N28" s="2713"/>
      <c r="O28" s="2713"/>
      <c r="P28" s="3750"/>
      <c r="Q28" s="1350" t="str">
        <f t="shared" si="11"/>
        <v>公共部分装修</v>
      </c>
      <c r="R28" s="704" t="s">
        <v>14</v>
      </c>
      <c r="S28" s="705">
        <f t="shared" si="12"/>
        <v>100</v>
      </c>
      <c r="T28" s="704" t="s">
        <v>14</v>
      </c>
      <c r="U28" s="705">
        <f t="shared" si="13"/>
        <v>100</v>
      </c>
      <c r="V28" s="704" t="s">
        <v>14</v>
      </c>
      <c r="W28" s="705">
        <f t="shared" si="14"/>
        <v>100</v>
      </c>
      <c r="X28" s="1353"/>
      <c r="Y28" s="3750"/>
      <c r="Z28" s="1354" t="str">
        <f t="shared" si="15"/>
        <v>公共部分装修</v>
      </c>
      <c r="AA28" s="1351">
        <f t="shared" si="3"/>
        <v>1</v>
      </c>
      <c r="AB28" s="1351">
        <f t="shared" si="4"/>
        <v>1</v>
      </c>
      <c r="AC28" s="1351">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19"/>
      <c r="M29" s="2713"/>
      <c r="N29" s="2713"/>
      <c r="O29" s="2713"/>
      <c r="P29" s="3750"/>
      <c r="Q29" s="1350" t="str">
        <f t="shared" si="11"/>
        <v>成新率</v>
      </c>
      <c r="R29" s="704" t="s">
        <v>14</v>
      </c>
      <c r="S29" s="705" t="e">
        <f t="shared" si="12"/>
        <v>#N/A</v>
      </c>
      <c r="T29" s="704" t="s">
        <v>14</v>
      </c>
      <c r="U29" s="705" t="e">
        <f t="shared" si="13"/>
        <v>#N/A</v>
      </c>
      <c r="V29" s="704" t="s">
        <v>14</v>
      </c>
      <c r="W29" s="705" t="e">
        <f t="shared" si="14"/>
        <v>#N/A</v>
      </c>
      <c r="X29" s="1353"/>
      <c r="Y29" s="3750"/>
      <c r="Z29" s="1354" t="str">
        <f t="shared" si="15"/>
        <v>成新率</v>
      </c>
      <c r="AA29" s="1351" t="e">
        <f t="shared" si="3"/>
        <v>#N/A</v>
      </c>
      <c r="AB29" s="1351" t="e">
        <f t="shared" si="4"/>
        <v>#N/A</v>
      </c>
      <c r="AC29" s="1351"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19"/>
      <c r="M30" s="2713"/>
      <c r="N30" s="2713"/>
      <c r="O30" s="2713"/>
      <c r="P30" s="3750"/>
      <c r="Q30" s="1350" t="str">
        <f t="shared" si="11"/>
        <v>物业等级</v>
      </c>
      <c r="R30" s="704" t="s">
        <v>14</v>
      </c>
      <c r="S30" s="705">
        <f t="shared" si="12"/>
        <v>100</v>
      </c>
      <c r="T30" s="704" t="s">
        <v>14</v>
      </c>
      <c r="U30" s="705">
        <f t="shared" si="13"/>
        <v>100</v>
      </c>
      <c r="V30" s="704" t="s">
        <v>14</v>
      </c>
      <c r="W30" s="705">
        <f t="shared" si="14"/>
        <v>100</v>
      </c>
      <c r="X30" s="1353"/>
      <c r="Y30" s="3750"/>
      <c r="Z30" s="1354" t="str">
        <f t="shared" si="15"/>
        <v>物业等级</v>
      </c>
      <c r="AA30" s="1351">
        <f t="shared" si="3"/>
        <v>1</v>
      </c>
      <c r="AB30" s="1351">
        <f t="shared" si="4"/>
        <v>1</v>
      </c>
      <c r="AC30" s="1351">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4"/>
      <c r="M31" s="2715"/>
      <c r="N31" s="2715"/>
      <c r="O31" s="2715"/>
      <c r="P31" s="3750"/>
      <c r="Q31" s="1341" t="str">
        <f t="shared" si="11"/>
        <v>停车位面积</v>
      </c>
      <c r="R31" s="700" t="s">
        <v>14</v>
      </c>
      <c r="S31" s="701" t="e">
        <f t="shared" si="12"/>
        <v>#N/A</v>
      </c>
      <c r="T31" s="700" t="s">
        <v>14</v>
      </c>
      <c r="U31" s="701" t="e">
        <f t="shared" si="13"/>
        <v>#N/A</v>
      </c>
      <c r="V31" s="700" t="s">
        <v>14</v>
      </c>
      <c r="W31" s="701" t="e">
        <f t="shared" si="14"/>
        <v>#N/A</v>
      </c>
      <c r="X31" s="702"/>
      <c r="Y31" s="3750"/>
      <c r="Z31" s="52" t="str">
        <f t="shared" si="15"/>
        <v>停车位面积</v>
      </c>
      <c r="AA31" s="703" t="e">
        <f t="shared" si="3"/>
        <v>#N/A</v>
      </c>
      <c r="AB31" s="703" t="e">
        <f t="shared" si="4"/>
        <v>#N/A</v>
      </c>
      <c r="AC31" s="703"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19"/>
      <c r="M32" s="2713"/>
      <c r="N32" s="2713"/>
      <c r="O32" s="2713"/>
      <c r="P32" s="3750" t="s">
        <v>1696</v>
      </c>
      <c r="Q32" s="1350" t="str">
        <f t="shared" si="11"/>
        <v>车位类型</v>
      </c>
      <c r="R32" s="704" t="s">
        <v>14</v>
      </c>
      <c r="S32" s="705">
        <f t="shared" si="12"/>
        <v>100</v>
      </c>
      <c r="T32" s="704" t="s">
        <v>14</v>
      </c>
      <c r="U32" s="705">
        <f t="shared" si="13"/>
        <v>100</v>
      </c>
      <c r="V32" s="704" t="s">
        <v>14</v>
      </c>
      <c r="W32" s="705">
        <f t="shared" si="14"/>
        <v>100</v>
      </c>
      <c r="X32" s="1353"/>
      <c r="Y32" s="3750" t="s">
        <v>1696</v>
      </c>
      <c r="Z32" s="1354" t="str">
        <f t="shared" si="15"/>
        <v>车位类型</v>
      </c>
      <c r="AA32" s="1351">
        <f t="shared" si="3"/>
        <v>1</v>
      </c>
      <c r="AB32" s="1351">
        <f t="shared" si="4"/>
        <v>1</v>
      </c>
      <c r="AC32" s="1351">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19"/>
      <c r="M33" s="2713"/>
      <c r="N33" s="2713"/>
      <c r="O33" s="2713"/>
      <c r="P33" s="3750"/>
      <c r="Q33" s="1350" t="str">
        <f t="shared" si="11"/>
        <v>是否直接入户</v>
      </c>
      <c r="R33" s="704" t="s">
        <v>14</v>
      </c>
      <c r="S33" s="705">
        <f t="shared" si="12"/>
        <v>100</v>
      </c>
      <c r="T33" s="704" t="s">
        <v>14</v>
      </c>
      <c r="U33" s="705">
        <f t="shared" si="13"/>
        <v>100</v>
      </c>
      <c r="V33" s="704" t="s">
        <v>14</v>
      </c>
      <c r="W33" s="705">
        <f t="shared" si="14"/>
        <v>100</v>
      </c>
      <c r="X33" s="1353"/>
      <c r="Y33" s="3750"/>
      <c r="Z33" s="1354" t="str">
        <f t="shared" si="15"/>
        <v>是否直接入户</v>
      </c>
      <c r="AA33" s="1351">
        <f t="shared" si="3"/>
        <v>1</v>
      </c>
      <c r="AB33" s="1351">
        <f t="shared" si="4"/>
        <v>1</v>
      </c>
      <c r="AC33" s="1351">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19"/>
      <c r="M34" s="2713"/>
      <c r="N34" s="2713"/>
      <c r="O34" s="2713"/>
      <c r="P34" s="3750"/>
      <c r="Q34" s="1350">
        <f t="shared" si="11"/>
        <v>111</v>
      </c>
      <c r="R34" s="704" t="s">
        <v>14</v>
      </c>
      <c r="S34" s="705">
        <f t="shared" si="12"/>
        <v>100</v>
      </c>
      <c r="T34" s="704" t="s">
        <v>14</v>
      </c>
      <c r="U34" s="705">
        <f t="shared" si="13"/>
        <v>100</v>
      </c>
      <c r="V34" s="704" t="s">
        <v>14</v>
      </c>
      <c r="W34" s="705">
        <f t="shared" si="14"/>
        <v>100</v>
      </c>
      <c r="X34" s="1353"/>
      <c r="Y34" s="3750"/>
      <c r="Z34" s="1354">
        <f t="shared" si="15"/>
        <v>111</v>
      </c>
      <c r="AA34" s="1351">
        <f t="shared" si="3"/>
        <v>1</v>
      </c>
      <c r="AB34" s="1351">
        <f t="shared" si="4"/>
        <v>1</v>
      </c>
      <c r="AC34" s="1351">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18"/>
      <c r="M35" s="2720"/>
      <c r="N35" s="2720"/>
      <c r="O35" s="2720"/>
      <c r="P35" s="3750"/>
      <c r="Q35" s="706">
        <f t="shared" si="11"/>
        <v>111</v>
      </c>
      <c r="R35" s="707" t="s">
        <v>14</v>
      </c>
      <c r="S35" s="708">
        <f t="shared" si="12"/>
        <v>100</v>
      </c>
      <c r="T35" s="707" t="s">
        <v>14</v>
      </c>
      <c r="U35" s="708">
        <f t="shared" si="13"/>
        <v>100</v>
      </c>
      <c r="V35" s="707" t="s">
        <v>14</v>
      </c>
      <c r="W35" s="708">
        <f t="shared" si="14"/>
        <v>100</v>
      </c>
      <c r="X35" s="709"/>
      <c r="Y35" s="3750"/>
      <c r="Z35" s="710">
        <f t="shared" si="15"/>
        <v>111</v>
      </c>
      <c r="AA35" s="1351">
        <f t="shared" si="3"/>
        <v>1</v>
      </c>
      <c r="AB35" s="1351">
        <f t="shared" si="4"/>
        <v>1</v>
      </c>
      <c r="AC35" s="1351">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19"/>
      <c r="M36" s="2713"/>
      <c r="N36" s="2713"/>
      <c r="O36" s="2713"/>
      <c r="P36" s="3750"/>
      <c r="Q36" s="1350">
        <f t="shared" si="11"/>
        <v>111</v>
      </c>
      <c r="R36" s="704" t="s">
        <v>14</v>
      </c>
      <c r="S36" s="705">
        <f t="shared" si="12"/>
        <v>100</v>
      </c>
      <c r="T36" s="704" t="s">
        <v>14</v>
      </c>
      <c r="U36" s="705">
        <f t="shared" si="13"/>
        <v>100</v>
      </c>
      <c r="V36" s="704" t="s">
        <v>14</v>
      </c>
      <c r="W36" s="705">
        <f t="shared" si="14"/>
        <v>100</v>
      </c>
      <c r="X36" s="1353"/>
      <c r="Y36" s="3750"/>
      <c r="Z36" s="1354">
        <f t="shared" si="15"/>
        <v>111</v>
      </c>
      <c r="AA36" s="1351">
        <f t="shared" si="3"/>
        <v>1</v>
      </c>
      <c r="AB36" s="1351">
        <f t="shared" si="4"/>
        <v>1</v>
      </c>
      <c r="AC36" s="1351">
        <f t="shared" si="5"/>
        <v>1</v>
      </c>
    </row>
    <row r="37" spans="1:29" ht="15">
      <c r="A37" s="430" t="s">
        <v>1844</v>
      </c>
      <c r="B37" s="1970" t="s">
        <v>3355</v>
      </c>
      <c r="C37" s="1153" t="s">
        <v>0</v>
      </c>
      <c r="D37" s="1154"/>
      <c r="E37" s="1155"/>
      <c r="F37" s="1156"/>
      <c r="G37" s="1157"/>
      <c r="H37" s="1158"/>
      <c r="I37" s="1155"/>
      <c r="J37" s="1158"/>
      <c r="K37" s="568"/>
      <c r="L37" s="2721"/>
      <c r="M37" s="2722"/>
      <c r="N37" s="2713"/>
      <c r="O37" s="2722"/>
      <c r="P37" s="3752" t="str">
        <f>A37</f>
        <v>成交单价</v>
      </c>
      <c r="Q37" s="3752"/>
      <c r="R37" s="3753">
        <f>E37</f>
        <v>0</v>
      </c>
      <c r="S37" s="3753"/>
      <c r="T37" s="3753">
        <f>G37</f>
        <v>0</v>
      </c>
      <c r="U37" s="3753"/>
      <c r="V37" s="3753">
        <f>I37</f>
        <v>0</v>
      </c>
      <c r="W37" s="3753"/>
      <c r="X37" s="689"/>
      <c r="Y37" s="711"/>
      <c r="Z37" s="689"/>
      <c r="AA37" s="689"/>
      <c r="AB37" s="689"/>
      <c r="AC37" s="689"/>
    </row>
    <row r="38" spans="1:29" ht="15.75" thickBot="1">
      <c r="A38" s="437" t="s">
        <v>1845</v>
      </c>
      <c r="B38" s="438" t="str">
        <f>B37</f>
        <v>元/平方米</v>
      </c>
      <c r="C38" s="1159" t="e">
        <f>R39</f>
        <v>#DIV/0!</v>
      </c>
      <c r="D38" s="2314" t="s">
        <v>2136</v>
      </c>
      <c r="E38" s="1160" t="e">
        <f>R38</f>
        <v>#DIV/0!</v>
      </c>
      <c r="F38" s="2315"/>
      <c r="G38" s="1159" t="e">
        <f>T38</f>
        <v>#DIV/0!</v>
      </c>
      <c r="H38" s="2315"/>
      <c r="I38" s="1160" t="e">
        <f>V38</f>
        <v>#DIV/0!</v>
      </c>
      <c r="J38" s="2315"/>
      <c r="K38" s="2317">
        <f>F38+H38+J38</f>
        <v>0</v>
      </c>
      <c r="L38" s="2721"/>
      <c r="M38" s="2722"/>
      <c r="N38" s="2722"/>
      <c r="O38" s="2722"/>
      <c r="P38" s="3752" t="str">
        <f>A38</f>
        <v>比较价值（元/平方米）</v>
      </c>
      <c r="Q38" s="3752"/>
      <c r="R38" s="3753" t="e">
        <f>IF(F1="售价",ROUND(PRODUCT(R37,AA7:AA36),0),ROUND(PRODUCT(R37,AA7:AA36),1))</f>
        <v>#DIV/0!</v>
      </c>
      <c r="S38" s="3753"/>
      <c r="T38" s="3753" t="e">
        <f>IF(F1="售价",ROUND(PRODUCT(T37,AB7:AB36),0),ROUND(PRODUCT(T37,AB7:AB36),1))</f>
        <v>#DIV/0!</v>
      </c>
      <c r="U38" s="3753"/>
      <c r="V38" s="3753" t="e">
        <f>IF(F1="售价",ROUND(PRODUCT(V37,AC7:AC36),0),ROUND(PRODUCT(V37,AC7:AC36),1))</f>
        <v>#DIV/0!</v>
      </c>
      <c r="W38" s="3753"/>
      <c r="X38" s="689"/>
      <c r="Y38" s="689"/>
      <c r="Z38" s="689"/>
      <c r="AA38" s="689"/>
      <c r="AB38" s="689"/>
      <c r="AC38" s="689"/>
    </row>
    <row r="39" spans="1:29" ht="15.75" thickBot="1">
      <c r="A39" s="441" t="s">
        <v>1846</v>
      </c>
      <c r="B39" s="442"/>
      <c r="C39" s="1162" t="e">
        <f>R39</f>
        <v>#DIV/0!</v>
      </c>
      <c r="D39" s="1162"/>
      <c r="E39" s="1162"/>
      <c r="F39" s="1162"/>
      <c r="G39" s="1162"/>
      <c r="H39" s="1162"/>
      <c r="I39" s="1162"/>
      <c r="J39" s="1162"/>
      <c r="K39" s="569"/>
      <c r="L39" s="2721"/>
      <c r="M39" s="2722"/>
      <c r="N39" s="2722"/>
      <c r="O39" s="2722"/>
      <c r="P39" s="3754" t="str">
        <f>A39</f>
        <v>估价对象XX用房的比较价值（楼面单价，元/平方米）</v>
      </c>
      <c r="Q39" s="3755"/>
      <c r="R39" s="3816" t="e">
        <f>IF(F1="售价",ROUND(IF(D38="简单平均",AVERAGE(R38:W38),R38*F38+T38*H38+V38*J38),0),ROUND(IF(D38="简单平均",AVERAGE(R38:V38),R38*F38+T38*H38+V38*J38),1))</f>
        <v>#DIV/0!</v>
      </c>
      <c r="S39" s="3816"/>
      <c r="T39" s="3816"/>
      <c r="U39" s="3816"/>
      <c r="V39" s="3816"/>
      <c r="W39" s="3816"/>
      <c r="X39" s="689"/>
      <c r="Y39" s="689"/>
      <c r="Z39" s="689"/>
      <c r="AA39" s="689"/>
      <c r="AB39" s="689"/>
      <c r="AC39" s="689"/>
    </row>
    <row r="40" spans="1:29">
      <c r="A40" s="2722"/>
      <c r="B40" s="2722"/>
      <c r="C40" s="2722"/>
      <c r="D40" s="2722"/>
      <c r="E40" s="2722"/>
      <c r="F40" s="2722"/>
      <c r="G40" s="2726"/>
      <c r="H40" s="2722"/>
      <c r="I40" s="2722"/>
      <c r="J40" s="2722"/>
      <c r="K40" s="2727"/>
      <c r="L40" s="2723"/>
      <c r="M40" s="2722"/>
      <c r="N40" s="2722"/>
      <c r="O40" s="2722"/>
      <c r="P40" s="2752"/>
      <c r="Q40" s="2722"/>
      <c r="R40" s="2722"/>
      <c r="S40" s="2722"/>
      <c r="T40" s="2722"/>
      <c r="U40" s="2722"/>
      <c r="V40" s="2722"/>
      <c r="W40" s="2722"/>
      <c r="X40" s="2722"/>
      <c r="Y40" s="2722"/>
      <c r="Z40" s="2722"/>
      <c r="AA40" s="2722"/>
      <c r="AB40" s="2722"/>
      <c r="AC40" s="2722"/>
    </row>
    <row r="41" spans="1:29">
      <c r="A41" s="2722"/>
      <c r="B41" s="2722"/>
      <c r="C41" s="2722"/>
      <c r="D41" s="2722"/>
      <c r="E41" s="2722"/>
      <c r="F41" s="2722"/>
      <c r="G41" s="2722"/>
      <c r="H41" s="2722"/>
      <c r="I41" s="2722"/>
      <c r="J41" s="2722"/>
      <c r="K41" s="2727"/>
      <c r="L41" s="2723"/>
      <c r="M41" s="2722"/>
      <c r="N41" s="2722"/>
      <c r="O41" s="2722"/>
      <c r="P41" s="2752"/>
      <c r="Q41" s="2722"/>
      <c r="R41" s="2722"/>
      <c r="S41" s="2722"/>
      <c r="T41" s="2722"/>
      <c r="U41" s="2722"/>
      <c r="V41" s="2722"/>
      <c r="W41" s="2722"/>
      <c r="X41" s="2722"/>
      <c r="Y41" s="2722"/>
      <c r="Z41" s="2722"/>
      <c r="AA41" s="2722"/>
      <c r="AB41" s="2722"/>
      <c r="AC41" s="2722"/>
    </row>
    <row r="42" spans="1:29" ht="13.5" customHeight="1">
      <c r="A42" s="2722"/>
      <c r="B42" s="2722"/>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7"/>
      <c r="L42" s="2723"/>
      <c r="M42" s="2722"/>
      <c r="N42" s="2722"/>
      <c r="O42" s="2722"/>
      <c r="P42" s="2752"/>
      <c r="Q42" s="2722"/>
      <c r="R42" s="2722"/>
      <c r="S42" s="2722"/>
      <c r="T42" s="2722"/>
      <c r="U42" s="2722"/>
      <c r="V42" s="2722"/>
      <c r="W42" s="2722"/>
      <c r="X42" s="2722"/>
      <c r="Y42" s="2722"/>
      <c r="Z42" s="2722"/>
      <c r="AA42" s="2722"/>
      <c r="AB42" s="2722"/>
      <c r="AC42" s="2722"/>
    </row>
    <row r="43" spans="1:29" ht="13.5" customHeight="1">
      <c r="A43" s="2722"/>
      <c r="B43" s="2722"/>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7"/>
      <c r="L43" s="2723"/>
      <c r="M43" s="2722"/>
      <c r="N43" s="2722"/>
      <c r="O43" s="2722"/>
      <c r="P43" s="2752"/>
      <c r="Q43" s="2722"/>
      <c r="R43" s="2722"/>
      <c r="S43" s="2722"/>
      <c r="T43" s="2722"/>
      <c r="U43" s="2722"/>
      <c r="V43" s="2722"/>
      <c r="W43" s="2722"/>
      <c r="X43" s="2722"/>
      <c r="Y43" s="2722"/>
      <c r="Z43" s="2722"/>
      <c r="AA43" s="2722"/>
      <c r="AB43" s="2722"/>
      <c r="AC43" s="2722"/>
    </row>
    <row r="44" spans="1:29" s="451" customFormat="1" ht="13.5" customHeight="1">
      <c r="A44" s="2725"/>
      <c r="B44" s="2725"/>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0"/>
      <c r="L44" s="2724"/>
      <c r="M44" s="2725"/>
      <c r="N44" s="2725"/>
      <c r="O44" s="2725"/>
      <c r="P44" s="2753"/>
      <c r="Q44" s="2725"/>
      <c r="R44" s="2725"/>
      <c r="S44" s="2725"/>
      <c r="T44" s="2725"/>
      <c r="U44" s="2725"/>
      <c r="V44" s="2725"/>
      <c r="W44" s="2725"/>
      <c r="X44" s="2725"/>
      <c r="Y44" s="2725"/>
      <c r="Z44" s="2725"/>
      <c r="AA44" s="2725"/>
      <c r="AB44" s="2725"/>
      <c r="AC44" s="2725"/>
    </row>
    <row r="45" spans="1:29" s="451" customFormat="1">
      <c r="A45" s="2725"/>
      <c r="B45" s="2728"/>
      <c r="C45" s="2729"/>
      <c r="D45" s="2725"/>
      <c r="E45" s="2725"/>
      <c r="F45" s="2725"/>
      <c r="G45" s="2725"/>
      <c r="H45" s="2725"/>
      <c r="I45" s="2725"/>
      <c r="J45" s="2725"/>
      <c r="K45" s="2730"/>
      <c r="L45" s="2724"/>
      <c r="M45" s="2725"/>
      <c r="N45" s="2725"/>
      <c r="O45" s="2725"/>
      <c r="P45" s="2753"/>
      <c r="Q45" s="2725"/>
      <c r="R45" s="2725"/>
      <c r="S45" s="2725"/>
      <c r="T45" s="2725"/>
      <c r="U45" s="2725"/>
      <c r="V45" s="2725"/>
      <c r="W45" s="2725"/>
      <c r="X45" s="2725"/>
      <c r="Y45" s="2725"/>
      <c r="Z45" s="2725"/>
      <c r="AA45" s="2725"/>
      <c r="AB45" s="2725"/>
      <c r="AC45" s="2725"/>
    </row>
    <row r="46" spans="1:29">
      <c r="A46" s="2722"/>
      <c r="B46" s="2728"/>
      <c r="C46" s="2729"/>
      <c r="D46" s="2722"/>
      <c r="E46" s="2722"/>
      <c r="F46" s="2722"/>
      <c r="G46" s="2722"/>
      <c r="H46" s="2722"/>
      <c r="I46" s="2722"/>
      <c r="J46" s="2722"/>
      <c r="K46" s="2727"/>
      <c r="L46" s="2723"/>
      <c r="M46" s="2722"/>
      <c r="N46" s="2722"/>
      <c r="O46" s="2722"/>
      <c r="P46" s="2752"/>
      <c r="Q46" s="2722"/>
      <c r="R46" s="2722"/>
      <c r="S46" s="2722"/>
      <c r="T46" s="2722"/>
      <c r="U46" s="2722"/>
      <c r="V46" s="2722"/>
      <c r="W46" s="2722"/>
      <c r="X46" s="2722"/>
      <c r="Y46" s="2722"/>
      <c r="Z46" s="2722"/>
      <c r="AA46" s="2722"/>
      <c r="AB46" s="2722"/>
      <c r="AC46" s="2722"/>
    </row>
    <row r="47" spans="1:29" ht="21.75" thickBot="1">
      <c r="A47" s="1165" t="s">
        <v>1850</v>
      </c>
      <c r="B47" s="926"/>
      <c r="C47" s="939"/>
      <c r="D47" s="939"/>
      <c r="E47" s="939"/>
      <c r="F47" s="1166"/>
      <c r="G47" s="1166"/>
      <c r="H47" s="939"/>
      <c r="I47" s="939"/>
      <c r="J47" s="939"/>
      <c r="K47" s="940"/>
      <c r="L47" s="941"/>
      <c r="M47" s="939"/>
      <c r="N47" s="2765"/>
      <c r="O47" s="2765"/>
      <c r="P47" s="2754"/>
      <c r="Q47" s="2736"/>
      <c r="R47" s="2722"/>
      <c r="S47" s="2722"/>
      <c r="T47" s="2722"/>
      <c r="U47" s="2722"/>
      <c r="V47" s="2722"/>
      <c r="W47" s="2722"/>
      <c r="X47" s="2722"/>
      <c r="Y47" s="2722"/>
      <c r="Z47" s="2722"/>
      <c r="AA47" s="2722"/>
      <c r="AB47" s="2722"/>
      <c r="AC47" s="2722"/>
    </row>
    <row r="48" spans="1:29" s="457" customFormat="1" ht="15">
      <c r="A48" s="454" t="s">
        <v>1851</v>
      </c>
      <c r="B48" s="455"/>
      <c r="C48" s="1182" t="str">
        <f>YEAR(C7)&amp;"-"&amp;MONTH(C7)</f>
        <v>2023-5</v>
      </c>
      <c r="D48" s="1183">
        <f>EDATE(C48,-1)</f>
        <v>45017</v>
      </c>
      <c r="E48" s="1183">
        <f t="shared" ref="E48:O48" si="16">EDATE(D48,-1)</f>
        <v>44986</v>
      </c>
      <c r="F48" s="1183">
        <f t="shared" si="16"/>
        <v>44958</v>
      </c>
      <c r="G48" s="1183">
        <f t="shared" si="16"/>
        <v>44927</v>
      </c>
      <c r="H48" s="1183">
        <f t="shared" si="16"/>
        <v>44896</v>
      </c>
      <c r="I48" s="1183">
        <f t="shared" si="16"/>
        <v>44866</v>
      </c>
      <c r="J48" s="1183">
        <f t="shared" si="16"/>
        <v>44835</v>
      </c>
      <c r="K48" s="1183">
        <f t="shared" si="16"/>
        <v>44805</v>
      </c>
      <c r="L48" s="1183">
        <f t="shared" si="16"/>
        <v>44774</v>
      </c>
      <c r="M48" s="1183">
        <f t="shared" si="16"/>
        <v>44743</v>
      </c>
      <c r="N48" s="1183">
        <f t="shared" si="16"/>
        <v>44713</v>
      </c>
      <c r="O48" s="1183">
        <f t="shared" si="16"/>
        <v>44682</v>
      </c>
      <c r="P48" s="2755"/>
      <c r="Q48" s="2737"/>
      <c r="R48" s="2737"/>
      <c r="S48" s="2737"/>
      <c r="T48" s="2737"/>
      <c r="U48" s="2737"/>
      <c r="V48" s="2737"/>
      <c r="W48" s="2737"/>
      <c r="X48" s="2737"/>
      <c r="Y48" s="2737"/>
      <c r="Z48" s="2737"/>
      <c r="AA48" s="2737"/>
      <c r="AB48" s="2737"/>
      <c r="AC48" s="2737"/>
    </row>
    <row r="49" spans="1:29" s="108" customFormat="1" ht="15">
      <c r="A49" s="458"/>
      <c r="B49" s="459"/>
      <c r="C49" s="1176">
        <v>100</v>
      </c>
      <c r="D49" s="461"/>
      <c r="E49" s="461"/>
      <c r="F49" s="461"/>
      <c r="G49" s="461"/>
      <c r="H49" s="461"/>
      <c r="I49" s="461"/>
      <c r="J49" s="461"/>
      <c r="K49" s="461"/>
      <c r="L49" s="461"/>
      <c r="M49" s="462"/>
      <c r="N49" s="461"/>
      <c r="O49" s="462"/>
      <c r="P49" s="2756"/>
      <c r="Q49" s="2658"/>
      <c r="R49" s="2658"/>
      <c r="S49" s="2658"/>
      <c r="T49" s="2658"/>
      <c r="U49" s="2658"/>
      <c r="V49" s="2658"/>
      <c r="W49" s="2658"/>
      <c r="X49" s="2658"/>
      <c r="Y49" s="2658"/>
      <c r="Z49" s="2658"/>
      <c r="AA49" s="2658"/>
      <c r="AB49" s="2658"/>
      <c r="AC49" s="2658"/>
    </row>
    <row r="50" spans="1:29" s="108" customFormat="1" ht="15.75" thickBot="1">
      <c r="A50" s="464" t="s">
        <v>1716</v>
      </c>
      <c r="B50" s="465"/>
      <c r="C50" s="466"/>
      <c r="D50" s="467"/>
      <c r="E50" s="467"/>
      <c r="F50" s="467"/>
      <c r="G50" s="467"/>
      <c r="H50" s="467"/>
      <c r="I50" s="467"/>
      <c r="J50" s="467"/>
      <c r="K50" s="467"/>
      <c r="L50" s="467"/>
      <c r="M50" s="468"/>
      <c r="N50" s="467"/>
      <c r="O50" s="468"/>
      <c r="P50" s="2756"/>
      <c r="Q50" s="2736"/>
      <c r="R50" s="2658"/>
      <c r="S50" s="2658"/>
      <c r="T50" s="2658"/>
      <c r="U50" s="2658"/>
      <c r="V50" s="2658"/>
      <c r="W50" s="2658"/>
      <c r="X50" s="2658"/>
      <c r="Y50" s="2658"/>
      <c r="Z50" s="2658"/>
      <c r="AA50" s="2658"/>
      <c r="AB50" s="2658"/>
      <c r="AC50" s="2658"/>
    </row>
    <row r="51" spans="1:29" s="108" customFormat="1" ht="15">
      <c r="A51" s="470" t="s">
        <v>1681</v>
      </c>
      <c r="B51" s="459"/>
      <c r="C51" s="471" t="s">
        <v>1776</v>
      </c>
      <c r="D51" s="472"/>
      <c r="E51" s="472"/>
      <c r="F51" s="472"/>
      <c r="G51" s="472"/>
      <c r="H51" s="472"/>
      <c r="I51" s="472"/>
      <c r="J51" s="472"/>
      <c r="K51" s="472"/>
      <c r="L51" s="473"/>
      <c r="M51" s="474"/>
      <c r="N51" s="2748"/>
      <c r="O51" s="2748"/>
      <c r="P51" s="2757"/>
      <c r="Q51" s="2736"/>
      <c r="R51" s="2658"/>
      <c r="S51" s="2658"/>
      <c r="T51" s="2658"/>
      <c r="U51" s="2658"/>
      <c r="V51" s="2658"/>
      <c r="W51" s="2658"/>
      <c r="X51" s="2658"/>
      <c r="Y51" s="2658"/>
      <c r="Z51" s="2658"/>
      <c r="AA51" s="2658"/>
      <c r="AB51" s="2658"/>
      <c r="AC51" s="2658"/>
    </row>
    <row r="52" spans="1:29" s="108" customFormat="1" ht="15.75" thickBot="1">
      <c r="A52" s="470"/>
      <c r="B52" s="459"/>
      <c r="C52" s="587">
        <v>100</v>
      </c>
      <c r="D52" s="461"/>
      <c r="E52" s="461"/>
      <c r="F52" s="461"/>
      <c r="G52" s="461"/>
      <c r="H52" s="461"/>
      <c r="I52" s="461"/>
      <c r="J52" s="461"/>
      <c r="K52" s="461"/>
      <c r="L52" s="461"/>
      <c r="M52" s="463"/>
      <c r="N52" s="2748"/>
      <c r="O52" s="2748"/>
      <c r="P52" s="2756"/>
      <c r="Q52" s="2736"/>
      <c r="R52" s="2658"/>
      <c r="S52" s="2658"/>
      <c r="T52" s="2658"/>
      <c r="U52" s="2658"/>
      <c r="V52" s="2658"/>
      <c r="W52" s="2658"/>
      <c r="X52" s="2658"/>
      <c r="Y52" s="2658"/>
      <c r="Z52" s="2658"/>
      <c r="AA52" s="2658"/>
      <c r="AB52" s="2658"/>
      <c r="AC52" s="2658"/>
    </row>
    <row r="53" spans="1:29">
      <c r="A53" s="476" t="s">
        <v>1719</v>
      </c>
      <c r="B53" s="477" t="s">
        <v>1685</v>
      </c>
      <c r="C53" s="478">
        <f>C9</f>
        <v>0</v>
      </c>
      <c r="D53" s="479"/>
      <c r="E53" s="479"/>
      <c r="F53" s="479"/>
      <c r="G53" s="479"/>
      <c r="H53" s="479"/>
      <c r="I53" s="479"/>
      <c r="J53" s="479"/>
      <c r="K53" s="480"/>
      <c r="L53" s="481"/>
      <c r="M53" s="482"/>
      <c r="N53" s="2749"/>
      <c r="O53" s="2749"/>
      <c r="P53" s="2758"/>
      <c r="Q53" s="2736"/>
      <c r="R53" s="2722"/>
      <c r="S53" s="2722"/>
      <c r="T53" s="2722"/>
      <c r="U53" s="2722"/>
      <c r="V53" s="2722"/>
      <c r="W53" s="2722"/>
      <c r="X53" s="2722"/>
      <c r="Y53" s="2722"/>
      <c r="Z53" s="2722"/>
      <c r="AA53" s="2722"/>
      <c r="AB53" s="2722"/>
      <c r="AC53" s="2722"/>
    </row>
    <row r="54" spans="1:29" ht="15.75" thickBot="1">
      <c r="A54" s="483"/>
      <c r="B54" s="484"/>
      <c r="C54" s="485">
        <v>100</v>
      </c>
      <c r="D54" s="485"/>
      <c r="E54" s="485"/>
      <c r="F54" s="485"/>
      <c r="G54" s="485"/>
      <c r="H54" s="485"/>
      <c r="I54" s="485"/>
      <c r="J54" s="485"/>
      <c r="K54" s="485"/>
      <c r="L54" s="485"/>
      <c r="M54" s="486"/>
      <c r="N54" s="2750"/>
      <c r="O54" s="2750"/>
      <c r="P54" s="2758"/>
      <c r="Q54" s="2736"/>
      <c r="R54" s="2722"/>
      <c r="S54" s="2722"/>
      <c r="T54" s="2722"/>
      <c r="U54" s="2722"/>
      <c r="V54" s="2722"/>
      <c r="W54" s="2722"/>
      <c r="X54" s="2722"/>
      <c r="Y54" s="2722"/>
      <c r="Z54" s="2722"/>
      <c r="AA54" s="2722"/>
      <c r="AB54" s="2722"/>
      <c r="AC54" s="2722"/>
    </row>
    <row r="55" spans="1:29" ht="27.75" thickTop="1">
      <c r="A55" s="483"/>
      <c r="B55" s="487" t="s">
        <v>1688</v>
      </c>
      <c r="C55" s="532"/>
      <c r="D55" s="532"/>
      <c r="E55" s="532"/>
      <c r="F55" s="532"/>
      <c r="G55" s="532"/>
      <c r="H55" s="532"/>
      <c r="I55" s="532"/>
      <c r="J55" s="532"/>
      <c r="K55" s="533"/>
      <c r="L55" s="534"/>
      <c r="M55" s="535"/>
      <c r="N55" s="2749"/>
      <c r="O55" s="2749"/>
      <c r="P55" s="2758"/>
      <c r="Q55" s="2736"/>
      <c r="R55" s="2722"/>
      <c r="S55" s="2722"/>
      <c r="T55" s="2722"/>
      <c r="U55" s="2722"/>
      <c r="V55" s="2722"/>
      <c r="W55" s="2722"/>
      <c r="X55" s="2722"/>
      <c r="Y55" s="2722"/>
      <c r="Z55" s="2722"/>
      <c r="AA55" s="2722"/>
      <c r="AB55" s="2722"/>
      <c r="AC55" s="2722"/>
    </row>
    <row r="56" spans="1:29" ht="15.75" thickBot="1">
      <c r="A56" s="483"/>
      <c r="B56" s="492"/>
      <c r="C56" s="485"/>
      <c r="D56" s="485"/>
      <c r="E56" s="485"/>
      <c r="F56" s="485"/>
      <c r="G56" s="485"/>
      <c r="H56" s="485"/>
      <c r="I56" s="485"/>
      <c r="J56" s="485"/>
      <c r="K56" s="485"/>
      <c r="L56" s="485"/>
      <c r="M56" s="486"/>
      <c r="N56" s="2750"/>
      <c r="O56" s="2750"/>
      <c r="P56" s="2758"/>
      <c r="Q56" s="2736"/>
      <c r="R56" s="2722"/>
      <c r="S56" s="2722"/>
      <c r="T56" s="2722"/>
      <c r="U56" s="2722"/>
      <c r="V56" s="2722"/>
      <c r="W56" s="2722"/>
      <c r="X56" s="2722"/>
      <c r="Y56" s="2722"/>
      <c r="Z56" s="2722"/>
      <c r="AA56" s="2722"/>
      <c r="AB56" s="2722"/>
      <c r="AC56" s="2722"/>
    </row>
    <row r="57" spans="1:29" ht="15.75" thickTop="1">
      <c r="A57" s="483"/>
      <c r="B57" s="608">
        <f>B11</f>
        <v>111</v>
      </c>
      <c r="C57" s="498"/>
      <c r="D57" s="498"/>
      <c r="E57" s="498"/>
      <c r="F57" s="498"/>
      <c r="G57" s="498"/>
      <c r="H57" s="498"/>
      <c r="I57" s="498"/>
      <c r="J57" s="498"/>
      <c r="K57" s="499"/>
      <c r="L57" s="500"/>
      <c r="M57" s="501"/>
      <c r="N57" s="2749"/>
      <c r="O57" s="2749"/>
      <c r="P57" s="2758"/>
      <c r="Q57" s="2736"/>
      <c r="R57" s="2722"/>
      <c r="S57" s="2722"/>
      <c r="T57" s="2722"/>
      <c r="U57" s="2722"/>
      <c r="V57" s="2722"/>
      <c r="W57" s="2722"/>
      <c r="X57" s="2722"/>
      <c r="Y57" s="2722"/>
      <c r="Z57" s="2722"/>
      <c r="AA57" s="2722"/>
      <c r="AB57" s="2722"/>
      <c r="AC57" s="2722"/>
    </row>
    <row r="58" spans="1:29" ht="15.75" thickBot="1">
      <c r="A58" s="483"/>
      <c r="B58" s="484"/>
      <c r="C58" s="509"/>
      <c r="D58" s="485"/>
      <c r="E58" s="485"/>
      <c r="F58" s="485"/>
      <c r="G58" s="485"/>
      <c r="H58" s="485"/>
      <c r="I58" s="485"/>
      <c r="J58" s="485"/>
      <c r="K58" s="485"/>
      <c r="L58" s="485"/>
      <c r="M58" s="486"/>
      <c r="N58" s="2750"/>
      <c r="O58" s="2750"/>
      <c r="P58" s="2758"/>
      <c r="Q58" s="2736"/>
      <c r="R58" s="2722"/>
      <c r="S58" s="2722"/>
      <c r="T58" s="2722"/>
      <c r="U58" s="2722"/>
      <c r="V58" s="2722"/>
      <c r="W58" s="2722"/>
      <c r="X58" s="2722"/>
      <c r="Y58" s="2722"/>
      <c r="Z58" s="2722"/>
      <c r="AA58" s="2722"/>
      <c r="AB58" s="2722"/>
      <c r="AC58" s="2722"/>
    </row>
    <row r="59" spans="1:29" s="422" customFormat="1" ht="15.75" thickTop="1">
      <c r="A59" s="502"/>
      <c r="B59" s="487">
        <f>B12</f>
        <v>111</v>
      </c>
      <c r="C59" s="498"/>
      <c r="D59" s="498"/>
      <c r="E59" s="498"/>
      <c r="F59" s="498"/>
      <c r="G59" s="503"/>
      <c r="H59" s="504"/>
      <c r="I59" s="504"/>
      <c r="J59" s="504"/>
      <c r="K59" s="504"/>
      <c r="L59" s="505"/>
      <c r="M59" s="506"/>
      <c r="N59" s="2751"/>
      <c r="O59" s="2751"/>
      <c r="P59" s="2759"/>
      <c r="Q59" s="2742"/>
      <c r="R59" s="2743"/>
      <c r="S59" s="2743"/>
      <c r="T59" s="2743"/>
      <c r="U59" s="2743"/>
      <c r="V59" s="2743"/>
      <c r="W59" s="2743"/>
      <c r="X59" s="2743"/>
      <c r="Y59" s="2743"/>
      <c r="Z59" s="2743"/>
      <c r="AA59" s="2743"/>
      <c r="AB59" s="2743"/>
      <c r="AC59" s="2743"/>
    </row>
    <row r="60" spans="1:29" s="422" customFormat="1" ht="15.75" thickBot="1">
      <c r="A60" s="502"/>
      <c r="B60" s="492"/>
      <c r="C60" s="509"/>
      <c r="D60" s="485"/>
      <c r="E60" s="485"/>
      <c r="F60" s="485"/>
      <c r="G60" s="485"/>
      <c r="H60" s="485"/>
      <c r="I60" s="485"/>
      <c r="J60" s="485"/>
      <c r="K60" s="485"/>
      <c r="L60" s="485"/>
      <c r="M60" s="486"/>
      <c r="N60" s="2750"/>
      <c r="O60" s="2750"/>
      <c r="P60" s="2759"/>
      <c r="Q60" s="2742"/>
      <c r="R60" s="2743"/>
      <c r="S60" s="2743"/>
      <c r="T60" s="2743"/>
      <c r="U60" s="2743"/>
      <c r="V60" s="2743"/>
      <c r="W60" s="2743"/>
      <c r="X60" s="2743"/>
      <c r="Y60" s="2743"/>
      <c r="Z60" s="2743"/>
      <c r="AA60" s="2743"/>
      <c r="AB60" s="2743"/>
      <c r="AC60" s="2743"/>
    </row>
    <row r="61" spans="1:29" s="422" customFormat="1" ht="15.75" thickTop="1">
      <c r="A61" s="502"/>
      <c r="B61" s="487">
        <f>B13</f>
        <v>111</v>
      </c>
      <c r="C61" s="503"/>
      <c r="D61" s="503"/>
      <c r="E61" s="503"/>
      <c r="F61" s="503"/>
      <c r="G61" s="503"/>
      <c r="H61" s="504"/>
      <c r="I61" s="504"/>
      <c r="J61" s="504"/>
      <c r="K61" s="504"/>
      <c r="L61" s="505"/>
      <c r="M61" s="506"/>
      <c r="N61" s="2751"/>
      <c r="O61" s="2751"/>
      <c r="P61" s="2760"/>
      <c r="Q61" s="2745"/>
      <c r="R61" s="2743"/>
      <c r="S61" s="2743"/>
      <c r="T61" s="2743"/>
      <c r="U61" s="2743"/>
      <c r="V61" s="2743"/>
      <c r="W61" s="2743"/>
      <c r="X61" s="2743"/>
      <c r="Y61" s="2743"/>
      <c r="Z61" s="2743"/>
      <c r="AA61" s="2743"/>
      <c r="AB61" s="2743"/>
      <c r="AC61" s="2743"/>
    </row>
    <row r="62" spans="1:29" s="422" customFormat="1" ht="15.75" thickBot="1">
      <c r="A62" s="502"/>
      <c r="B62" s="492"/>
      <c r="C62" s="509"/>
      <c r="D62" s="509"/>
      <c r="E62" s="509"/>
      <c r="F62" s="509"/>
      <c r="G62" s="509"/>
      <c r="H62" s="511"/>
      <c r="I62" s="511"/>
      <c r="J62" s="511"/>
      <c r="K62" s="511"/>
      <c r="L62" s="511"/>
      <c r="M62" s="512"/>
      <c r="N62" s="2751"/>
      <c r="O62" s="2751"/>
      <c r="P62" s="2759"/>
      <c r="Q62" s="2742"/>
      <c r="R62" s="2743"/>
      <c r="S62" s="2743"/>
      <c r="T62" s="2743"/>
      <c r="U62" s="2743"/>
      <c r="V62" s="2743"/>
      <c r="W62" s="2743"/>
      <c r="X62" s="2743"/>
      <c r="Y62" s="2743"/>
      <c r="Z62" s="2743"/>
      <c r="AA62" s="2743"/>
      <c r="AB62" s="2743"/>
      <c r="AC62" s="2743"/>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49"/>
      <c r="O63" s="2749"/>
      <c r="P63" s="2762"/>
      <c r="Q63" s="2736"/>
      <c r="R63" s="2722"/>
      <c r="S63" s="2722"/>
      <c r="T63" s="2722"/>
      <c r="U63" s="2722"/>
      <c r="V63" s="2722"/>
      <c r="W63" s="2722"/>
      <c r="X63" s="2722"/>
      <c r="Y63" s="2722"/>
      <c r="Z63" s="2722"/>
      <c r="AA63" s="2722"/>
      <c r="AB63" s="2722"/>
      <c r="AC63" s="2722"/>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0"/>
      <c r="O64" s="2750"/>
      <c r="P64" s="2758"/>
      <c r="Q64" s="2736"/>
      <c r="R64" s="2722"/>
      <c r="S64" s="2722"/>
      <c r="T64" s="2722"/>
      <c r="U64" s="2722"/>
      <c r="V64" s="2722"/>
      <c r="W64" s="2722"/>
      <c r="X64" s="2722"/>
      <c r="Y64" s="2722"/>
      <c r="Z64" s="2722"/>
      <c r="AA64" s="2722"/>
      <c r="AB64" s="2722"/>
      <c r="AC64" s="2722"/>
    </row>
    <row r="65" spans="1:29" ht="15.75" thickTop="1">
      <c r="A65" s="483"/>
      <c r="B65" s="487" t="s">
        <v>1727</v>
      </c>
      <c r="C65" s="527" t="s">
        <v>1721</v>
      </c>
      <c r="D65" s="527" t="s">
        <v>1722</v>
      </c>
      <c r="E65" s="527" t="s">
        <v>1723</v>
      </c>
      <c r="F65" s="527" t="s">
        <v>1724</v>
      </c>
      <c r="G65" s="527" t="s">
        <v>1725</v>
      </c>
      <c r="H65" s="488"/>
      <c r="I65" s="488"/>
      <c r="J65" s="488"/>
      <c r="K65" s="489"/>
      <c r="L65" s="490"/>
      <c r="M65" s="491"/>
      <c r="N65" s="2749"/>
      <c r="O65" s="2749"/>
      <c r="P65" s="2758"/>
      <c r="Q65" s="2736"/>
      <c r="R65" s="2722"/>
      <c r="S65" s="2722"/>
      <c r="T65" s="2722"/>
      <c r="U65" s="2722"/>
      <c r="V65" s="2722"/>
      <c r="W65" s="2722"/>
      <c r="X65" s="2722"/>
      <c r="Y65" s="2722"/>
      <c r="Z65" s="2722"/>
      <c r="AA65" s="2722"/>
      <c r="AB65" s="2722"/>
      <c r="AC65" s="2722"/>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0"/>
      <c r="O66" s="2750"/>
      <c r="P66" s="2758"/>
      <c r="Q66" s="2736"/>
      <c r="R66" s="2722"/>
      <c r="S66" s="2722"/>
      <c r="T66" s="2722"/>
      <c r="U66" s="2722"/>
      <c r="V66" s="2722"/>
      <c r="W66" s="2722"/>
      <c r="X66" s="2722"/>
      <c r="Y66" s="2722"/>
      <c r="Z66" s="2722"/>
      <c r="AA66" s="2722"/>
      <c r="AB66" s="2722"/>
      <c r="AC66" s="2722"/>
    </row>
    <row r="67" spans="1:29" ht="15.75" thickTop="1">
      <c r="A67" s="483"/>
      <c r="B67" s="495" t="s">
        <v>1813</v>
      </c>
      <c r="C67" s="608" t="s">
        <v>1799</v>
      </c>
      <c r="D67" s="608" t="s">
        <v>1800</v>
      </c>
      <c r="E67" s="608" t="s">
        <v>1801</v>
      </c>
      <c r="F67" s="608" t="s">
        <v>1802</v>
      </c>
      <c r="G67" s="608" t="s">
        <v>1803</v>
      </c>
      <c r="H67" s="488"/>
      <c r="I67" s="488"/>
      <c r="J67" s="488"/>
      <c r="K67" s="488"/>
      <c r="L67" s="488"/>
      <c r="M67" s="1128"/>
      <c r="N67" s="2750"/>
      <c r="O67" s="2750"/>
      <c r="P67" s="2758"/>
      <c r="Q67" s="2736"/>
      <c r="R67" s="2722"/>
      <c r="S67" s="2722"/>
      <c r="T67" s="2722"/>
      <c r="U67" s="2722"/>
      <c r="V67" s="2722"/>
      <c r="W67" s="2722"/>
      <c r="X67" s="2722"/>
      <c r="Y67" s="2722"/>
      <c r="Z67" s="2722"/>
      <c r="AA67" s="2722"/>
      <c r="AB67" s="2722"/>
      <c r="AC67" s="2722"/>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0"/>
      <c r="O68" s="2750"/>
      <c r="P68" s="2758"/>
      <c r="Q68" s="2736"/>
      <c r="R68" s="2722"/>
      <c r="S68" s="2722"/>
      <c r="T68" s="2722"/>
      <c r="U68" s="2722"/>
      <c r="V68" s="2722"/>
      <c r="W68" s="2722"/>
      <c r="X68" s="2722"/>
      <c r="Y68" s="2722"/>
      <c r="Z68" s="2722"/>
      <c r="AA68" s="2722"/>
      <c r="AB68" s="2722"/>
      <c r="AC68" s="2722"/>
    </row>
    <row r="69" spans="1:29" ht="15.75" thickTop="1">
      <c r="A69" s="483"/>
      <c r="B69" s="487" t="s">
        <v>1733</v>
      </c>
      <c r="C69" s="527" t="s">
        <v>1721</v>
      </c>
      <c r="D69" s="527" t="s">
        <v>1722</v>
      </c>
      <c r="E69" s="527" t="s">
        <v>1723</v>
      </c>
      <c r="F69" s="527" t="s">
        <v>1724</v>
      </c>
      <c r="G69" s="527" t="s">
        <v>1725</v>
      </c>
      <c r="H69" s="488"/>
      <c r="I69" s="488"/>
      <c r="J69" s="488"/>
      <c r="K69" s="489"/>
      <c r="L69" s="490"/>
      <c r="M69" s="491"/>
      <c r="N69" s="2749"/>
      <c r="O69" s="2749"/>
      <c r="P69" s="2758"/>
      <c r="Q69" s="2736"/>
      <c r="R69" s="2722"/>
      <c r="S69" s="2722"/>
      <c r="T69" s="2722"/>
      <c r="U69" s="2722"/>
      <c r="V69" s="2722"/>
      <c r="W69" s="2722"/>
      <c r="X69" s="2722"/>
      <c r="Y69" s="2722"/>
      <c r="Z69" s="2722"/>
      <c r="AA69" s="2722"/>
      <c r="AB69" s="2722"/>
      <c r="AC69" s="2722"/>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0"/>
      <c r="O70" s="2750"/>
      <c r="P70" s="2758"/>
      <c r="Q70" s="2736"/>
      <c r="R70" s="2722"/>
      <c r="S70" s="2722"/>
      <c r="T70" s="2722"/>
      <c r="U70" s="2722"/>
      <c r="V70" s="2722"/>
      <c r="W70" s="2722"/>
      <c r="X70" s="2722"/>
      <c r="Y70" s="2722"/>
      <c r="Z70" s="2722"/>
      <c r="AA70" s="2722"/>
      <c r="AB70" s="2722"/>
      <c r="AC70" s="2722"/>
    </row>
    <row r="71" spans="1:29" ht="15.75" thickTop="1">
      <c r="A71" s="483"/>
      <c r="B71" s="487" t="s">
        <v>1852</v>
      </c>
      <c r="C71" s="503"/>
      <c r="D71" s="503"/>
      <c r="E71" s="503"/>
      <c r="F71" s="503"/>
      <c r="G71" s="503"/>
      <c r="H71" s="532"/>
      <c r="I71" s="532"/>
      <c r="J71" s="532"/>
      <c r="K71" s="533"/>
      <c r="L71" s="534"/>
      <c r="M71" s="535"/>
      <c r="N71" s="2749"/>
      <c r="O71" s="2749"/>
      <c r="P71" s="2758"/>
      <c r="Q71" s="2736"/>
      <c r="R71" s="2722"/>
      <c r="S71" s="2722"/>
      <c r="T71" s="2722"/>
      <c r="U71" s="2722"/>
      <c r="V71" s="2722"/>
      <c r="W71" s="2722"/>
      <c r="X71" s="2722"/>
      <c r="Y71" s="2722"/>
      <c r="Z71" s="2722"/>
      <c r="AA71" s="2722"/>
      <c r="AB71" s="2722"/>
      <c r="AC71" s="2722"/>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0"/>
      <c r="O72" s="2750"/>
      <c r="P72" s="2758"/>
      <c r="Q72" s="2736"/>
      <c r="R72" s="2722"/>
      <c r="S72" s="2722"/>
      <c r="T72" s="2722"/>
      <c r="U72" s="2722"/>
      <c r="V72" s="2722"/>
      <c r="W72" s="2722"/>
      <c r="X72" s="2722"/>
      <c r="Y72" s="2722"/>
      <c r="Z72" s="2722"/>
      <c r="AA72" s="2722"/>
      <c r="AB72" s="2722"/>
      <c r="AC72" s="2722"/>
    </row>
    <row r="73" spans="1:29" s="108" customFormat="1" ht="15.75" thickTop="1">
      <c r="A73" s="528"/>
      <c r="B73" s="487">
        <f>B23</f>
        <v>111</v>
      </c>
      <c r="C73" s="498"/>
      <c r="D73" s="498"/>
      <c r="E73" s="498"/>
      <c r="F73" s="498"/>
      <c r="G73" s="503"/>
      <c r="H73" s="503"/>
      <c r="I73" s="503"/>
      <c r="J73" s="503"/>
      <c r="K73" s="503"/>
      <c r="L73" s="529"/>
      <c r="M73" s="530"/>
      <c r="N73" s="2748"/>
      <c r="O73" s="2748"/>
      <c r="P73" s="2758"/>
      <c r="Q73" s="2736"/>
      <c r="R73" s="2658"/>
      <c r="S73" s="2658"/>
      <c r="T73" s="2658"/>
      <c r="U73" s="2658"/>
      <c r="V73" s="2658"/>
      <c r="W73" s="2658"/>
      <c r="X73" s="2658"/>
      <c r="Y73" s="2658"/>
      <c r="Z73" s="2658"/>
      <c r="AA73" s="2658"/>
      <c r="AB73" s="2658"/>
      <c r="AC73" s="2658"/>
    </row>
    <row r="74" spans="1:29" s="108" customFormat="1" ht="15.75" thickBot="1">
      <c r="A74" s="528"/>
      <c r="B74" s="492"/>
      <c r="C74" s="509"/>
      <c r="D74" s="485"/>
      <c r="E74" s="485"/>
      <c r="F74" s="485"/>
      <c r="G74" s="485"/>
      <c r="H74" s="485"/>
      <c r="I74" s="485"/>
      <c r="J74" s="485"/>
      <c r="K74" s="485"/>
      <c r="L74" s="485"/>
      <c r="M74" s="486"/>
      <c r="N74" s="2750"/>
      <c r="O74" s="2750"/>
      <c r="P74" s="2758"/>
      <c r="Q74" s="2736"/>
      <c r="R74" s="2658"/>
      <c r="S74" s="2658"/>
      <c r="T74" s="2658"/>
      <c r="U74" s="2658"/>
      <c r="V74" s="2658"/>
      <c r="W74" s="2658"/>
      <c r="X74" s="2658"/>
      <c r="Y74" s="2658"/>
      <c r="Z74" s="2658"/>
      <c r="AA74" s="2658"/>
      <c r="AB74" s="2658"/>
      <c r="AC74" s="2658"/>
    </row>
    <row r="75" spans="1:29" s="108" customFormat="1" ht="15.75" thickTop="1">
      <c r="A75" s="528"/>
      <c r="B75" s="487">
        <f>B24</f>
        <v>111</v>
      </c>
      <c r="C75" s="498"/>
      <c r="D75" s="498"/>
      <c r="E75" s="498"/>
      <c r="F75" s="498"/>
      <c r="G75" s="503"/>
      <c r="H75" s="503"/>
      <c r="I75" s="503"/>
      <c r="J75" s="503"/>
      <c r="K75" s="503"/>
      <c r="L75" s="503"/>
      <c r="M75" s="530"/>
      <c r="N75" s="2748"/>
      <c r="O75" s="2748"/>
      <c r="P75" s="2758"/>
      <c r="Q75" s="2736"/>
      <c r="R75" s="2658"/>
      <c r="S75" s="2658"/>
      <c r="T75" s="2658"/>
      <c r="U75" s="2658"/>
      <c r="V75" s="2658"/>
      <c r="W75" s="2658"/>
      <c r="X75" s="2658"/>
      <c r="Y75" s="2658"/>
      <c r="Z75" s="2658"/>
      <c r="AA75" s="2658"/>
      <c r="AB75" s="2658"/>
      <c r="AC75" s="2658"/>
    </row>
    <row r="76" spans="1:29" s="108" customFormat="1" ht="15.75" thickBot="1">
      <c r="A76" s="528"/>
      <c r="B76" s="492"/>
      <c r="C76" s="509"/>
      <c r="D76" s="485"/>
      <c r="E76" s="485"/>
      <c r="F76" s="485"/>
      <c r="G76" s="485"/>
      <c r="H76" s="485"/>
      <c r="I76" s="485"/>
      <c r="J76" s="485"/>
      <c r="K76" s="485"/>
      <c r="L76" s="485"/>
      <c r="M76" s="486"/>
      <c r="N76" s="2750"/>
      <c r="O76" s="2750"/>
      <c r="P76" s="2758"/>
      <c r="Q76" s="2736"/>
      <c r="R76" s="2658"/>
      <c r="S76" s="2658"/>
      <c r="T76" s="2658"/>
      <c r="U76" s="2658"/>
      <c r="V76" s="2658"/>
      <c r="W76" s="2658"/>
      <c r="X76" s="2658"/>
      <c r="Y76" s="2658"/>
      <c r="Z76" s="2658"/>
      <c r="AA76" s="2658"/>
      <c r="AB76" s="2658"/>
      <c r="AC76" s="2658"/>
    </row>
    <row r="77" spans="1:29" s="422" customFormat="1" ht="15.75" thickTop="1">
      <c r="A77" s="502"/>
      <c r="B77" s="487">
        <f>B25</f>
        <v>111</v>
      </c>
      <c r="C77" s="503"/>
      <c r="D77" s="503"/>
      <c r="E77" s="503"/>
      <c r="F77" s="503"/>
      <c r="G77" s="503"/>
      <c r="H77" s="504"/>
      <c r="I77" s="504"/>
      <c r="J77" s="504"/>
      <c r="K77" s="504"/>
      <c r="L77" s="505"/>
      <c r="M77" s="506"/>
      <c r="N77" s="2751"/>
      <c r="O77" s="2751"/>
      <c r="P77" s="2759"/>
      <c r="Q77" s="2742"/>
      <c r="R77" s="2743"/>
      <c r="S77" s="2743"/>
      <c r="T77" s="2743"/>
      <c r="U77" s="2743"/>
      <c r="V77" s="2743"/>
      <c r="W77" s="2743"/>
      <c r="X77" s="2743"/>
      <c r="Y77" s="2743"/>
      <c r="Z77" s="2743"/>
      <c r="AA77" s="2743"/>
      <c r="AB77" s="2743"/>
      <c r="AC77" s="2743"/>
    </row>
    <row r="78" spans="1:29" s="422" customFormat="1" ht="15.75" thickBot="1">
      <c r="A78" s="502"/>
      <c r="B78" s="492"/>
      <c r="C78" s="509"/>
      <c r="D78" s="509"/>
      <c r="E78" s="509"/>
      <c r="F78" s="509"/>
      <c r="G78" s="485"/>
      <c r="H78" s="485"/>
      <c r="I78" s="485"/>
      <c r="J78" s="485"/>
      <c r="K78" s="485"/>
      <c r="L78" s="485"/>
      <c r="M78" s="486"/>
      <c r="N78" s="2751"/>
      <c r="O78" s="2751"/>
      <c r="P78" s="2759"/>
      <c r="Q78" s="2742"/>
      <c r="R78" s="2743"/>
      <c r="S78" s="2743"/>
      <c r="T78" s="2743"/>
      <c r="U78" s="2743"/>
      <c r="V78" s="2743"/>
      <c r="W78" s="2743"/>
      <c r="X78" s="2743"/>
      <c r="Y78" s="2743"/>
      <c r="Z78" s="2743"/>
      <c r="AA78" s="2743"/>
      <c r="AB78" s="2743"/>
      <c r="AC78" s="2743"/>
    </row>
    <row r="79" spans="1:29" ht="27.75" thickTop="1">
      <c r="A79" s="476" t="s">
        <v>1694</v>
      </c>
      <c r="B79" s="477" t="s">
        <v>1853</v>
      </c>
      <c r="C79" s="478" t="str">
        <f>C26</f>
        <v>车库</v>
      </c>
      <c r="D79" s="479"/>
      <c r="E79" s="479"/>
      <c r="F79" s="479"/>
      <c r="G79" s="479"/>
      <c r="H79" s="479"/>
      <c r="I79" s="479"/>
      <c r="J79" s="479"/>
      <c r="K79" s="480"/>
      <c r="L79" s="481"/>
      <c r="M79" s="482"/>
      <c r="N79" s="2749"/>
      <c r="O79" s="2749"/>
      <c r="P79" s="2758"/>
      <c r="Q79" s="2736"/>
      <c r="R79" s="2722"/>
      <c r="S79" s="2722"/>
      <c r="T79" s="2722"/>
      <c r="U79" s="2722"/>
      <c r="V79" s="2722"/>
      <c r="W79" s="2722"/>
      <c r="X79" s="2722"/>
      <c r="Y79" s="2722"/>
      <c r="Z79" s="2722"/>
      <c r="AA79" s="2722"/>
      <c r="AB79" s="2722"/>
      <c r="AC79" s="2722"/>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0"/>
      <c r="O80" s="2750"/>
      <c r="P80" s="2758"/>
      <c r="Q80" s="2736"/>
      <c r="R80" s="2722"/>
      <c r="S80" s="2722"/>
      <c r="T80" s="2722"/>
      <c r="U80" s="2722"/>
      <c r="V80" s="2722"/>
      <c r="W80" s="2722"/>
      <c r="X80" s="2722"/>
      <c r="Y80" s="2722"/>
      <c r="Z80" s="2722"/>
      <c r="AA80" s="2722"/>
      <c r="AB80" s="2722"/>
      <c r="AC80" s="2722"/>
    </row>
    <row r="81" spans="1:29" ht="15.75" thickTop="1">
      <c r="A81" s="483"/>
      <c r="B81" s="487" t="s">
        <v>1854</v>
      </c>
      <c r="C81" s="609"/>
      <c r="D81" s="609"/>
      <c r="E81" s="609"/>
      <c r="F81" s="609"/>
      <c r="G81" s="609"/>
      <c r="H81" s="609"/>
      <c r="I81" s="609"/>
      <c r="J81" s="609"/>
      <c r="K81" s="610"/>
      <c r="L81" s="611"/>
      <c r="M81" s="612"/>
      <c r="N81" s="2748"/>
      <c r="O81" s="2748"/>
      <c r="P81" s="2758"/>
      <c r="Q81" s="2736"/>
      <c r="R81" s="2722"/>
      <c r="S81" s="2722"/>
      <c r="T81" s="2722"/>
      <c r="U81" s="2722"/>
      <c r="V81" s="2722"/>
      <c r="W81" s="2722"/>
      <c r="X81" s="2722"/>
      <c r="Y81" s="2722"/>
      <c r="Z81" s="2722"/>
      <c r="AA81" s="2722"/>
      <c r="AB81" s="2722"/>
      <c r="AC81" s="2722"/>
    </row>
    <row r="82" spans="1:29" s="422" customFormat="1" ht="15.75" thickBot="1">
      <c r="A82" s="502"/>
      <c r="B82" s="492"/>
      <c r="C82" s="509"/>
      <c r="D82" s="485"/>
      <c r="E82" s="485"/>
      <c r="F82" s="485"/>
      <c r="G82" s="485"/>
      <c r="H82" s="485"/>
      <c r="I82" s="485"/>
      <c r="J82" s="485"/>
      <c r="K82" s="485"/>
      <c r="L82" s="485"/>
      <c r="M82" s="486"/>
      <c r="N82" s="2750"/>
      <c r="O82" s="2750"/>
      <c r="P82" s="2759"/>
      <c r="Q82" s="2742"/>
      <c r="R82" s="2743"/>
      <c r="S82" s="2743"/>
      <c r="T82" s="2743"/>
      <c r="U82" s="2743"/>
      <c r="V82" s="2743"/>
      <c r="W82" s="2743"/>
      <c r="X82" s="2743"/>
      <c r="Y82" s="2743"/>
      <c r="Z82" s="2743"/>
      <c r="AA82" s="2743"/>
      <c r="AB82" s="2743"/>
      <c r="AC82" s="2743"/>
    </row>
    <row r="83" spans="1:29" ht="15" thickTop="1">
      <c r="A83" s="548"/>
      <c r="B83" s="487" t="s">
        <v>1740</v>
      </c>
      <c r="C83" s="503"/>
      <c r="D83" s="503"/>
      <c r="E83" s="532"/>
      <c r="F83" s="532"/>
      <c r="G83" s="532"/>
      <c r="H83" s="532"/>
      <c r="I83" s="532"/>
      <c r="J83" s="532"/>
      <c r="K83" s="533"/>
      <c r="L83" s="534"/>
      <c r="M83" s="535"/>
      <c r="N83" s="2749"/>
      <c r="O83" s="2749"/>
      <c r="P83" s="2758"/>
      <c r="Q83" s="2736"/>
      <c r="R83" s="2722"/>
      <c r="S83" s="2722"/>
      <c r="T83" s="2722"/>
      <c r="U83" s="2722"/>
      <c r="V83" s="2722"/>
      <c r="W83" s="2722"/>
      <c r="X83" s="2722"/>
      <c r="Y83" s="2722"/>
      <c r="Z83" s="2722"/>
      <c r="AA83" s="2722"/>
      <c r="AB83" s="2722"/>
      <c r="AC83" s="2722"/>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0"/>
      <c r="O84" s="2750"/>
      <c r="P84" s="2758"/>
      <c r="Q84" s="2736"/>
      <c r="R84" s="2722"/>
      <c r="S84" s="2722"/>
      <c r="T84" s="2722"/>
      <c r="U84" s="2722"/>
      <c r="V84" s="2722"/>
      <c r="W84" s="2722"/>
      <c r="X84" s="2722"/>
      <c r="Y84" s="2722"/>
      <c r="Z84" s="2722"/>
      <c r="AA84" s="2722"/>
      <c r="AB84" s="2722"/>
      <c r="AC84" s="2722"/>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49"/>
      <c r="O85" s="2749"/>
      <c r="P85" s="2758"/>
      <c r="Q85" s="2736"/>
      <c r="R85" s="2722"/>
      <c r="S85" s="2722"/>
      <c r="T85" s="2722"/>
      <c r="U85" s="2722"/>
      <c r="V85" s="2722"/>
      <c r="W85" s="2722"/>
      <c r="X85" s="2722"/>
      <c r="Y85" s="2722"/>
      <c r="Z85" s="2722"/>
      <c r="AA85" s="2722"/>
      <c r="AB85" s="2722"/>
      <c r="AC85" s="2722"/>
    </row>
    <row r="86" spans="1:29">
      <c r="A86" s="548"/>
      <c r="B86" s="495"/>
      <c r="C86" s="552">
        <v>0.5</v>
      </c>
      <c r="D86" s="552">
        <v>0.6</v>
      </c>
      <c r="E86" s="552">
        <v>0.7</v>
      </c>
      <c r="F86" s="552">
        <v>0.8</v>
      </c>
      <c r="G86" s="552">
        <v>0.9</v>
      </c>
      <c r="H86" s="552">
        <v>1.0001</v>
      </c>
      <c r="I86" s="571"/>
      <c r="J86" s="571"/>
      <c r="K86" s="572"/>
      <c r="L86" s="573"/>
      <c r="M86" s="574"/>
      <c r="N86" s="2749"/>
      <c r="O86" s="2749"/>
      <c r="P86" s="2758"/>
      <c r="Q86" s="2736"/>
      <c r="R86" s="2722"/>
      <c r="S86" s="2722"/>
      <c r="T86" s="2722"/>
      <c r="U86" s="2722"/>
      <c r="V86" s="2722"/>
      <c r="W86" s="2722"/>
      <c r="X86" s="2722"/>
      <c r="Y86" s="2722"/>
      <c r="Z86" s="2722"/>
      <c r="AA86" s="2722"/>
      <c r="AB86" s="2722"/>
      <c r="AC86" s="2722"/>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0"/>
      <c r="O87" s="2750"/>
      <c r="P87" s="2758"/>
      <c r="Q87" s="2736"/>
      <c r="R87" s="2722"/>
      <c r="S87" s="2722"/>
      <c r="T87" s="2722"/>
      <c r="U87" s="2722"/>
      <c r="V87" s="2722"/>
      <c r="W87" s="2722"/>
      <c r="X87" s="2722"/>
      <c r="Y87" s="2722"/>
      <c r="Z87" s="2722"/>
      <c r="AA87" s="2722"/>
      <c r="AB87" s="2722"/>
      <c r="AC87" s="2722"/>
    </row>
    <row r="88" spans="1:29" ht="15" thickTop="1">
      <c r="A88" s="548"/>
      <c r="B88" s="495" t="s">
        <v>1856</v>
      </c>
      <c r="C88" s="479"/>
      <c r="D88" s="479"/>
      <c r="E88" s="479"/>
      <c r="F88" s="479"/>
      <c r="G88" s="479"/>
      <c r="H88" s="479"/>
      <c r="I88" s="479"/>
      <c r="J88" s="479"/>
      <c r="K88" s="480"/>
      <c r="L88" s="481"/>
      <c r="M88" s="482"/>
      <c r="N88" s="2749"/>
      <c r="O88" s="2749"/>
      <c r="P88" s="2758"/>
      <c r="Q88" s="2736"/>
      <c r="R88" s="2722"/>
      <c r="S88" s="2722"/>
      <c r="T88" s="2722"/>
      <c r="U88" s="2722"/>
      <c r="V88" s="2722"/>
      <c r="W88" s="2722"/>
      <c r="X88" s="2722"/>
      <c r="Y88" s="2722"/>
      <c r="Z88" s="2722"/>
      <c r="AA88" s="2722"/>
      <c r="AB88" s="2722"/>
      <c r="AC88" s="2722"/>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0"/>
      <c r="O89" s="2750"/>
      <c r="P89" s="2758"/>
      <c r="Q89" s="2736"/>
      <c r="R89" s="2722"/>
      <c r="S89" s="2722"/>
      <c r="T89" s="2722"/>
      <c r="U89" s="2722"/>
      <c r="V89" s="2722"/>
      <c r="W89" s="2722"/>
      <c r="X89" s="2722"/>
      <c r="Y89" s="2722"/>
      <c r="Z89" s="2722"/>
      <c r="AA89" s="2722"/>
      <c r="AB89" s="2722"/>
      <c r="AC89" s="2722"/>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1"/>
      <c r="O90" s="2751"/>
      <c r="P90" s="2759"/>
      <c r="Q90" s="2742"/>
      <c r="R90" s="2743"/>
      <c r="S90" s="2743"/>
      <c r="T90" s="2743"/>
      <c r="U90" s="2743"/>
      <c r="V90" s="2743"/>
      <c r="W90" s="2743"/>
      <c r="X90" s="2743"/>
      <c r="Y90" s="2743"/>
      <c r="Z90" s="2743"/>
      <c r="AA90" s="2743"/>
      <c r="AB90" s="2743"/>
      <c r="AC90" s="2743"/>
    </row>
    <row r="91" spans="1:29" s="422" customFormat="1">
      <c r="A91" s="542"/>
      <c r="B91" s="495"/>
      <c r="C91" s="544"/>
      <c r="D91" s="544"/>
      <c r="E91" s="544"/>
      <c r="F91" s="544"/>
      <c r="G91" s="544"/>
      <c r="H91" s="544"/>
      <c r="I91" s="544"/>
      <c r="J91" s="545"/>
      <c r="K91" s="545"/>
      <c r="L91" s="546"/>
      <c r="M91" s="547"/>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09"/>
      <c r="D92" s="485"/>
      <c r="E92" s="485"/>
      <c r="F92" s="485"/>
      <c r="G92" s="485"/>
      <c r="H92" s="485"/>
      <c r="I92" s="485"/>
      <c r="J92" s="485"/>
      <c r="K92" s="485"/>
      <c r="L92" s="485"/>
      <c r="M92" s="486"/>
      <c r="N92" s="2751"/>
      <c r="O92" s="2751"/>
      <c r="P92" s="2759"/>
      <c r="Q92" s="2742"/>
      <c r="R92" s="2743"/>
      <c r="S92" s="2743"/>
      <c r="T92" s="2743"/>
      <c r="U92" s="2743"/>
      <c r="V92" s="2743"/>
      <c r="W92" s="2743"/>
      <c r="X92" s="2743"/>
      <c r="Y92" s="2743"/>
      <c r="Z92" s="2743"/>
      <c r="AA92" s="2743"/>
      <c r="AB92" s="2743"/>
      <c r="AC92" s="2743"/>
    </row>
    <row r="93" spans="1:29" ht="15" thickTop="1">
      <c r="A93" s="548"/>
      <c r="B93" s="487" t="s">
        <v>1858</v>
      </c>
      <c r="C93" s="503"/>
      <c r="D93" s="503"/>
      <c r="E93" s="532"/>
      <c r="F93" s="532"/>
      <c r="G93" s="532"/>
      <c r="H93" s="532"/>
      <c r="I93" s="532"/>
      <c r="J93" s="532"/>
      <c r="K93" s="533"/>
      <c r="L93" s="534"/>
      <c r="M93" s="535"/>
      <c r="N93" s="2749"/>
      <c r="O93" s="2749"/>
      <c r="P93" s="2758"/>
      <c r="Q93" s="2736"/>
      <c r="R93" s="2722"/>
      <c r="S93" s="2722"/>
      <c r="T93" s="2722"/>
      <c r="U93" s="2722"/>
      <c r="V93" s="2722"/>
      <c r="W93" s="2722"/>
      <c r="X93" s="2722"/>
      <c r="Y93" s="2722"/>
      <c r="Z93" s="2722"/>
      <c r="AA93" s="2722"/>
      <c r="AB93" s="2722"/>
      <c r="AC93" s="2722"/>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0"/>
      <c r="O94" s="2750"/>
      <c r="P94" s="2758"/>
      <c r="Q94" s="2736"/>
      <c r="R94" s="2722"/>
      <c r="S94" s="2722"/>
      <c r="T94" s="2722"/>
      <c r="U94" s="2722"/>
      <c r="V94" s="2722"/>
      <c r="W94" s="2722"/>
      <c r="X94" s="2722"/>
      <c r="Y94" s="2722"/>
      <c r="Z94" s="2722"/>
      <c r="AA94" s="2722"/>
      <c r="AB94" s="2722"/>
      <c r="AC94" s="2722"/>
    </row>
    <row r="95" spans="1:29" ht="15" thickTop="1">
      <c r="A95" s="548"/>
      <c r="B95" s="487" t="s">
        <v>1859</v>
      </c>
      <c r="C95" s="479"/>
      <c r="D95" s="479"/>
      <c r="E95" s="479"/>
      <c r="F95" s="479"/>
      <c r="G95" s="479"/>
      <c r="H95" s="479"/>
      <c r="I95" s="479"/>
      <c r="J95" s="479"/>
      <c r="K95" s="480"/>
      <c r="L95" s="481"/>
      <c r="M95" s="482"/>
      <c r="N95" s="2749"/>
      <c r="O95" s="2749"/>
      <c r="P95" s="2758"/>
      <c r="Q95" s="2736"/>
      <c r="R95" s="2722"/>
      <c r="S95" s="2722"/>
      <c r="T95" s="2722"/>
      <c r="U95" s="2722"/>
      <c r="V95" s="2722"/>
      <c r="W95" s="2722"/>
      <c r="X95" s="2722"/>
      <c r="Y95" s="2722"/>
      <c r="Z95" s="2722"/>
      <c r="AA95" s="2722"/>
      <c r="AB95" s="2722"/>
      <c r="AC95" s="2722"/>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0"/>
      <c r="O96" s="2750"/>
      <c r="P96" s="2758"/>
      <c r="Q96" s="2736"/>
      <c r="R96" s="2722"/>
      <c r="S96" s="2722"/>
      <c r="T96" s="2722"/>
      <c r="U96" s="2722"/>
      <c r="V96" s="2722"/>
      <c r="W96" s="2722"/>
      <c r="X96" s="2722"/>
      <c r="Y96" s="2722"/>
      <c r="Z96" s="2722"/>
      <c r="AA96" s="2722"/>
      <c r="AB96" s="2722"/>
      <c r="AC96" s="2722"/>
    </row>
    <row r="97" spans="1:29" ht="15" thickTop="1">
      <c r="A97" s="548"/>
      <c r="B97" s="584">
        <f>B34</f>
        <v>111</v>
      </c>
      <c r="C97" s="498"/>
      <c r="D97" s="498"/>
      <c r="E97" s="498"/>
      <c r="F97" s="498"/>
      <c r="G97" s="503"/>
      <c r="H97" s="504"/>
      <c r="I97" s="504"/>
      <c r="J97" s="504"/>
      <c r="K97" s="504"/>
      <c r="L97" s="505"/>
      <c r="M97" s="506"/>
      <c r="N97" s="2750"/>
      <c r="O97" s="2750"/>
      <c r="P97" s="2763"/>
      <c r="Q97" s="2764"/>
      <c r="R97" s="2722"/>
      <c r="S97" s="2722"/>
      <c r="T97" s="2722"/>
      <c r="U97" s="2722"/>
      <c r="V97" s="2722"/>
      <c r="W97" s="2722"/>
      <c r="X97" s="2722"/>
      <c r="Y97" s="2722"/>
      <c r="Z97" s="2722"/>
      <c r="AA97" s="2722"/>
      <c r="AB97" s="2722"/>
      <c r="AC97" s="2722"/>
    </row>
    <row r="98" spans="1:29" ht="15.75" thickBot="1">
      <c r="A98" s="483"/>
      <c r="B98" s="492"/>
      <c r="C98" s="509"/>
      <c r="D98" s="485"/>
      <c r="E98" s="485"/>
      <c r="F98" s="485"/>
      <c r="G98" s="509"/>
      <c r="H98" s="511"/>
      <c r="I98" s="511"/>
      <c r="J98" s="511"/>
      <c r="K98" s="511"/>
      <c r="L98" s="511"/>
      <c r="M98" s="512"/>
      <c r="N98" s="2750"/>
      <c r="O98" s="2750"/>
      <c r="P98" s="2758"/>
      <c r="Q98" s="2736"/>
      <c r="R98" s="2722"/>
      <c r="S98" s="2722"/>
      <c r="T98" s="2722"/>
      <c r="U98" s="2722"/>
      <c r="V98" s="2722"/>
      <c r="W98" s="2722"/>
      <c r="X98" s="2722"/>
      <c r="Y98" s="2722"/>
      <c r="Z98" s="2722"/>
      <c r="AA98" s="2722"/>
      <c r="AB98" s="2722"/>
      <c r="AC98" s="2722"/>
    </row>
    <row r="99" spans="1:29" s="422" customFormat="1" ht="15" thickTop="1">
      <c r="A99" s="542"/>
      <c r="B99" s="487">
        <f>B35</f>
        <v>111</v>
      </c>
      <c r="C99" s="498"/>
      <c r="D99" s="498"/>
      <c r="E99" s="498"/>
      <c r="F99" s="498"/>
      <c r="G99" s="503"/>
      <c r="H99" s="504"/>
      <c r="I99" s="504"/>
      <c r="J99" s="504"/>
      <c r="K99" s="504"/>
      <c r="L99" s="505"/>
      <c r="M99" s="506"/>
      <c r="N99" s="2751"/>
      <c r="O99" s="2751"/>
      <c r="P99" s="2759"/>
      <c r="Q99" s="2742"/>
      <c r="R99" s="2743"/>
      <c r="S99" s="2743"/>
      <c r="T99" s="2743"/>
      <c r="U99" s="2743"/>
      <c r="V99" s="2743"/>
      <c r="W99" s="2743"/>
      <c r="X99" s="2743"/>
      <c r="Y99" s="2743"/>
      <c r="Z99" s="2743"/>
      <c r="AA99" s="2743"/>
      <c r="AB99" s="2743"/>
      <c r="AC99" s="2743"/>
    </row>
    <row r="100" spans="1:29" s="422" customFormat="1" ht="15.75" thickBot="1">
      <c r="A100" s="502"/>
      <c r="B100" s="484"/>
      <c r="C100" s="509"/>
      <c r="D100" s="485"/>
      <c r="E100" s="485"/>
      <c r="F100" s="485"/>
      <c r="G100" s="509"/>
      <c r="H100" s="511"/>
      <c r="I100" s="511"/>
      <c r="J100" s="511"/>
      <c r="K100" s="511"/>
      <c r="L100" s="511"/>
      <c r="M100" s="512"/>
      <c r="N100" s="2751"/>
      <c r="O100" s="2751"/>
      <c r="P100" s="2759"/>
      <c r="Q100" s="2742"/>
      <c r="R100" s="2743"/>
      <c r="S100" s="2743"/>
      <c r="T100" s="2743"/>
      <c r="U100" s="2743"/>
      <c r="V100" s="2743"/>
      <c r="W100" s="2743"/>
      <c r="X100" s="2743"/>
      <c r="Y100" s="2743"/>
      <c r="Z100" s="2743"/>
      <c r="AA100" s="2743"/>
      <c r="AB100" s="2743"/>
      <c r="AC100" s="2743"/>
    </row>
    <row r="101" spans="1:29" ht="15" thickTop="1">
      <c r="A101" s="548"/>
      <c r="B101" s="487">
        <f>B36</f>
        <v>111</v>
      </c>
      <c r="C101" s="503"/>
      <c r="D101" s="503"/>
      <c r="E101" s="503"/>
      <c r="F101" s="503"/>
      <c r="G101" s="503"/>
      <c r="H101" s="504"/>
      <c r="I101" s="504"/>
      <c r="J101" s="504"/>
      <c r="K101" s="504"/>
      <c r="L101" s="505"/>
      <c r="M101" s="506"/>
      <c r="N101" s="2749"/>
      <c r="O101" s="2749"/>
      <c r="P101" s="2758"/>
      <c r="Q101" s="2736"/>
      <c r="R101" s="2722"/>
      <c r="S101" s="2722"/>
      <c r="T101" s="2722"/>
      <c r="U101" s="2722"/>
      <c r="V101" s="2722"/>
      <c r="W101" s="2722"/>
      <c r="X101" s="2722"/>
      <c r="Y101" s="2722"/>
      <c r="Z101" s="2722"/>
      <c r="AA101" s="2722"/>
      <c r="AB101" s="2722"/>
      <c r="AC101" s="2722"/>
    </row>
    <row r="102" spans="1:29" ht="15.75" thickBot="1">
      <c r="A102" s="483"/>
      <c r="B102" s="492"/>
      <c r="C102" s="509"/>
      <c r="D102" s="509"/>
      <c r="E102" s="509"/>
      <c r="F102" s="509"/>
      <c r="G102" s="509"/>
      <c r="H102" s="511"/>
      <c r="I102" s="511"/>
      <c r="J102" s="511"/>
      <c r="K102" s="511"/>
      <c r="L102" s="511"/>
      <c r="M102" s="512"/>
      <c r="N102" s="2750"/>
      <c r="O102" s="2750"/>
      <c r="P102" s="2758"/>
      <c r="Q102" s="2736"/>
      <c r="R102" s="2722"/>
      <c r="S102" s="2722"/>
      <c r="T102" s="2722"/>
      <c r="U102" s="2722"/>
      <c r="V102" s="2722"/>
      <c r="W102" s="2722"/>
      <c r="X102" s="2722"/>
      <c r="Y102" s="2722"/>
      <c r="Z102" s="2722"/>
      <c r="AA102" s="2722"/>
      <c r="AB102" s="2722"/>
      <c r="AC102" s="2722"/>
    </row>
    <row r="103" spans="1:29" ht="15" thickTop="1">
      <c r="N103" s="2722"/>
      <c r="O103" s="2722"/>
      <c r="P103" s="2752"/>
      <c r="Q103" s="2722"/>
      <c r="R103" s="2722"/>
      <c r="S103" s="2722"/>
      <c r="T103" s="2722"/>
      <c r="U103" s="2722"/>
      <c r="V103" s="2722"/>
      <c r="W103" s="2722"/>
      <c r="X103" s="2722"/>
      <c r="Y103" s="2722"/>
      <c r="Z103" s="2722"/>
      <c r="AA103" s="2722"/>
      <c r="AB103" s="2722"/>
      <c r="AC103" s="272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73" priority="18" stopIfTrue="1" operator="containsText" text="超过">
      <formula>NOT(ISERROR(SEARCH("超过",F42)))</formula>
    </cfRule>
  </conditionalFormatting>
  <conditionalFormatting sqref="J44">
    <cfRule type="containsText" dxfId="72" priority="17" stopIfTrue="1" operator="containsText" text="超过">
      <formula>NOT(ISERROR(SEARCH("超过",J44)))</formula>
    </cfRule>
  </conditionalFormatting>
  <conditionalFormatting sqref="H44">
    <cfRule type="containsText" dxfId="71" priority="16" stopIfTrue="1" operator="containsText" text="超过">
      <formula>NOT(ISERROR(SEARCH("超过",H44)))</formula>
    </cfRule>
  </conditionalFormatting>
  <conditionalFormatting sqref="F44">
    <cfRule type="containsText" dxfId="70" priority="15" stopIfTrue="1" operator="containsText" text="超过">
      <formula>NOT(ISERROR(SEARCH("超过",F44)))</formula>
    </cfRule>
  </conditionalFormatting>
  <conditionalFormatting sqref="F43 H43 J43">
    <cfRule type="containsText" dxfId="69" priority="14" stopIfTrue="1" operator="containsText" text="超过">
      <formula>NOT(ISERROR(SEARCH("超过",F43)))</formula>
    </cfRule>
  </conditionalFormatting>
  <conditionalFormatting sqref="E42">
    <cfRule type="expression" dxfId="68" priority="13" stopIfTrue="1">
      <formula>$F$42="超过30%"</formula>
    </cfRule>
  </conditionalFormatting>
  <conditionalFormatting sqref="G44">
    <cfRule type="expression" dxfId="67" priority="12" stopIfTrue="1">
      <formula>$H$54+$H$44="超过30%"</formula>
    </cfRule>
  </conditionalFormatting>
  <conditionalFormatting sqref="E43">
    <cfRule type="expression" dxfId="66" priority="11" stopIfTrue="1">
      <formula>$F$43="超过20%"</formula>
    </cfRule>
  </conditionalFormatting>
  <conditionalFormatting sqref="E44">
    <cfRule type="expression" dxfId="65" priority="10" stopIfTrue="1">
      <formula>$F$44="超过30%"</formula>
    </cfRule>
  </conditionalFormatting>
  <conditionalFormatting sqref="G42">
    <cfRule type="expression" dxfId="64" priority="9" stopIfTrue="1">
      <formula>$H$52+$H$42="超过30%"</formula>
    </cfRule>
  </conditionalFormatting>
  <conditionalFormatting sqref="G43">
    <cfRule type="expression" dxfId="63" priority="8" stopIfTrue="1">
      <formula>$H$43="超过20%"</formula>
    </cfRule>
  </conditionalFormatting>
  <conditionalFormatting sqref="I42">
    <cfRule type="expression" dxfId="62" priority="7" stopIfTrue="1">
      <formula>$J$52+$J$42="超过30%"</formula>
    </cfRule>
  </conditionalFormatting>
  <conditionalFormatting sqref="I43">
    <cfRule type="expression" dxfId="61" priority="6" stopIfTrue="1">
      <formula>$J$53+$J$43="超过20%"</formula>
    </cfRule>
  </conditionalFormatting>
  <conditionalFormatting sqref="I44">
    <cfRule type="expression" dxfId="60" priority="5" stopIfTrue="1">
      <formula>$J$44="超过30%"</formula>
    </cfRule>
  </conditionalFormatting>
  <conditionalFormatting sqref="F38">
    <cfRule type="expression" dxfId="59" priority="4">
      <formula>$D$38="简单平均"</formula>
    </cfRule>
  </conditionalFormatting>
  <conditionalFormatting sqref="H38">
    <cfRule type="expression" dxfId="58" priority="3">
      <formula>$D$38="简单平均"</formula>
    </cfRule>
  </conditionalFormatting>
  <conditionalFormatting sqref="J38">
    <cfRule type="expression" dxfId="57" priority="2">
      <formula>$D$38="简单平均"</formula>
    </cfRule>
  </conditionalFormatting>
  <conditionalFormatting sqref="F7:F36 H7:H36 J7:J36">
    <cfRule type="cellIs" dxfId="56"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1831</v>
      </c>
      <c r="B1" s="1221" t="s">
        <v>3336</v>
      </c>
      <c r="C1" s="1222" t="s">
        <v>1662</v>
      </c>
      <c r="D1" s="1223"/>
      <c r="E1" s="3429"/>
      <c r="F1" s="1877"/>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3" t="b">
        <f>IF(E1="项目模式",IF(C2="——",ROUND(C37*D3/10000,0),ROUND(C37*D3/10000,0)-D2),IF(E1="单套模式",IF(C2="——",ROUND(C37*D3/10000,4),ROUND(C37*D3/10000,4)-D2)))</f>
        <v>0</v>
      </c>
      <c r="C2" s="1879"/>
      <c r="D2" s="906" t="e">
        <f ca="1">IF(E1="项目模式",SUMIF(INDIRECT("'"&amp;F2&amp;"'"&amp;"!A:A"),"承租人权益价值",INDIRECT("'"&amp;F2&amp;"'"&amp;"!c:c")),SUMIF(INDIRECT("'"&amp;F2&amp;"'"&amp;"!A:A"),"承租人权益价值（单套）",INDIRECT("'"&amp;F2&amp;"'"&amp;"!c:c")))</f>
        <v>#REF!</v>
      </c>
      <c r="E2" s="1880" t="s">
        <v>1463</v>
      </c>
      <c r="F2" s="1881"/>
      <c r="G2" s="907"/>
      <c r="H2" s="907"/>
      <c r="I2" s="907"/>
      <c r="J2" s="907"/>
      <c r="K2" s="909"/>
      <c r="L2" s="2731"/>
      <c r="M2" s="2732"/>
      <c r="N2" s="2732"/>
      <c r="O2" s="2732"/>
      <c r="P2" s="698"/>
      <c r="Q2" s="698"/>
      <c r="R2" s="698"/>
      <c r="S2" s="698"/>
      <c r="T2" s="698"/>
      <c r="U2" s="698"/>
      <c r="V2" s="698"/>
      <c r="W2" s="698"/>
      <c r="X2" s="698"/>
      <c r="Y2" s="698"/>
      <c r="Z2" s="698"/>
      <c r="AA2" s="698"/>
      <c r="AB2" s="698"/>
      <c r="AC2" s="699"/>
    </row>
    <row r="3" spans="1:29" s="352" customFormat="1" ht="28.5" customHeight="1" thickBot="1">
      <c r="A3" s="203" t="s">
        <v>1464</v>
      </c>
      <c r="B3" s="558" t="e">
        <f>IF(C2="——",C37,ROUND(B2*10000/D3,0))</f>
        <v>#DIV/0!</v>
      </c>
      <c r="C3" s="354" t="s">
        <v>1768</v>
      </c>
      <c r="D3" s="353">
        <f>SUMIF('数据-汇总表'!$C19:$C33,D1,'数据-汇总表'!$E19:$E33)</f>
        <v>0</v>
      </c>
      <c r="E3" s="907"/>
      <c r="F3" s="908"/>
      <c r="G3" s="907"/>
      <c r="H3" s="907"/>
      <c r="I3" s="907"/>
      <c r="J3" s="907"/>
      <c r="K3" s="909"/>
      <c r="L3" s="2731"/>
      <c r="M3" s="2732"/>
      <c r="N3" s="2732"/>
      <c r="O3" s="2732"/>
      <c r="P3" s="698"/>
      <c r="Q3" s="698"/>
      <c r="R3" s="698"/>
      <c r="S3" s="698"/>
      <c r="T3" s="698"/>
      <c r="U3" s="698"/>
      <c r="V3" s="698"/>
      <c r="W3" s="698"/>
      <c r="X3" s="698"/>
      <c r="Y3" s="698"/>
      <c r="Z3" s="698"/>
      <c r="AA3" s="698"/>
      <c r="AB3" s="715"/>
      <c r="AC3" s="712"/>
    </row>
    <row r="4" spans="1:29" ht="15">
      <c r="A4" s="355" t="s">
        <v>1769</v>
      </c>
      <c r="B4" s="356"/>
      <c r="C4" s="3730" t="s">
        <v>1770</v>
      </c>
      <c r="D4" s="3731"/>
      <c r="E4" s="3732" t="s">
        <v>1771</v>
      </c>
      <c r="F4" s="3733"/>
      <c r="G4" s="3730" t="s">
        <v>1772</v>
      </c>
      <c r="H4" s="3731"/>
      <c r="I4" s="3730" t="s">
        <v>1773</v>
      </c>
      <c r="J4" s="3731"/>
      <c r="K4" s="559" t="s">
        <v>1774</v>
      </c>
      <c r="L4" s="2712"/>
      <c r="M4" s="2713"/>
      <c r="N4" s="2713"/>
      <c r="O4" s="2713"/>
      <c r="P4" s="3734" t="s">
        <v>1775</v>
      </c>
      <c r="Q4" s="3735"/>
      <c r="R4" s="3716" t="s">
        <v>1771</v>
      </c>
      <c r="S4" s="3717"/>
      <c r="T4" s="3716" t="s">
        <v>1772</v>
      </c>
      <c r="U4" s="3717"/>
      <c r="V4" s="3713" t="s">
        <v>1773</v>
      </c>
      <c r="W4" s="3713"/>
      <c r="X4" s="1353"/>
      <c r="Y4" s="3716" t="s">
        <v>1775</v>
      </c>
      <c r="Z4" s="3717"/>
      <c r="AA4" s="3710" t="s">
        <v>1771</v>
      </c>
      <c r="AB4" s="3711" t="s">
        <v>1772</v>
      </c>
      <c r="AC4" s="3710" t="s">
        <v>1773</v>
      </c>
    </row>
    <row r="5" spans="1:29" ht="15">
      <c r="A5" s="358"/>
      <c r="B5" s="359"/>
      <c r="C5" s="3722" t="s">
        <v>1673</v>
      </c>
      <c r="D5" s="3723"/>
      <c r="E5" s="3760" t="s">
        <v>1674</v>
      </c>
      <c r="F5" s="3721"/>
      <c r="G5" s="3722" t="s">
        <v>1675</v>
      </c>
      <c r="H5" s="3723"/>
      <c r="I5" s="3722" t="s">
        <v>1676</v>
      </c>
      <c r="J5" s="3723"/>
      <c r="K5" s="559"/>
      <c r="L5" s="2712"/>
      <c r="M5" s="2713"/>
      <c r="N5" s="2713"/>
      <c r="O5" s="2713"/>
      <c r="P5" s="3736"/>
      <c r="Q5" s="3737"/>
      <c r="R5" s="3718"/>
      <c r="S5" s="3719"/>
      <c r="T5" s="3718"/>
      <c r="U5" s="3719"/>
      <c r="V5" s="3713"/>
      <c r="W5" s="3713"/>
      <c r="X5" s="1353"/>
      <c r="Y5" s="3718"/>
      <c r="Z5" s="3719"/>
      <c r="AA5" s="3711"/>
      <c r="AB5" s="3711"/>
      <c r="AC5" s="3711"/>
    </row>
    <row r="6" spans="1:29" ht="15.75" thickBot="1">
      <c r="A6" s="360"/>
      <c r="B6" s="361"/>
      <c r="C6" s="3724" t="s">
        <v>1677</v>
      </c>
      <c r="D6" s="3725"/>
      <c r="E6" s="3727" t="s">
        <v>1677</v>
      </c>
      <c r="F6" s="3728"/>
      <c r="G6" s="3724" t="s">
        <v>1677</v>
      </c>
      <c r="H6" s="3725"/>
      <c r="I6" s="3724" t="s">
        <v>1677</v>
      </c>
      <c r="J6" s="3725"/>
      <c r="K6" s="559" t="s">
        <v>1678</v>
      </c>
      <c r="L6" s="2712"/>
      <c r="M6" s="2713"/>
      <c r="N6" s="2713"/>
      <c r="O6" s="2713"/>
      <c r="P6" s="3738"/>
      <c r="Q6" s="3739"/>
      <c r="R6" s="3718"/>
      <c r="S6" s="3719"/>
      <c r="T6" s="3740"/>
      <c r="U6" s="3741"/>
      <c r="V6" s="3713"/>
      <c r="W6" s="3713"/>
      <c r="X6" s="1353"/>
      <c r="Y6" s="3740"/>
      <c r="Z6" s="3741"/>
      <c r="AA6" s="3712"/>
      <c r="AB6" s="3712"/>
      <c r="AC6" s="3712"/>
    </row>
    <row r="7" spans="1:29" s="108" customFormat="1" ht="15.75" thickBot="1">
      <c r="A7" s="362" t="s">
        <v>1679</v>
      </c>
      <c r="B7" s="363"/>
      <c r="C7" s="364">
        <f>'数据-取费表'!B2</f>
        <v>45068</v>
      </c>
      <c r="D7" s="365">
        <v>100</v>
      </c>
      <c r="E7" s="366"/>
      <c r="F7" s="367">
        <f>SUMIF(46:46,YEAR(E7)&amp;"-"&amp;MONTH(E7),47:47)</f>
        <v>0</v>
      </c>
      <c r="G7" s="1971"/>
      <c r="H7" s="365">
        <f>SUMIF(46:46,YEAR(G7)&amp;"-"&amp;MONTH(G7),47:47)</f>
        <v>0</v>
      </c>
      <c r="I7" s="366"/>
      <c r="J7" s="365">
        <f>SUMIF(46:46,YEAR(I7)&amp;"-"&amp;MONTH(I7),47:47)</f>
        <v>0</v>
      </c>
      <c r="K7" s="560"/>
      <c r="L7" s="2714"/>
      <c r="M7" s="2715"/>
      <c r="N7" s="2715"/>
      <c r="O7" s="2715"/>
      <c r="P7" s="3714" t="s">
        <v>1680</v>
      </c>
      <c r="Q7" s="3742"/>
      <c r="R7" s="700" t="s">
        <v>14</v>
      </c>
      <c r="S7" s="701">
        <f t="shared" ref="S7:S14" si="0">F7</f>
        <v>0</v>
      </c>
      <c r="T7" s="700" t="s">
        <v>14</v>
      </c>
      <c r="U7" s="701">
        <f t="shared" ref="U7:U14" si="1">H7</f>
        <v>0</v>
      </c>
      <c r="V7" s="700" t="s">
        <v>14</v>
      </c>
      <c r="W7" s="701">
        <f t="shared" ref="W7:W14" si="2">J7</f>
        <v>0</v>
      </c>
      <c r="X7" s="702"/>
      <c r="Y7" s="3714" t="s">
        <v>1680</v>
      </c>
      <c r="Z7" s="3715"/>
      <c r="AA7" s="703" t="e">
        <f>D7/F7</f>
        <v>#DIV/0!</v>
      </c>
      <c r="AB7" s="703" t="e">
        <f>D7/H7</f>
        <v>#DIV/0!</v>
      </c>
      <c r="AC7" s="703"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4"/>
      <c r="M8" s="2715"/>
      <c r="N8" s="2715"/>
      <c r="O8" s="2715"/>
      <c r="P8" s="3714" t="s">
        <v>1683</v>
      </c>
      <c r="Q8" s="3715"/>
      <c r="R8" s="700" t="s">
        <v>14</v>
      </c>
      <c r="S8" s="701">
        <f t="shared" si="0"/>
        <v>100</v>
      </c>
      <c r="T8" s="700" t="s">
        <v>14</v>
      </c>
      <c r="U8" s="701">
        <f t="shared" si="1"/>
        <v>100</v>
      </c>
      <c r="V8" s="700" t="s">
        <v>14</v>
      </c>
      <c r="W8" s="701">
        <f t="shared" si="2"/>
        <v>100</v>
      </c>
      <c r="X8" s="702"/>
      <c r="Y8" s="3714" t="s">
        <v>1683</v>
      </c>
      <c r="Z8" s="3715"/>
      <c r="AA8" s="703">
        <f t="shared" ref="AA8:AA34" si="3">D8/F8</f>
        <v>1</v>
      </c>
      <c r="AB8" s="703">
        <f t="shared" ref="AB8:AB34" si="4">D8/H8</f>
        <v>1</v>
      </c>
      <c r="AC8" s="703">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4"/>
      <c r="M9" s="2715"/>
      <c r="N9" s="2715"/>
      <c r="O9" s="2768"/>
      <c r="P9" s="3752" t="s">
        <v>1686</v>
      </c>
      <c r="Q9" s="1341" t="str">
        <f t="shared" ref="Q9:Q14" si="6">B9</f>
        <v>用途</v>
      </c>
      <c r="R9" s="700" t="s">
        <v>14</v>
      </c>
      <c r="S9" s="701">
        <f t="shared" si="0"/>
        <v>100</v>
      </c>
      <c r="T9" s="700" t="s">
        <v>14</v>
      </c>
      <c r="U9" s="701">
        <f t="shared" si="1"/>
        <v>100</v>
      </c>
      <c r="V9" s="700" t="s">
        <v>14</v>
      </c>
      <c r="W9" s="701">
        <f t="shared" si="2"/>
        <v>100</v>
      </c>
      <c r="X9" s="702"/>
      <c r="Y9" s="3686" t="s">
        <v>1687</v>
      </c>
      <c r="Z9" s="52" t="str">
        <f t="shared" ref="Z9:Z14" si="7">Q9</f>
        <v>用途</v>
      </c>
      <c r="AA9" s="703">
        <f t="shared" si="3"/>
        <v>1</v>
      </c>
      <c r="AB9" s="703">
        <f t="shared" si="4"/>
        <v>1</v>
      </c>
      <c r="AC9" s="703">
        <f t="shared" si="5"/>
        <v>1</v>
      </c>
    </row>
    <row r="10" spans="1:29" s="378" customFormat="1" ht="27">
      <c r="A10" s="374"/>
      <c r="B10" s="375" t="s">
        <v>1688</v>
      </c>
      <c r="C10" s="3430"/>
      <c r="D10" s="127">
        <v>100</v>
      </c>
      <c r="E10" s="3430"/>
      <c r="F10" s="376">
        <f>SUMIF(53:53,E10,54:54)-SUMIF(53:53,C10,54:54)+100</f>
        <v>100</v>
      </c>
      <c r="G10" s="3430"/>
      <c r="H10" s="127">
        <f>SUMIF(53:53,G10,54:54)-SUMIF(53:53,C10,54:54)+100</f>
        <v>100</v>
      </c>
      <c r="I10" s="3430"/>
      <c r="J10" s="127">
        <f>SUMIF(53:53,I10,54:54)-SUMIF(53:53,C10,54:54)+100</f>
        <v>100</v>
      </c>
      <c r="K10" s="560"/>
      <c r="L10" s="2716"/>
      <c r="M10" s="2717"/>
      <c r="N10" s="2717"/>
      <c r="O10" s="2769"/>
      <c r="P10" s="3752"/>
      <c r="Q10" s="1341" t="str">
        <f t="shared" si="6"/>
        <v>土地使用年限（年）</v>
      </c>
      <c r="R10" s="700" t="s">
        <v>14</v>
      </c>
      <c r="S10" s="701">
        <f t="shared" si="0"/>
        <v>100</v>
      </c>
      <c r="T10" s="700" t="s">
        <v>14</v>
      </c>
      <c r="U10" s="701">
        <f t="shared" si="1"/>
        <v>100</v>
      </c>
      <c r="V10" s="700" t="s">
        <v>14</v>
      </c>
      <c r="W10" s="701">
        <f t="shared" si="2"/>
        <v>100</v>
      </c>
      <c r="X10" s="702"/>
      <c r="Y10" s="3686"/>
      <c r="Z10" s="52" t="str">
        <f t="shared" si="7"/>
        <v>土地使用年限（年）</v>
      </c>
      <c r="AA10" s="703">
        <f t="shared" si="3"/>
        <v>1</v>
      </c>
      <c r="AB10" s="703">
        <f t="shared" si="4"/>
        <v>1</v>
      </c>
      <c r="AC10" s="703">
        <f t="shared" si="5"/>
        <v>1</v>
      </c>
    </row>
    <row r="11" spans="1:29" ht="15">
      <c r="A11" s="379"/>
      <c r="B11" s="1891">
        <v>111</v>
      </c>
      <c r="C11" s="383"/>
      <c r="D11" s="127">
        <v>100</v>
      </c>
      <c r="E11" s="420"/>
      <c r="F11" s="376">
        <f>SUMIF(55:55,E11,56:56)-SUMIF(55:55,C11,56:56)+100</f>
        <v>100</v>
      </c>
      <c r="G11" s="420"/>
      <c r="H11" s="127">
        <f>SUMIF(55:55,G11,56:56)-SUMIF(55:55,C11,56:56)+100</f>
        <v>100</v>
      </c>
      <c r="I11" s="420"/>
      <c r="J11" s="127">
        <f>SUMIF(55:55,I11,56:56)-SUMIF(55:55,C11,56:56)+100</f>
        <v>100</v>
      </c>
      <c r="K11" s="562"/>
      <c r="L11" s="2718"/>
      <c r="M11" s="2713"/>
      <c r="N11" s="2713"/>
      <c r="O11" s="2770"/>
      <c r="P11" s="3752"/>
      <c r="Q11" s="1341">
        <f t="shared" si="6"/>
        <v>111</v>
      </c>
      <c r="R11" s="700" t="s">
        <v>14</v>
      </c>
      <c r="S11" s="701">
        <f t="shared" si="0"/>
        <v>100</v>
      </c>
      <c r="T11" s="700" t="s">
        <v>14</v>
      </c>
      <c r="U11" s="701">
        <f t="shared" si="1"/>
        <v>100</v>
      </c>
      <c r="V11" s="700" t="s">
        <v>14</v>
      </c>
      <c r="W11" s="701">
        <f t="shared" si="2"/>
        <v>100</v>
      </c>
      <c r="X11" s="702"/>
      <c r="Y11" s="3686"/>
      <c r="Z11" s="52">
        <f t="shared" si="7"/>
        <v>111</v>
      </c>
      <c r="AA11" s="703">
        <f t="shared" si="3"/>
        <v>1</v>
      </c>
      <c r="AB11" s="703">
        <f t="shared" si="4"/>
        <v>1</v>
      </c>
      <c r="AC11" s="703">
        <f t="shared" si="5"/>
        <v>1</v>
      </c>
    </row>
    <row r="12" spans="1:29" s="108" customFormat="1" ht="15">
      <c r="A12" s="382"/>
      <c r="B12" s="1891">
        <v>111</v>
      </c>
      <c r="C12" s="383"/>
      <c r="D12" s="384">
        <v>100</v>
      </c>
      <c r="E12" s="420"/>
      <c r="F12" s="376">
        <f>SUMIF(57:57,E12,58:58)-SUMIF(57:57,C12,58:58)+100</f>
        <v>100</v>
      </c>
      <c r="G12" s="420"/>
      <c r="H12" s="127">
        <f>SUMIF(57:57,G12,58:58)-SUMIF(57:57,C12,58:58)+100</f>
        <v>100</v>
      </c>
      <c r="I12" s="420"/>
      <c r="J12" s="127">
        <f>SUMIF(57:57,I12,58:58)-SUMIF(57:57,C12,58:58)+100</f>
        <v>100</v>
      </c>
      <c r="K12" s="562"/>
      <c r="L12" s="2714"/>
      <c r="M12" s="2715"/>
      <c r="N12" s="2715"/>
      <c r="O12" s="2768"/>
      <c r="P12" s="3752"/>
      <c r="Q12" s="1341">
        <f t="shared" si="6"/>
        <v>111</v>
      </c>
      <c r="R12" s="700" t="s">
        <v>14</v>
      </c>
      <c r="S12" s="701">
        <f t="shared" si="0"/>
        <v>100</v>
      </c>
      <c r="T12" s="700" t="s">
        <v>14</v>
      </c>
      <c r="U12" s="701">
        <f t="shared" si="1"/>
        <v>100</v>
      </c>
      <c r="V12" s="700" t="s">
        <v>14</v>
      </c>
      <c r="W12" s="701">
        <f t="shared" si="2"/>
        <v>100</v>
      </c>
      <c r="X12" s="702"/>
      <c r="Y12" s="3686"/>
      <c r="Z12" s="52">
        <f t="shared" si="7"/>
        <v>111</v>
      </c>
      <c r="AA12" s="703">
        <f>D12/F12</f>
        <v>1</v>
      </c>
      <c r="AB12" s="703">
        <f>D12/H12</f>
        <v>1</v>
      </c>
      <c r="AC12" s="703">
        <f>D12/J12</f>
        <v>1</v>
      </c>
    </row>
    <row r="13" spans="1:29" ht="15.75" thickBot="1">
      <c r="A13" s="379"/>
      <c r="B13" s="1891">
        <v>111</v>
      </c>
      <c r="C13" s="385"/>
      <c r="D13" s="386">
        <v>100</v>
      </c>
      <c r="E13" s="420"/>
      <c r="F13" s="376">
        <f>SUMIF(59:59,E13,60:60)-SUMIF(59:59,C13,60:60)+100</f>
        <v>100</v>
      </c>
      <c r="G13" s="1972"/>
      <c r="H13" s="389">
        <f>SUMIF(59:59,G13,60:60)-SUMIF(59:59,C13,60:60)+100</f>
        <v>100</v>
      </c>
      <c r="I13" s="420"/>
      <c r="J13" s="386">
        <f>SUMIF(59:59,I13,60:60)-SUMIF(59:59,C13,60:60)+100</f>
        <v>100</v>
      </c>
      <c r="K13" s="562"/>
      <c r="L13" s="2719"/>
      <c r="M13" s="2713"/>
      <c r="N13" s="2713"/>
      <c r="O13" s="2770"/>
      <c r="P13" s="3752"/>
      <c r="Q13" s="1341">
        <f t="shared" si="6"/>
        <v>111</v>
      </c>
      <c r="R13" s="700" t="s">
        <v>14</v>
      </c>
      <c r="S13" s="701">
        <f t="shared" si="0"/>
        <v>100</v>
      </c>
      <c r="T13" s="700" t="s">
        <v>14</v>
      </c>
      <c r="U13" s="701">
        <f t="shared" si="1"/>
        <v>100</v>
      </c>
      <c r="V13" s="700" t="s">
        <v>14</v>
      </c>
      <c r="W13" s="701">
        <f t="shared" si="2"/>
        <v>100</v>
      </c>
      <c r="X13" s="702"/>
      <c r="Y13" s="3686"/>
      <c r="Z13" s="52">
        <f t="shared" si="7"/>
        <v>111</v>
      </c>
      <c r="AA13" s="703">
        <f t="shared" si="3"/>
        <v>1</v>
      </c>
      <c r="AB13" s="703">
        <f t="shared" si="4"/>
        <v>1</v>
      </c>
      <c r="AC13" s="703">
        <f t="shared" si="5"/>
        <v>1</v>
      </c>
    </row>
    <row r="14" spans="1:29" ht="85.5">
      <c r="A14" s="391" t="s">
        <v>1690</v>
      </c>
      <c r="B14" s="61" t="s">
        <v>1833</v>
      </c>
      <c r="C14" s="1968"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19"/>
      <c r="M14" s="2713"/>
      <c r="N14" s="2713"/>
      <c r="O14" s="2770"/>
      <c r="P14" s="3745" t="s">
        <v>1691</v>
      </c>
      <c r="Q14" s="1350" t="str">
        <f t="shared" si="6"/>
        <v>交通便捷度</v>
      </c>
      <c r="R14" s="704" t="s">
        <v>14</v>
      </c>
      <c r="S14" s="705">
        <f t="shared" si="0"/>
        <v>100</v>
      </c>
      <c r="T14" s="704" t="s">
        <v>14</v>
      </c>
      <c r="U14" s="705">
        <f t="shared" si="1"/>
        <v>100</v>
      </c>
      <c r="V14" s="704" t="s">
        <v>14</v>
      </c>
      <c r="W14" s="705">
        <f t="shared" si="2"/>
        <v>100</v>
      </c>
      <c r="X14" s="1353"/>
      <c r="Y14" s="3745" t="s">
        <v>1691</v>
      </c>
      <c r="Z14" s="1354" t="str">
        <f t="shared" si="7"/>
        <v>交通便捷度</v>
      </c>
      <c r="AA14" s="1351">
        <f t="shared" si="3"/>
        <v>1</v>
      </c>
      <c r="AB14" s="1351">
        <f t="shared" si="4"/>
        <v>1</v>
      </c>
      <c r="AC14" s="1351">
        <f t="shared" si="5"/>
        <v>1</v>
      </c>
    </row>
    <row r="15" spans="1:29" ht="15">
      <c r="A15" s="379"/>
      <c r="B15" s="397"/>
      <c r="C15" s="398"/>
      <c r="D15" s="399"/>
      <c r="E15" s="398"/>
      <c r="F15" s="400"/>
      <c r="G15" s="398"/>
      <c r="H15" s="401"/>
      <c r="I15" s="398"/>
      <c r="J15" s="399"/>
      <c r="K15" s="564"/>
      <c r="L15" s="2719"/>
      <c r="M15" s="2713"/>
      <c r="N15" s="2713"/>
      <c r="O15" s="2770"/>
      <c r="P15" s="3746"/>
      <c r="Q15" s="1350"/>
      <c r="R15" s="704"/>
      <c r="S15" s="705"/>
      <c r="T15" s="704"/>
      <c r="U15" s="705"/>
      <c r="V15" s="704"/>
      <c r="W15" s="705"/>
      <c r="X15" s="1353"/>
      <c r="Y15" s="3746"/>
      <c r="Z15" s="1354"/>
      <c r="AA15" s="1351">
        <v>1</v>
      </c>
      <c r="AB15" s="1351">
        <v>1</v>
      </c>
      <c r="AC15" s="1351">
        <v>1</v>
      </c>
    </row>
    <row r="16" spans="1:29" ht="42.75">
      <c r="A16" s="379"/>
      <c r="B16" s="402" t="s">
        <v>1812</v>
      </c>
      <c r="C16" s="1898"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19"/>
      <c r="M16" s="2713"/>
      <c r="N16" s="2713"/>
      <c r="O16" s="2770"/>
      <c r="P16" s="3746"/>
      <c r="Q16" s="1350" t="str">
        <f>B16</f>
        <v>公共配套设施</v>
      </c>
      <c r="R16" s="704" t="s">
        <v>14</v>
      </c>
      <c r="S16" s="705">
        <f>F16</f>
        <v>100</v>
      </c>
      <c r="T16" s="704" t="s">
        <v>14</v>
      </c>
      <c r="U16" s="705">
        <f>H16</f>
        <v>100</v>
      </c>
      <c r="V16" s="704" t="s">
        <v>14</v>
      </c>
      <c r="W16" s="705">
        <f>J16</f>
        <v>100</v>
      </c>
      <c r="X16" s="1353"/>
      <c r="Y16" s="3746"/>
      <c r="Z16" s="1354" t="str">
        <f>Q16</f>
        <v>公共配套设施</v>
      </c>
      <c r="AA16" s="1351">
        <f t="shared" si="3"/>
        <v>1</v>
      </c>
      <c r="AB16" s="1351">
        <f t="shared" si="4"/>
        <v>1</v>
      </c>
      <c r="AC16" s="1351">
        <f t="shared" si="5"/>
        <v>1</v>
      </c>
    </row>
    <row r="17" spans="1:29" ht="15">
      <c r="A17" s="379"/>
      <c r="B17" s="407"/>
      <c r="C17" s="1899"/>
      <c r="D17" s="399"/>
      <c r="E17" s="398"/>
      <c r="F17" s="400"/>
      <c r="G17" s="398"/>
      <c r="H17" s="399"/>
      <c r="I17" s="398"/>
      <c r="J17" s="399"/>
      <c r="K17" s="564"/>
      <c r="L17" s="2719"/>
      <c r="M17" s="2713"/>
      <c r="N17" s="2713"/>
      <c r="O17" s="2770"/>
      <c r="P17" s="3746"/>
      <c r="Q17" s="1350"/>
      <c r="R17" s="704"/>
      <c r="S17" s="705"/>
      <c r="T17" s="704"/>
      <c r="U17" s="705"/>
      <c r="V17" s="704"/>
      <c r="W17" s="705"/>
      <c r="X17" s="1353"/>
      <c r="Y17" s="3746"/>
      <c r="Z17" s="1354"/>
      <c r="AA17" s="1351">
        <v>1</v>
      </c>
      <c r="AB17" s="1351">
        <v>1</v>
      </c>
      <c r="AC17" s="1351">
        <v>1</v>
      </c>
    </row>
    <row r="18" spans="1:29" ht="28.5">
      <c r="A18" s="379"/>
      <c r="B18" s="1130" t="s">
        <v>1813</v>
      </c>
      <c r="C18" s="1898"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19"/>
      <c r="M18" s="2713"/>
      <c r="N18" s="2713"/>
      <c r="O18" s="2770"/>
      <c r="P18" s="3746"/>
      <c r="Q18" s="1350" t="str">
        <f>B18</f>
        <v>基础设施水平</v>
      </c>
      <c r="R18" s="704" t="s">
        <v>14</v>
      </c>
      <c r="S18" s="705">
        <f>F18</f>
        <v>100</v>
      </c>
      <c r="T18" s="704" t="s">
        <v>14</v>
      </c>
      <c r="U18" s="705">
        <f>H18</f>
        <v>100</v>
      </c>
      <c r="V18" s="704" t="s">
        <v>14</v>
      </c>
      <c r="W18" s="705">
        <f>J18</f>
        <v>100</v>
      </c>
      <c r="X18" s="1353"/>
      <c r="Y18" s="3746"/>
      <c r="Z18" s="1354" t="str">
        <f>Q18</f>
        <v>基础设施水平</v>
      </c>
      <c r="AA18" s="1351">
        <f t="shared" ref="AA18" si="8">D18/F18</f>
        <v>1</v>
      </c>
      <c r="AB18" s="1351">
        <f t="shared" ref="AB18" si="9">D18/H18</f>
        <v>1</v>
      </c>
      <c r="AC18" s="1351">
        <f t="shared" ref="AC18" si="10">D18/J18</f>
        <v>1</v>
      </c>
    </row>
    <row r="19" spans="1:29" ht="15">
      <c r="A19" s="379"/>
      <c r="B19" s="1130"/>
      <c r="C19" s="1899"/>
      <c r="D19" s="401"/>
      <c r="E19" s="1899"/>
      <c r="F19" s="404"/>
      <c r="G19" s="1899"/>
      <c r="H19" s="399"/>
      <c r="I19" s="398"/>
      <c r="J19" s="399"/>
      <c r="K19" s="1129"/>
      <c r="L19" s="2719"/>
      <c r="M19" s="2713"/>
      <c r="N19" s="2713"/>
      <c r="O19" s="2770"/>
      <c r="P19" s="3746"/>
      <c r="Q19" s="1350"/>
      <c r="R19" s="704"/>
      <c r="S19" s="705"/>
      <c r="T19" s="704"/>
      <c r="U19" s="705"/>
      <c r="V19" s="704"/>
      <c r="W19" s="705"/>
      <c r="X19" s="1353"/>
      <c r="Y19" s="3746"/>
      <c r="Z19" s="1354"/>
      <c r="AA19" s="1351">
        <v>1</v>
      </c>
      <c r="AB19" s="1351">
        <v>1</v>
      </c>
      <c r="AC19" s="1351">
        <v>1</v>
      </c>
    </row>
    <row r="20" spans="1:29" ht="57">
      <c r="A20" s="379"/>
      <c r="B20" s="402" t="s">
        <v>1834</v>
      </c>
      <c r="C20" s="1898"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19"/>
      <c r="M20" s="2713"/>
      <c r="N20" s="2713"/>
      <c r="O20" s="2770"/>
      <c r="P20" s="3746"/>
      <c r="Q20" s="1350" t="str">
        <f>B20</f>
        <v>自然及人文环境</v>
      </c>
      <c r="R20" s="704" t="s">
        <v>14</v>
      </c>
      <c r="S20" s="705">
        <f>F20</f>
        <v>100</v>
      </c>
      <c r="T20" s="704" t="s">
        <v>14</v>
      </c>
      <c r="U20" s="705">
        <f>H20</f>
        <v>100</v>
      </c>
      <c r="V20" s="704" t="s">
        <v>14</v>
      </c>
      <c r="W20" s="705">
        <f>J20</f>
        <v>100</v>
      </c>
      <c r="X20" s="1353"/>
      <c r="Y20" s="3746"/>
      <c r="Z20" s="1354" t="str">
        <f>Q20</f>
        <v>自然及人文环境</v>
      </c>
      <c r="AA20" s="1351">
        <f t="shared" si="3"/>
        <v>1</v>
      </c>
      <c r="AB20" s="1351">
        <f t="shared" si="4"/>
        <v>1</v>
      </c>
      <c r="AC20" s="1351">
        <f t="shared" si="5"/>
        <v>1</v>
      </c>
    </row>
    <row r="21" spans="1:29" ht="15">
      <c r="A21" s="379"/>
      <c r="B21" s="407"/>
      <c r="C21" s="398"/>
      <c r="D21" s="399"/>
      <c r="E21" s="398"/>
      <c r="F21" s="400"/>
      <c r="G21" s="398"/>
      <c r="H21" s="399"/>
      <c r="I21" s="398"/>
      <c r="J21" s="399"/>
      <c r="K21" s="564"/>
      <c r="L21" s="2719"/>
      <c r="M21" s="2713"/>
      <c r="N21" s="2713"/>
      <c r="O21" s="2770"/>
      <c r="P21" s="3746"/>
      <c r="Q21" s="1350"/>
      <c r="R21" s="704"/>
      <c r="S21" s="705"/>
      <c r="T21" s="704"/>
      <c r="U21" s="705"/>
      <c r="V21" s="704"/>
      <c r="W21" s="705"/>
      <c r="X21" s="1353"/>
      <c r="Y21" s="3746"/>
      <c r="Z21" s="1354"/>
      <c r="AA21" s="1351">
        <v>1</v>
      </c>
      <c r="AB21" s="1351">
        <v>1</v>
      </c>
      <c r="AC21" s="1351">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19"/>
      <c r="M22" s="2713"/>
      <c r="N22" s="2713"/>
      <c r="O22" s="2770"/>
      <c r="P22" s="3746"/>
      <c r="Q22" s="1350" t="str">
        <f>B22</f>
        <v>楼层</v>
      </c>
      <c r="R22" s="704" t="s">
        <v>14</v>
      </c>
      <c r="S22" s="705">
        <f>F22</f>
        <v>100</v>
      </c>
      <c r="T22" s="704" t="s">
        <v>14</v>
      </c>
      <c r="U22" s="705">
        <f>H22</f>
        <v>100</v>
      </c>
      <c r="V22" s="704" t="s">
        <v>14</v>
      </c>
      <c r="W22" s="705">
        <f>J22</f>
        <v>100</v>
      </c>
      <c r="X22" s="1353"/>
      <c r="Y22" s="3746"/>
      <c r="Z22" s="1354" t="str">
        <f>Q22</f>
        <v>楼层</v>
      </c>
      <c r="AA22" s="1351">
        <f t="shared" si="3"/>
        <v>1</v>
      </c>
      <c r="AB22" s="1351">
        <f t="shared" si="4"/>
        <v>1</v>
      </c>
      <c r="AC22" s="1351">
        <f t="shared" si="5"/>
        <v>1</v>
      </c>
    </row>
    <row r="23" spans="1:29" ht="15">
      <c r="A23" s="358"/>
      <c r="B23" s="1891">
        <v>111</v>
      </c>
      <c r="C23" s="383"/>
      <c r="D23" s="386">
        <v>100</v>
      </c>
      <c r="E23" s="385"/>
      <c r="F23" s="412">
        <f>SUMIF(71:71,E23,72:72)-SUMIF(71:71,C23,72:72)+100</f>
        <v>100</v>
      </c>
      <c r="G23" s="385"/>
      <c r="H23" s="386">
        <f>SUMIF(71:71,G23,72:72)-SUMIF(71:71,C23,72:72)+100</f>
        <v>100</v>
      </c>
      <c r="I23" s="385"/>
      <c r="J23" s="386">
        <f>SUMIF(71:71,I23,72:72)-SUMIF(71:71,C23,72:72)+100</f>
        <v>100</v>
      </c>
      <c r="K23" s="562"/>
      <c r="L23" s="2719"/>
      <c r="M23" s="2713"/>
      <c r="N23" s="2713"/>
      <c r="O23" s="2770"/>
      <c r="P23" s="3746"/>
      <c r="Q23" s="1350">
        <f>B23</f>
        <v>111</v>
      </c>
      <c r="R23" s="704" t="s">
        <v>14</v>
      </c>
      <c r="S23" s="705">
        <f>F23</f>
        <v>100</v>
      </c>
      <c r="T23" s="704" t="s">
        <v>14</v>
      </c>
      <c r="U23" s="705">
        <f>H23</f>
        <v>100</v>
      </c>
      <c r="V23" s="704" t="s">
        <v>14</v>
      </c>
      <c r="W23" s="705">
        <f>J23</f>
        <v>100</v>
      </c>
      <c r="X23" s="1353"/>
      <c r="Y23" s="3746"/>
      <c r="Z23" s="1354">
        <f>Q23</f>
        <v>111</v>
      </c>
      <c r="AA23" s="1351">
        <f t="shared" si="3"/>
        <v>1</v>
      </c>
      <c r="AB23" s="1351">
        <f t="shared" si="4"/>
        <v>1</v>
      </c>
      <c r="AC23" s="1351">
        <f t="shared" si="5"/>
        <v>1</v>
      </c>
    </row>
    <row r="24" spans="1:29" ht="15">
      <c r="A24" s="379"/>
      <c r="B24" s="1891">
        <v>111</v>
      </c>
      <c r="C24" s="383"/>
      <c r="D24" s="386">
        <v>100</v>
      </c>
      <c r="E24" s="385"/>
      <c r="F24" s="412">
        <f>SUMIF(73:73,E24,74:74)-SUMIF(73:73,C24,74:74)+100</f>
        <v>100</v>
      </c>
      <c r="G24" s="385"/>
      <c r="H24" s="386">
        <f>SUMIF(73:73,G24,74:74)-SUMIF(73:73,C24,74:74)+100</f>
        <v>100</v>
      </c>
      <c r="I24" s="385"/>
      <c r="J24" s="386">
        <f>SUMIF(73:73,I24,74:74)-SUMIF(73:73,C24,74:74)+100</f>
        <v>100</v>
      </c>
      <c r="K24" s="562"/>
      <c r="L24" s="2719"/>
      <c r="M24" s="2713"/>
      <c r="N24" s="2713"/>
      <c r="O24" s="2770"/>
      <c r="P24" s="3746"/>
      <c r="Q24" s="1350">
        <f t="shared" ref="Q24:Q34" si="11">B24</f>
        <v>111</v>
      </c>
      <c r="R24" s="704" t="s">
        <v>14</v>
      </c>
      <c r="S24" s="705">
        <f>F24</f>
        <v>100</v>
      </c>
      <c r="T24" s="704" t="s">
        <v>14</v>
      </c>
      <c r="U24" s="705">
        <f>H24</f>
        <v>100</v>
      </c>
      <c r="V24" s="704" t="s">
        <v>14</v>
      </c>
      <c r="W24" s="705">
        <f>J24</f>
        <v>100</v>
      </c>
      <c r="X24" s="1353"/>
      <c r="Y24" s="3746"/>
      <c r="Z24" s="1354">
        <f>Q24</f>
        <v>111</v>
      </c>
      <c r="AA24" s="1351">
        <f t="shared" si="3"/>
        <v>1</v>
      </c>
      <c r="AB24" s="1351">
        <f t="shared" si="4"/>
        <v>1</v>
      </c>
      <c r="AC24" s="1351">
        <f t="shared" si="5"/>
        <v>1</v>
      </c>
    </row>
    <row r="25" spans="1:29" s="108" customFormat="1" ht="15.75" thickBot="1">
      <c r="A25" s="382"/>
      <c r="B25" s="1891">
        <v>111</v>
      </c>
      <c r="C25" s="1973"/>
      <c r="D25" s="613">
        <v>100</v>
      </c>
      <c r="E25" s="1973"/>
      <c r="F25" s="614">
        <f>SUMIF(75:75,E25,76:76)-SUMIF(75:75,C25,76:76)+100</f>
        <v>100</v>
      </c>
      <c r="G25" s="1973"/>
      <c r="H25" s="613">
        <f>SUMIF(75:75,G25,76:76)-SUMIF(75:75,C25,76:76)+100</f>
        <v>100</v>
      </c>
      <c r="I25" s="1973"/>
      <c r="J25" s="613">
        <f>SUMIF(75:75,I25,76:76)-SUMIF(75:75,C25,76:76)+100</f>
        <v>100</v>
      </c>
      <c r="K25" s="562"/>
      <c r="L25" s="2714"/>
      <c r="M25" s="2715"/>
      <c r="N25" s="2715"/>
      <c r="O25" s="2768"/>
      <c r="P25" s="3746"/>
      <c r="Q25" s="1341">
        <f t="shared" si="11"/>
        <v>111</v>
      </c>
      <c r="R25" s="700" t="s">
        <v>14</v>
      </c>
      <c r="S25" s="701">
        <f>F25</f>
        <v>100</v>
      </c>
      <c r="T25" s="700" t="s">
        <v>14</v>
      </c>
      <c r="U25" s="701">
        <f>H25</f>
        <v>100</v>
      </c>
      <c r="V25" s="700" t="s">
        <v>14</v>
      </c>
      <c r="W25" s="701">
        <f>J25</f>
        <v>100</v>
      </c>
      <c r="X25" s="702"/>
      <c r="Y25" s="3746"/>
      <c r="Z25" s="52">
        <f>Q25</f>
        <v>111</v>
      </c>
      <c r="AA25" s="1351">
        <f>D25/F25</f>
        <v>1</v>
      </c>
      <c r="AB25" s="1351">
        <f>D25/H25</f>
        <v>1</v>
      </c>
      <c r="AC25" s="1351">
        <f>D25/J25</f>
        <v>1</v>
      </c>
    </row>
    <row r="26" spans="1:29" ht="28.5">
      <c r="A26" s="417" t="s">
        <v>1694</v>
      </c>
      <c r="B26" s="63" t="s">
        <v>1838</v>
      </c>
      <c r="C26" s="1964"/>
      <c r="D26" s="418">
        <v>100</v>
      </c>
      <c r="E26" s="1964"/>
      <c r="F26" s="615">
        <f>SUMIF(77:77,E26,78:78)-SUMIF(77:77,C26,78:78)+100</f>
        <v>100</v>
      </c>
      <c r="G26" s="1964"/>
      <c r="H26" s="418">
        <f>SUMIF(77:77,G26,78:78)-SUMIF(77:77,C26,78:78)+100</f>
        <v>100</v>
      </c>
      <c r="I26" s="1964"/>
      <c r="J26" s="418">
        <f>SUMIF(77:77,I26,78:78)-SUMIF(77:77,C26,78:78)+100</f>
        <v>100</v>
      </c>
      <c r="K26" s="561"/>
      <c r="L26" s="2719"/>
      <c r="M26" s="2713"/>
      <c r="N26" s="2713"/>
      <c r="O26" s="2770"/>
      <c r="P26" s="3761" t="s">
        <v>1696</v>
      </c>
      <c r="Q26" s="1350" t="str">
        <f t="shared" si="11"/>
        <v>公共部分装修</v>
      </c>
      <c r="R26" s="704" t="s">
        <v>14</v>
      </c>
      <c r="S26" s="705">
        <f t="shared" ref="S26:S34" si="12">F26</f>
        <v>100</v>
      </c>
      <c r="T26" s="704" t="s">
        <v>14</v>
      </c>
      <c r="U26" s="705">
        <f t="shared" ref="U26:U34" si="13">H26</f>
        <v>100</v>
      </c>
      <c r="V26" s="704" t="s">
        <v>14</v>
      </c>
      <c r="W26" s="705">
        <f t="shared" ref="W26:W34" si="14">J26</f>
        <v>100</v>
      </c>
      <c r="X26" s="1353"/>
      <c r="Y26" s="3750" t="s">
        <v>1696</v>
      </c>
      <c r="Z26" s="1354" t="str">
        <f t="shared" ref="Z26:Z34" si="15">Q26</f>
        <v>公共部分装修</v>
      </c>
      <c r="AA26" s="1351">
        <f t="shared" si="3"/>
        <v>1</v>
      </c>
      <c r="AB26" s="1351">
        <f t="shared" si="4"/>
        <v>1</v>
      </c>
      <c r="AC26" s="1351">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18"/>
      <c r="M27" s="2720"/>
      <c r="N27" s="2720"/>
      <c r="O27" s="2771"/>
      <c r="P27" s="3750"/>
      <c r="Q27" s="706" t="str">
        <f t="shared" si="11"/>
        <v>成新率</v>
      </c>
      <c r="R27" s="707" t="s">
        <v>14</v>
      </c>
      <c r="S27" s="708" t="e">
        <f t="shared" si="12"/>
        <v>#N/A</v>
      </c>
      <c r="T27" s="707" t="s">
        <v>14</v>
      </c>
      <c r="U27" s="708" t="e">
        <f t="shared" si="13"/>
        <v>#N/A</v>
      </c>
      <c r="V27" s="707" t="s">
        <v>14</v>
      </c>
      <c r="W27" s="708" t="e">
        <f t="shared" si="14"/>
        <v>#N/A</v>
      </c>
      <c r="X27" s="709"/>
      <c r="Y27" s="3750"/>
      <c r="Z27" s="710" t="str">
        <f t="shared" si="15"/>
        <v>成新率</v>
      </c>
      <c r="AA27" s="1351" t="e">
        <f t="shared" si="3"/>
        <v>#N/A</v>
      </c>
      <c r="AB27" s="1351" t="e">
        <f t="shared" si="4"/>
        <v>#N/A</v>
      </c>
      <c r="AC27" s="1351"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19"/>
      <c r="M28" s="2713"/>
      <c r="N28" s="2713"/>
      <c r="O28" s="2770"/>
      <c r="P28" s="3750"/>
      <c r="Q28" s="1350" t="str">
        <f t="shared" si="11"/>
        <v>物业等级</v>
      </c>
      <c r="R28" s="704" t="s">
        <v>14</v>
      </c>
      <c r="S28" s="705">
        <f t="shared" si="12"/>
        <v>100</v>
      </c>
      <c r="T28" s="704" t="s">
        <v>14</v>
      </c>
      <c r="U28" s="705">
        <f t="shared" si="13"/>
        <v>100</v>
      </c>
      <c r="V28" s="704" t="s">
        <v>14</v>
      </c>
      <c r="W28" s="705">
        <f t="shared" si="14"/>
        <v>100</v>
      </c>
      <c r="X28" s="1353"/>
      <c r="Y28" s="3750"/>
      <c r="Z28" s="1354" t="str">
        <f t="shared" si="15"/>
        <v>物业等级</v>
      </c>
      <c r="AA28" s="1351">
        <f t="shared" si="3"/>
        <v>1</v>
      </c>
      <c r="AB28" s="1351">
        <f t="shared" si="4"/>
        <v>1</v>
      </c>
      <c r="AC28" s="1351">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19"/>
      <c r="M29" s="2713"/>
      <c r="N29" s="2713"/>
      <c r="O29" s="2770"/>
      <c r="P29" s="3750"/>
      <c r="Q29" s="1350" t="str">
        <f t="shared" si="11"/>
        <v>有无电梯</v>
      </c>
      <c r="R29" s="704" t="s">
        <v>14</v>
      </c>
      <c r="S29" s="705">
        <f t="shared" si="12"/>
        <v>100</v>
      </c>
      <c r="T29" s="704" t="s">
        <v>14</v>
      </c>
      <c r="U29" s="705">
        <f t="shared" si="13"/>
        <v>100</v>
      </c>
      <c r="V29" s="704" t="s">
        <v>14</v>
      </c>
      <c r="W29" s="705">
        <f t="shared" si="14"/>
        <v>100</v>
      </c>
      <c r="X29" s="1353"/>
      <c r="Y29" s="3750"/>
      <c r="Z29" s="1354" t="str">
        <f t="shared" si="15"/>
        <v>有无电梯</v>
      </c>
      <c r="AA29" s="1351">
        <f t="shared" si="3"/>
        <v>1</v>
      </c>
      <c r="AB29" s="1351">
        <f t="shared" si="4"/>
        <v>1</v>
      </c>
      <c r="AC29" s="1351">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19"/>
      <c r="M30" s="2713"/>
      <c r="N30" s="2713"/>
      <c r="O30" s="2770"/>
      <c r="P30" s="3750"/>
      <c r="Q30" s="1350" t="str">
        <f t="shared" si="11"/>
        <v>建筑面积</v>
      </c>
      <c r="R30" s="704" t="s">
        <v>14</v>
      </c>
      <c r="S30" s="705" t="e">
        <f t="shared" si="12"/>
        <v>#N/A</v>
      </c>
      <c r="T30" s="704" t="s">
        <v>14</v>
      </c>
      <c r="U30" s="705" t="e">
        <f t="shared" si="13"/>
        <v>#N/A</v>
      </c>
      <c r="V30" s="704" t="s">
        <v>14</v>
      </c>
      <c r="W30" s="705" t="e">
        <f t="shared" si="14"/>
        <v>#N/A</v>
      </c>
      <c r="X30" s="1353"/>
      <c r="Y30" s="3750"/>
      <c r="Z30" s="1354" t="str">
        <f t="shared" si="15"/>
        <v>建筑面积</v>
      </c>
      <c r="AA30" s="1351" t="e">
        <f t="shared" si="3"/>
        <v>#N/A</v>
      </c>
      <c r="AB30" s="1351" t="e">
        <f t="shared" si="4"/>
        <v>#N/A</v>
      </c>
      <c r="AC30" s="1351"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4"/>
      <c r="M31" s="2715"/>
      <c r="N31" s="2715"/>
      <c r="O31" s="2768"/>
      <c r="P31" s="3750"/>
      <c r="Q31" s="1341" t="str">
        <f t="shared" si="11"/>
        <v>是否封闭</v>
      </c>
      <c r="R31" s="700" t="s">
        <v>14</v>
      </c>
      <c r="S31" s="701">
        <f t="shared" si="12"/>
        <v>100</v>
      </c>
      <c r="T31" s="700" t="s">
        <v>14</v>
      </c>
      <c r="U31" s="701">
        <f t="shared" si="13"/>
        <v>100</v>
      </c>
      <c r="V31" s="700" t="s">
        <v>14</v>
      </c>
      <c r="W31" s="701">
        <f t="shared" si="14"/>
        <v>100</v>
      </c>
      <c r="X31" s="702"/>
      <c r="Y31" s="3750"/>
      <c r="Z31" s="52" t="str">
        <f t="shared" si="15"/>
        <v>是否封闭</v>
      </c>
      <c r="AA31" s="703">
        <f t="shared" si="3"/>
        <v>1</v>
      </c>
      <c r="AB31" s="703">
        <f t="shared" si="4"/>
        <v>1</v>
      </c>
      <c r="AC31" s="703">
        <f t="shared" si="5"/>
        <v>1</v>
      </c>
    </row>
    <row r="32" spans="1:29" ht="15">
      <c r="A32" s="423"/>
      <c r="B32" s="1891">
        <v>111</v>
      </c>
      <c r="C32" s="383"/>
      <c r="D32" s="386">
        <v>100</v>
      </c>
      <c r="E32" s="420"/>
      <c r="F32" s="412">
        <f>SUMIF(91:91,E32,92:92)-SUMIF(91:91,C32,92:92)+100</f>
        <v>100</v>
      </c>
      <c r="G32" s="420"/>
      <c r="H32" s="386">
        <f>SUMIF(91:91,G32,92:92)-SUMIF(91:91,C32,92:92)+100</f>
        <v>100</v>
      </c>
      <c r="I32" s="420"/>
      <c r="J32" s="386">
        <f>SUMIF(91:91,I32,92:92)-SUMIF(91:91,C32,92:92)+100</f>
        <v>100</v>
      </c>
      <c r="K32" s="562"/>
      <c r="L32" s="2719"/>
      <c r="M32" s="2713"/>
      <c r="N32" s="2713"/>
      <c r="O32" s="2770"/>
      <c r="P32" s="3750" t="s">
        <v>1696</v>
      </c>
      <c r="Q32" s="1350">
        <f t="shared" si="11"/>
        <v>111</v>
      </c>
      <c r="R32" s="704" t="s">
        <v>14</v>
      </c>
      <c r="S32" s="705">
        <f t="shared" si="12"/>
        <v>100</v>
      </c>
      <c r="T32" s="704" t="s">
        <v>14</v>
      </c>
      <c r="U32" s="705">
        <f t="shared" si="13"/>
        <v>100</v>
      </c>
      <c r="V32" s="704" t="s">
        <v>14</v>
      </c>
      <c r="W32" s="705">
        <f t="shared" si="14"/>
        <v>100</v>
      </c>
      <c r="X32" s="1353"/>
      <c r="Y32" s="3750" t="s">
        <v>1696</v>
      </c>
      <c r="Z32" s="1354">
        <f t="shared" si="15"/>
        <v>111</v>
      </c>
      <c r="AA32" s="1351">
        <f t="shared" si="3"/>
        <v>1</v>
      </c>
      <c r="AB32" s="1351">
        <f t="shared" si="4"/>
        <v>1</v>
      </c>
      <c r="AC32" s="1351">
        <f t="shared" si="5"/>
        <v>1</v>
      </c>
    </row>
    <row r="33" spans="1:30" ht="15">
      <c r="A33" s="423"/>
      <c r="B33" s="1891">
        <v>111</v>
      </c>
      <c r="C33" s="383"/>
      <c r="D33" s="386">
        <v>100</v>
      </c>
      <c r="E33" s="420"/>
      <c r="F33" s="412">
        <f>SUMIF(93:93,E33,94:94)-SUMIF(93:93,C33,94:94)+100</f>
        <v>100</v>
      </c>
      <c r="G33" s="420"/>
      <c r="H33" s="386">
        <f>SUMIF(93:93,G33,94:94)-SUMIF(93:93,C33,94:94)+100</f>
        <v>100</v>
      </c>
      <c r="I33" s="420"/>
      <c r="J33" s="386">
        <f>SUMIF(93:93,I33,94:94)-SUMIF(93:93,C33,94:94)+100</f>
        <v>100</v>
      </c>
      <c r="K33" s="562"/>
      <c r="L33" s="2719"/>
      <c r="M33" s="2713"/>
      <c r="N33" s="2713"/>
      <c r="O33" s="2770"/>
      <c r="P33" s="3750"/>
      <c r="Q33" s="1350">
        <f t="shared" si="11"/>
        <v>111</v>
      </c>
      <c r="R33" s="704" t="s">
        <v>14</v>
      </c>
      <c r="S33" s="705">
        <f t="shared" si="12"/>
        <v>100</v>
      </c>
      <c r="T33" s="704" t="s">
        <v>14</v>
      </c>
      <c r="U33" s="705">
        <f t="shared" si="13"/>
        <v>100</v>
      </c>
      <c r="V33" s="704" t="s">
        <v>14</v>
      </c>
      <c r="W33" s="705">
        <f t="shared" si="14"/>
        <v>100</v>
      </c>
      <c r="X33" s="1353"/>
      <c r="Y33" s="3750"/>
      <c r="Z33" s="1354">
        <f t="shared" si="15"/>
        <v>111</v>
      </c>
      <c r="AA33" s="1351">
        <f t="shared" si="3"/>
        <v>1</v>
      </c>
      <c r="AB33" s="1351">
        <f t="shared" si="4"/>
        <v>1</v>
      </c>
      <c r="AC33" s="1351">
        <f t="shared" si="5"/>
        <v>1</v>
      </c>
    </row>
    <row r="34" spans="1:30" ht="15.75" thickBot="1">
      <c r="A34" s="429"/>
      <c r="B34" s="1893">
        <v>111</v>
      </c>
      <c r="C34" s="388"/>
      <c r="D34" s="389">
        <v>100</v>
      </c>
      <c r="E34" s="1972"/>
      <c r="F34" s="390">
        <f>SUMIF(95:95,E34,96:96)-SUMIF(95:95,C34,96:96)+100</f>
        <v>100</v>
      </c>
      <c r="G34" s="1972"/>
      <c r="H34" s="389">
        <f>SUMIF(95:95,G34,96:96)-SUMIF(95:95,C34,96:96)+100</f>
        <v>100</v>
      </c>
      <c r="I34" s="1972"/>
      <c r="J34" s="389">
        <f>SUMIF(95:95,I34,96:96)-SUMIF(95:95,C34,96:96)+100</f>
        <v>100</v>
      </c>
      <c r="K34" s="562"/>
      <c r="L34" s="2719"/>
      <c r="M34" s="2713"/>
      <c r="N34" s="2713"/>
      <c r="O34" s="2770"/>
      <c r="P34" s="3750"/>
      <c r="Q34" s="1350">
        <f t="shared" si="11"/>
        <v>111</v>
      </c>
      <c r="R34" s="704" t="s">
        <v>14</v>
      </c>
      <c r="S34" s="705">
        <f t="shared" si="12"/>
        <v>100</v>
      </c>
      <c r="T34" s="704" t="s">
        <v>14</v>
      </c>
      <c r="U34" s="705">
        <f t="shared" si="13"/>
        <v>100</v>
      </c>
      <c r="V34" s="704" t="s">
        <v>14</v>
      </c>
      <c r="W34" s="705">
        <f t="shared" si="14"/>
        <v>100</v>
      </c>
      <c r="X34" s="1353"/>
      <c r="Y34" s="3750"/>
      <c r="Z34" s="1354">
        <f t="shared" si="15"/>
        <v>111</v>
      </c>
      <c r="AA34" s="1351">
        <f t="shared" si="3"/>
        <v>1</v>
      </c>
      <c r="AB34" s="1351">
        <f t="shared" si="4"/>
        <v>1</v>
      </c>
      <c r="AC34" s="1351">
        <f t="shared" si="5"/>
        <v>1</v>
      </c>
    </row>
    <row r="35" spans="1:30" ht="15">
      <c r="A35" s="430" t="s">
        <v>1708</v>
      </c>
      <c r="B35" s="431"/>
      <c r="C35" s="1153" t="s">
        <v>0</v>
      </c>
      <c r="D35" s="1154"/>
      <c r="E35" s="1155"/>
      <c r="F35" s="1156"/>
      <c r="G35" s="1157"/>
      <c r="H35" s="1158"/>
      <c r="I35" s="1155"/>
      <c r="J35" s="1158"/>
      <c r="K35" s="713"/>
      <c r="L35" s="2721"/>
      <c r="M35" s="2722"/>
      <c r="N35" s="2713"/>
      <c r="O35" s="2722"/>
      <c r="P35" s="3752" t="str">
        <f>A35</f>
        <v>成交单价（元/平方米）</v>
      </c>
      <c r="Q35" s="3752"/>
      <c r="R35" s="3753">
        <f>E35</f>
        <v>0</v>
      </c>
      <c r="S35" s="3753"/>
      <c r="T35" s="3753">
        <f>G35</f>
        <v>0</v>
      </c>
      <c r="U35" s="3753"/>
      <c r="V35" s="3753">
        <f>I35</f>
        <v>0</v>
      </c>
      <c r="W35" s="3753"/>
      <c r="X35" s="689"/>
      <c r="Y35" s="711"/>
      <c r="Z35" s="689"/>
      <c r="AA35" s="689"/>
      <c r="AB35" s="689"/>
      <c r="AC35" s="689"/>
    </row>
    <row r="36" spans="1:30" ht="15.75" thickBot="1">
      <c r="A36" s="437" t="s">
        <v>1793</v>
      </c>
      <c r="B36" s="438"/>
      <c r="C36" s="1159" t="e">
        <f>R37</f>
        <v>#DIV/0!</v>
      </c>
      <c r="D36" s="2314" t="s">
        <v>2136</v>
      </c>
      <c r="E36" s="1160" t="e">
        <f>R36</f>
        <v>#DIV/0!</v>
      </c>
      <c r="F36" s="2315"/>
      <c r="G36" s="1159" t="e">
        <f>T36</f>
        <v>#DIV/0!</v>
      </c>
      <c r="H36" s="2315"/>
      <c r="I36" s="1160" t="e">
        <f>V36</f>
        <v>#DIV/0!</v>
      </c>
      <c r="J36" s="2315"/>
      <c r="K36" s="2317">
        <f>F36+H36+J36</f>
        <v>0</v>
      </c>
      <c r="L36" s="2721"/>
      <c r="M36" s="2722"/>
      <c r="N36" s="2713"/>
      <c r="O36" s="2722"/>
      <c r="P36" s="3752" t="str">
        <f>A36</f>
        <v>比较价值（元/平方米）</v>
      </c>
      <c r="Q36" s="3752"/>
      <c r="R36" s="3753" t="e">
        <f>IF(F1="售价",ROUND(PRODUCT(R35,AA7:AA34),0),ROUND(PRODUCT(R35,AA7:AA34),1))</f>
        <v>#DIV/0!</v>
      </c>
      <c r="S36" s="3753"/>
      <c r="T36" s="3753" t="e">
        <f>IF(F1="售价",ROUND(PRODUCT(T35,AB7:AB34),0),ROUND(PRODUCT(T35,AB7:AB34),1))</f>
        <v>#DIV/0!</v>
      </c>
      <c r="U36" s="3753"/>
      <c r="V36" s="3753" t="e">
        <f>IF(F1="售价",ROUND(PRODUCT(V35,AC7:AC34),0),ROUND(PRODUCT(V35,AC7:AC34),1))</f>
        <v>#DIV/0!</v>
      </c>
      <c r="W36" s="3753"/>
      <c r="X36" s="689"/>
      <c r="Y36" s="689"/>
      <c r="Z36" s="689"/>
      <c r="AA36" s="689"/>
      <c r="AB36" s="689"/>
      <c r="AC36" s="689"/>
    </row>
    <row r="37" spans="1:30" ht="15.75" thickBot="1">
      <c r="A37" s="441" t="s">
        <v>1794</v>
      </c>
      <c r="B37" s="442"/>
      <c r="C37" s="1162" t="e">
        <f>R37</f>
        <v>#DIV/0!</v>
      </c>
      <c r="D37" s="1162"/>
      <c r="E37" s="1162"/>
      <c r="F37" s="1162"/>
      <c r="G37" s="1162"/>
      <c r="H37" s="1162"/>
      <c r="I37" s="1162"/>
      <c r="J37" s="1162"/>
      <c r="K37" s="714"/>
      <c r="L37" s="2721"/>
      <c r="M37" s="2722"/>
      <c r="N37" s="2722"/>
      <c r="O37" s="2722"/>
      <c r="P37" s="3754" t="str">
        <f>A37</f>
        <v>估价对象XX用房的比较价值（楼面单价，元/平方米）</v>
      </c>
      <c r="Q37" s="3755"/>
      <c r="R37" s="3816" t="e">
        <f>IF(F1="售价",ROUND(IF(D36="简单平均",AVERAGE(R36:W36),R36*F36+T36*H36+V36*J36),0),ROUND(IF(D36="简单平均",AVERAGE(R36:V36),R36*F36+T36*H36+V36*J36),1))</f>
        <v>#DIV/0!</v>
      </c>
      <c r="S37" s="3816"/>
      <c r="T37" s="3816"/>
      <c r="U37" s="3816"/>
      <c r="V37" s="3816"/>
      <c r="W37" s="3816"/>
      <c r="X37" s="689"/>
      <c r="Y37" s="689"/>
      <c r="Z37" s="689"/>
      <c r="AA37" s="689"/>
      <c r="AB37" s="689"/>
      <c r="AC37" s="689"/>
    </row>
    <row r="38" spans="1:30">
      <c r="A38" s="2722"/>
      <c r="B38" s="2722"/>
      <c r="C38" s="2722"/>
      <c r="D38" s="2722"/>
      <c r="E38" s="2722"/>
      <c r="F38" s="2722"/>
      <c r="G38" s="2726"/>
      <c r="H38" s="2722"/>
      <c r="I38" s="2722"/>
      <c r="J38" s="2722"/>
      <c r="K38" s="2727"/>
      <c r="L38" s="2723"/>
      <c r="M38" s="2722"/>
      <c r="N38" s="2722"/>
      <c r="O38" s="2722"/>
      <c r="P38" s="2722"/>
      <c r="Q38" s="2722"/>
      <c r="R38" s="2722"/>
      <c r="S38" s="2722"/>
      <c r="T38" s="2722"/>
      <c r="U38" s="2722"/>
      <c r="V38" s="2722"/>
      <c r="W38" s="2722"/>
      <c r="X38" s="2722"/>
      <c r="Y38" s="2722"/>
      <c r="Z38" s="2722"/>
      <c r="AA38" s="2722"/>
      <c r="AB38" s="2722"/>
      <c r="AC38" s="2722"/>
      <c r="AD38" s="2722"/>
    </row>
    <row r="39" spans="1:30">
      <c r="A39" s="2722"/>
      <c r="B39" s="2722"/>
      <c r="C39" s="2722"/>
      <c r="D39" s="2722"/>
      <c r="E39" s="2722"/>
      <c r="F39" s="2722"/>
      <c r="G39" s="2722"/>
      <c r="H39" s="2722"/>
      <c r="I39" s="2722"/>
      <c r="J39" s="2722"/>
      <c r="K39" s="2727"/>
      <c r="L39" s="2723"/>
      <c r="M39" s="2722"/>
      <c r="N39" s="2722"/>
      <c r="O39" s="2722"/>
      <c r="P39" s="2722"/>
      <c r="Q39" s="2722"/>
      <c r="R39" s="2722"/>
      <c r="S39" s="2722"/>
      <c r="T39" s="2722"/>
      <c r="U39" s="2722"/>
      <c r="V39" s="2722"/>
      <c r="W39" s="2722"/>
      <c r="X39" s="2722"/>
      <c r="Y39" s="2722"/>
      <c r="Z39" s="2722"/>
      <c r="AA39" s="2722"/>
      <c r="AB39" s="2722"/>
      <c r="AC39" s="2722"/>
      <c r="AD39" s="2722"/>
    </row>
    <row r="40" spans="1:30" ht="13.5" customHeight="1">
      <c r="A40" s="2722"/>
      <c r="B40" s="2722"/>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7"/>
      <c r="L40" s="2723"/>
      <c r="M40" s="2722"/>
      <c r="N40" s="2722"/>
      <c r="O40" s="2722"/>
      <c r="P40" s="2722"/>
      <c r="Q40" s="2722"/>
      <c r="R40" s="2722"/>
      <c r="S40" s="2722"/>
      <c r="T40" s="2722"/>
      <c r="U40" s="2722"/>
      <c r="V40" s="2722"/>
      <c r="W40" s="2722"/>
      <c r="X40" s="2722"/>
      <c r="Y40" s="2722"/>
      <c r="Z40" s="2722"/>
      <c r="AA40" s="2722"/>
      <c r="AB40" s="2722"/>
      <c r="AC40" s="2722"/>
      <c r="AD40" s="2722"/>
    </row>
    <row r="41" spans="1:30" ht="13.5" customHeight="1">
      <c r="A41" s="2722"/>
      <c r="B41" s="2722"/>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7"/>
      <c r="L41" s="2723"/>
      <c r="M41" s="2722"/>
      <c r="N41" s="2722"/>
      <c r="O41" s="2722"/>
      <c r="P41" s="2722"/>
      <c r="Q41" s="2722"/>
      <c r="R41" s="2722"/>
      <c r="S41" s="2722"/>
      <c r="T41" s="2722"/>
      <c r="U41" s="2722"/>
      <c r="V41" s="2722"/>
      <c r="W41" s="2722"/>
      <c r="X41" s="2722"/>
      <c r="Y41" s="2722"/>
      <c r="Z41" s="2722"/>
      <c r="AA41" s="2722"/>
      <c r="AB41" s="2722"/>
      <c r="AC41" s="2722"/>
      <c r="AD41" s="2722"/>
    </row>
    <row r="42" spans="1:30" s="451" customFormat="1" ht="13.5" customHeight="1">
      <c r="A42" s="2725"/>
      <c r="B42" s="2725"/>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0"/>
      <c r="L42" s="2724"/>
      <c r="M42" s="2725"/>
      <c r="N42" s="2725"/>
      <c r="O42" s="2725"/>
      <c r="P42" s="2725"/>
      <c r="Q42" s="2725"/>
      <c r="R42" s="2725"/>
      <c r="S42" s="2725"/>
      <c r="T42" s="2725"/>
      <c r="U42" s="2725"/>
      <c r="V42" s="2725"/>
      <c r="W42" s="2725"/>
      <c r="X42" s="2725"/>
      <c r="Y42" s="2725"/>
      <c r="Z42" s="2725"/>
      <c r="AA42" s="2725"/>
      <c r="AB42" s="2725"/>
      <c r="AC42" s="2725"/>
      <c r="AD42" s="2725"/>
    </row>
    <row r="43" spans="1:30" s="451" customFormat="1">
      <c r="A43" s="2725"/>
      <c r="B43" s="2728"/>
      <c r="C43" s="2729"/>
      <c r="D43" s="2725"/>
      <c r="E43" s="2725"/>
      <c r="F43" s="2725"/>
      <c r="G43" s="2725"/>
      <c r="H43" s="2725"/>
      <c r="I43" s="2725"/>
      <c r="J43" s="2725"/>
      <c r="K43" s="2730"/>
      <c r="L43" s="2724"/>
      <c r="M43" s="2725"/>
      <c r="N43" s="2725"/>
      <c r="O43" s="2725"/>
      <c r="P43" s="2725"/>
      <c r="Q43" s="2725"/>
      <c r="R43" s="2725"/>
      <c r="S43" s="2725"/>
      <c r="T43" s="2725"/>
      <c r="U43" s="2725"/>
      <c r="V43" s="2725"/>
      <c r="W43" s="2725"/>
      <c r="X43" s="2725"/>
      <c r="Y43" s="2725"/>
      <c r="Z43" s="2725"/>
      <c r="AA43" s="2725"/>
      <c r="AB43" s="2725"/>
      <c r="AC43" s="2725"/>
      <c r="AD43" s="2725"/>
    </row>
    <row r="44" spans="1:30">
      <c r="A44" s="2722"/>
      <c r="B44" s="2728"/>
      <c r="C44" s="2729"/>
      <c r="D44" s="2722"/>
      <c r="E44" s="2722"/>
      <c r="F44" s="2722"/>
      <c r="G44" s="2722"/>
      <c r="H44" s="2722"/>
      <c r="I44" s="2722"/>
      <c r="J44" s="2722"/>
      <c r="K44" s="2727"/>
      <c r="L44" s="2723"/>
      <c r="M44" s="2722"/>
      <c r="N44" s="2722"/>
      <c r="O44" s="2722"/>
      <c r="P44" s="2722"/>
      <c r="Q44" s="2722"/>
      <c r="R44" s="2722"/>
      <c r="S44" s="2722"/>
      <c r="T44" s="2722"/>
      <c r="U44" s="2722"/>
      <c r="V44" s="2722"/>
      <c r="W44" s="2722"/>
      <c r="X44" s="2722"/>
      <c r="Y44" s="2722"/>
      <c r="Z44" s="2722"/>
      <c r="AA44" s="2722"/>
      <c r="AB44" s="2722"/>
      <c r="AC44" s="2722"/>
      <c r="AD44" s="2722"/>
    </row>
    <row r="45" spans="1:30" ht="21.75" thickBot="1">
      <c r="A45" s="693" t="s">
        <v>1798</v>
      </c>
      <c r="B45" s="689"/>
      <c r="C45" s="694"/>
      <c r="D45" s="694"/>
      <c r="E45" s="694"/>
      <c r="F45" s="695"/>
      <c r="G45" s="695"/>
      <c r="H45" s="694"/>
      <c r="I45" s="694"/>
      <c r="J45" s="694"/>
      <c r="K45" s="696"/>
      <c r="L45" s="697"/>
      <c r="M45" s="694"/>
      <c r="N45" s="2765"/>
      <c r="O45" s="2765"/>
      <c r="P45" s="2765"/>
      <c r="Q45" s="2736"/>
      <c r="R45" s="2722"/>
      <c r="S45" s="2722"/>
      <c r="T45" s="2722"/>
      <c r="U45" s="2722"/>
      <c r="V45" s="2722"/>
      <c r="W45" s="2722"/>
      <c r="X45" s="2722"/>
      <c r="Y45" s="2722"/>
      <c r="Z45" s="2722"/>
      <c r="AA45" s="2722"/>
      <c r="AB45" s="2722"/>
      <c r="AC45" s="2722"/>
      <c r="AD45" s="2722"/>
    </row>
    <row r="46" spans="1:30" s="457" customFormat="1" ht="15">
      <c r="A46" s="454" t="s">
        <v>1679</v>
      </c>
      <c r="B46" s="455"/>
      <c r="C46" s="1182" t="str">
        <f>YEAR(C7)&amp;"-"&amp;MONTH(C7)</f>
        <v>2023-5</v>
      </c>
      <c r="D46" s="1183">
        <f>EDATE(C46,-1)</f>
        <v>45017</v>
      </c>
      <c r="E46" s="1183">
        <f t="shared" ref="E46:O46" si="16">EDATE(D46,-1)</f>
        <v>44986</v>
      </c>
      <c r="F46" s="1183">
        <f t="shared" si="16"/>
        <v>44958</v>
      </c>
      <c r="G46" s="1183">
        <f t="shared" si="16"/>
        <v>44927</v>
      </c>
      <c r="H46" s="1183">
        <f t="shared" si="16"/>
        <v>44896</v>
      </c>
      <c r="I46" s="1183">
        <f t="shared" si="16"/>
        <v>44866</v>
      </c>
      <c r="J46" s="1183">
        <f t="shared" si="16"/>
        <v>44835</v>
      </c>
      <c r="K46" s="1183">
        <f t="shared" si="16"/>
        <v>44805</v>
      </c>
      <c r="L46" s="1183">
        <f t="shared" si="16"/>
        <v>44774</v>
      </c>
      <c r="M46" s="1183">
        <f t="shared" si="16"/>
        <v>44743</v>
      </c>
      <c r="N46" s="1183">
        <f t="shared" si="16"/>
        <v>44713</v>
      </c>
      <c r="O46" s="1183">
        <f t="shared" si="16"/>
        <v>44682</v>
      </c>
      <c r="P46" s="2772"/>
      <c r="Q46" s="2737"/>
      <c r="R46" s="2737"/>
      <c r="S46" s="2737"/>
      <c r="T46" s="2737"/>
      <c r="U46" s="2737"/>
      <c r="V46" s="2737"/>
      <c r="W46" s="2737"/>
      <c r="X46" s="2737"/>
      <c r="Y46" s="2737"/>
      <c r="Z46" s="2737"/>
      <c r="AA46" s="2737"/>
      <c r="AB46" s="2737"/>
      <c r="AC46" s="2737"/>
      <c r="AD46" s="2737"/>
    </row>
    <row r="47" spans="1:30" s="108" customFormat="1" ht="15">
      <c r="A47" s="458"/>
      <c r="B47" s="459"/>
      <c r="C47" s="1181">
        <v>100</v>
      </c>
      <c r="D47" s="461"/>
      <c r="E47" s="461"/>
      <c r="F47" s="461"/>
      <c r="G47" s="461"/>
      <c r="H47" s="461"/>
      <c r="I47" s="461"/>
      <c r="J47" s="461"/>
      <c r="K47" s="461"/>
      <c r="L47" s="461"/>
      <c r="M47" s="462"/>
      <c r="N47" s="461"/>
      <c r="O47" s="463"/>
      <c r="P47" s="2736"/>
      <c r="Q47" s="2658"/>
      <c r="R47" s="2658"/>
      <c r="S47" s="2658"/>
      <c r="T47" s="2658"/>
      <c r="U47" s="2658"/>
      <c r="V47" s="2658"/>
      <c r="W47" s="2658"/>
      <c r="X47" s="2658"/>
      <c r="Y47" s="2658"/>
      <c r="Z47" s="2658"/>
      <c r="AA47" s="2658"/>
      <c r="AB47" s="2658"/>
      <c r="AC47" s="2658"/>
      <c r="AD47" s="2658"/>
    </row>
    <row r="48" spans="1:30" s="108" customFormat="1" ht="15.75" thickBot="1">
      <c r="A48" s="464" t="s">
        <v>1716</v>
      </c>
      <c r="B48" s="465"/>
      <c r="C48" s="466"/>
      <c r="D48" s="467"/>
      <c r="E48" s="467"/>
      <c r="F48" s="467"/>
      <c r="G48" s="467"/>
      <c r="H48" s="467"/>
      <c r="I48" s="467"/>
      <c r="J48" s="467"/>
      <c r="K48" s="467"/>
      <c r="L48" s="467"/>
      <c r="M48" s="468"/>
      <c r="N48" s="467"/>
      <c r="O48" s="469"/>
      <c r="P48" s="2736"/>
      <c r="Q48" s="2736"/>
      <c r="R48" s="2658"/>
      <c r="S48" s="2658"/>
      <c r="T48" s="2658"/>
      <c r="U48" s="2658"/>
      <c r="V48" s="2658"/>
      <c r="W48" s="2658"/>
      <c r="X48" s="2658"/>
      <c r="Y48" s="2658"/>
      <c r="Z48" s="2658"/>
      <c r="AA48" s="2658"/>
      <c r="AB48" s="2658"/>
      <c r="AC48" s="2658"/>
      <c r="AD48" s="2658"/>
    </row>
    <row r="49" spans="1:30" s="108" customFormat="1" ht="15">
      <c r="A49" s="470" t="s">
        <v>1681</v>
      </c>
      <c r="B49" s="459"/>
      <c r="C49" s="471" t="s">
        <v>1776</v>
      </c>
      <c r="D49" s="472"/>
      <c r="E49" s="472"/>
      <c r="F49" s="472"/>
      <c r="G49" s="472"/>
      <c r="H49" s="472"/>
      <c r="I49" s="472"/>
      <c r="J49" s="472"/>
      <c r="K49" s="472"/>
      <c r="L49" s="473"/>
      <c r="M49" s="474"/>
      <c r="N49" s="2748"/>
      <c r="O49" s="2748"/>
      <c r="P49" s="2773"/>
      <c r="Q49" s="2736"/>
      <c r="R49" s="2658"/>
      <c r="S49" s="2658"/>
      <c r="T49" s="2658"/>
      <c r="U49" s="2658"/>
      <c r="V49" s="2658"/>
      <c r="W49" s="2658"/>
      <c r="X49" s="2658"/>
      <c r="Y49" s="2658"/>
      <c r="Z49" s="2658"/>
      <c r="AA49" s="2658"/>
      <c r="AB49" s="2658"/>
      <c r="AC49" s="2658"/>
      <c r="AD49" s="2658"/>
    </row>
    <row r="50" spans="1:30" s="108" customFormat="1" ht="15.75" thickBot="1">
      <c r="A50" s="470"/>
      <c r="B50" s="459"/>
      <c r="C50" s="587">
        <v>100</v>
      </c>
      <c r="D50" s="461"/>
      <c r="E50" s="461"/>
      <c r="F50" s="461"/>
      <c r="G50" s="461"/>
      <c r="H50" s="461"/>
      <c r="I50" s="461"/>
      <c r="J50" s="461"/>
      <c r="K50" s="461"/>
      <c r="L50" s="461"/>
      <c r="M50" s="463"/>
      <c r="N50" s="2748"/>
      <c r="O50" s="2748"/>
      <c r="P50" s="2736"/>
      <c r="Q50" s="2736"/>
      <c r="R50" s="2658"/>
      <c r="S50" s="2658"/>
      <c r="T50" s="2658"/>
      <c r="U50" s="2658"/>
      <c r="V50" s="2658"/>
      <c r="W50" s="2658"/>
      <c r="X50" s="2658"/>
      <c r="Y50" s="2658"/>
      <c r="Z50" s="2658"/>
      <c r="AA50" s="2658"/>
      <c r="AB50" s="2658"/>
      <c r="AC50" s="2658"/>
      <c r="AD50" s="2658"/>
    </row>
    <row r="51" spans="1:30">
      <c r="A51" s="476" t="s">
        <v>1719</v>
      </c>
      <c r="B51" s="477" t="s">
        <v>1685</v>
      </c>
      <c r="C51" s="478">
        <f>C9</f>
        <v>0</v>
      </c>
      <c r="D51" s="479"/>
      <c r="E51" s="479"/>
      <c r="F51" s="479"/>
      <c r="G51" s="479"/>
      <c r="H51" s="479"/>
      <c r="I51" s="479"/>
      <c r="J51" s="479"/>
      <c r="K51" s="480"/>
      <c r="L51" s="481"/>
      <c r="M51" s="482"/>
      <c r="N51" s="2749"/>
      <c r="O51" s="2749"/>
      <c r="P51" s="2774"/>
      <c r="Q51" s="2736"/>
      <c r="R51" s="2722"/>
      <c r="S51" s="2722"/>
      <c r="T51" s="2722"/>
      <c r="U51" s="2722"/>
      <c r="V51" s="2722"/>
      <c r="W51" s="2722"/>
      <c r="X51" s="2722"/>
      <c r="Y51" s="2722"/>
      <c r="Z51" s="2722"/>
      <c r="AA51" s="2722"/>
      <c r="AB51" s="2722"/>
      <c r="AC51" s="2722"/>
      <c r="AD51" s="2722"/>
    </row>
    <row r="52" spans="1:30" ht="15.75" thickBot="1">
      <c r="A52" s="483"/>
      <c r="B52" s="484"/>
      <c r="C52" s="485">
        <v>100</v>
      </c>
      <c r="D52" s="485"/>
      <c r="E52" s="485"/>
      <c r="F52" s="485"/>
      <c r="G52" s="485"/>
      <c r="H52" s="485"/>
      <c r="I52" s="485"/>
      <c r="J52" s="485"/>
      <c r="K52" s="485"/>
      <c r="L52" s="485"/>
      <c r="M52" s="486"/>
      <c r="N52" s="2750"/>
      <c r="O52" s="2750"/>
      <c r="P52" s="2774"/>
      <c r="Q52" s="2736"/>
      <c r="R52" s="2722"/>
      <c r="S52" s="2722"/>
      <c r="T52" s="2722"/>
      <c r="U52" s="2722"/>
      <c r="V52" s="2722"/>
      <c r="W52" s="2722"/>
      <c r="X52" s="2722"/>
      <c r="Y52" s="2722"/>
      <c r="Z52" s="2722"/>
      <c r="AA52" s="2722"/>
      <c r="AB52" s="2722"/>
      <c r="AC52" s="2722"/>
      <c r="AD52" s="2722"/>
    </row>
    <row r="53" spans="1:30" ht="27.75" thickTop="1">
      <c r="A53" s="483"/>
      <c r="B53" s="487" t="s">
        <v>1688</v>
      </c>
      <c r="C53" s="532"/>
      <c r="D53" s="532"/>
      <c r="E53" s="532"/>
      <c r="F53" s="532"/>
      <c r="G53" s="532"/>
      <c r="H53" s="532"/>
      <c r="I53" s="532"/>
      <c r="J53" s="532"/>
      <c r="K53" s="533"/>
      <c r="L53" s="534"/>
      <c r="M53" s="535"/>
      <c r="N53" s="2749"/>
      <c r="O53" s="2749"/>
      <c r="P53" s="2774"/>
      <c r="Q53" s="2736"/>
      <c r="R53" s="2722"/>
      <c r="S53" s="2722"/>
      <c r="T53" s="2722"/>
      <c r="U53" s="2722"/>
      <c r="V53" s="2722"/>
      <c r="W53" s="2722"/>
      <c r="X53" s="2722"/>
      <c r="Y53" s="2722"/>
      <c r="Z53" s="2722"/>
      <c r="AA53" s="2722"/>
      <c r="AB53" s="2722"/>
      <c r="AC53" s="2722"/>
      <c r="AD53" s="2722"/>
    </row>
    <row r="54" spans="1:30" ht="15.75" thickBot="1">
      <c r="A54" s="483"/>
      <c r="B54" s="492"/>
      <c r="C54" s="485"/>
      <c r="D54" s="485"/>
      <c r="E54" s="485"/>
      <c r="F54" s="485"/>
      <c r="G54" s="485"/>
      <c r="H54" s="485"/>
      <c r="I54" s="485"/>
      <c r="J54" s="485"/>
      <c r="K54" s="485"/>
      <c r="L54" s="485"/>
      <c r="M54" s="486"/>
      <c r="N54" s="2750"/>
      <c r="O54" s="2750"/>
      <c r="P54" s="2774"/>
      <c r="Q54" s="2736"/>
      <c r="R54" s="2722"/>
      <c r="S54" s="2722"/>
      <c r="T54" s="2722"/>
      <c r="U54" s="2722"/>
      <c r="V54" s="2722"/>
      <c r="W54" s="2722"/>
      <c r="X54" s="2722"/>
      <c r="Y54" s="2722"/>
      <c r="Z54" s="2722"/>
      <c r="AA54" s="2722"/>
      <c r="AB54" s="2722"/>
      <c r="AC54" s="2722"/>
      <c r="AD54" s="2722"/>
    </row>
    <row r="55" spans="1:30" ht="15.75" thickTop="1">
      <c r="A55" s="483"/>
      <c r="B55" s="608">
        <f>B11</f>
        <v>111</v>
      </c>
      <c r="C55" s="498"/>
      <c r="D55" s="498"/>
      <c r="E55" s="498"/>
      <c r="F55" s="498"/>
      <c r="G55" s="498"/>
      <c r="H55" s="498"/>
      <c r="I55" s="498"/>
      <c r="J55" s="498"/>
      <c r="K55" s="499"/>
      <c r="L55" s="500"/>
      <c r="M55" s="501"/>
      <c r="N55" s="2749"/>
      <c r="O55" s="2749"/>
      <c r="P55" s="2774"/>
      <c r="Q55" s="2736"/>
      <c r="R55" s="2722"/>
      <c r="S55" s="2722"/>
      <c r="T55" s="2722"/>
      <c r="U55" s="2722"/>
      <c r="V55" s="2722"/>
      <c r="W55" s="2722"/>
      <c r="X55" s="2722"/>
      <c r="Y55" s="2722"/>
      <c r="Z55" s="2722"/>
      <c r="AA55" s="2722"/>
      <c r="AB55" s="2722"/>
      <c r="AC55" s="2722"/>
      <c r="AD55" s="2722"/>
    </row>
    <row r="56" spans="1:30" ht="15.75" thickBot="1">
      <c r="A56" s="483"/>
      <c r="B56" s="484"/>
      <c r="C56" s="509"/>
      <c r="D56" s="485"/>
      <c r="E56" s="485"/>
      <c r="F56" s="485"/>
      <c r="G56" s="485"/>
      <c r="H56" s="485"/>
      <c r="I56" s="485"/>
      <c r="J56" s="485"/>
      <c r="K56" s="485"/>
      <c r="L56" s="485"/>
      <c r="M56" s="486"/>
      <c r="N56" s="2750"/>
      <c r="O56" s="2750"/>
      <c r="P56" s="2774"/>
      <c r="Q56" s="2736"/>
      <c r="R56" s="2722"/>
      <c r="S56" s="2722"/>
      <c r="T56" s="2722"/>
      <c r="U56" s="2722"/>
      <c r="V56" s="2722"/>
      <c r="W56" s="2722"/>
      <c r="X56" s="2722"/>
      <c r="Y56" s="2722"/>
      <c r="Z56" s="2722"/>
      <c r="AA56" s="2722"/>
      <c r="AB56" s="2722"/>
      <c r="AC56" s="2722"/>
      <c r="AD56" s="2722"/>
    </row>
    <row r="57" spans="1:30" s="422" customFormat="1" ht="15.75" thickTop="1">
      <c r="A57" s="502"/>
      <c r="B57" s="487">
        <f>B12</f>
        <v>111</v>
      </c>
      <c r="C57" s="498"/>
      <c r="D57" s="498"/>
      <c r="E57" s="498"/>
      <c r="F57" s="498"/>
      <c r="G57" s="503"/>
      <c r="H57" s="504"/>
      <c r="I57" s="504"/>
      <c r="J57" s="504"/>
      <c r="K57" s="504"/>
      <c r="L57" s="505"/>
      <c r="M57" s="506"/>
      <c r="N57" s="2751"/>
      <c r="O57" s="2751"/>
      <c r="P57" s="2775"/>
      <c r="Q57" s="2742"/>
      <c r="R57" s="2743"/>
      <c r="S57" s="2743"/>
      <c r="T57" s="2743"/>
      <c r="U57" s="2743"/>
      <c r="V57" s="2743"/>
      <c r="W57" s="2743"/>
      <c r="X57" s="2743"/>
      <c r="Y57" s="2743"/>
      <c r="Z57" s="2743"/>
      <c r="AA57" s="2743"/>
      <c r="AB57" s="2743"/>
      <c r="AC57" s="2743"/>
      <c r="AD57" s="2743"/>
    </row>
    <row r="58" spans="1:30" s="422" customFormat="1" ht="15.75" thickBot="1">
      <c r="A58" s="502"/>
      <c r="B58" s="492"/>
      <c r="C58" s="509"/>
      <c r="D58" s="485"/>
      <c r="E58" s="485"/>
      <c r="F58" s="485"/>
      <c r="G58" s="485"/>
      <c r="H58" s="485"/>
      <c r="I58" s="485"/>
      <c r="J58" s="485"/>
      <c r="K58" s="485"/>
      <c r="L58" s="485"/>
      <c r="M58" s="486"/>
      <c r="N58" s="2750"/>
      <c r="O58" s="2750"/>
      <c r="P58" s="2775"/>
      <c r="Q58" s="2742"/>
      <c r="R58" s="2743"/>
      <c r="S58" s="2743"/>
      <c r="T58" s="2743"/>
      <c r="U58" s="2743"/>
      <c r="V58" s="2743"/>
      <c r="W58" s="2743"/>
      <c r="X58" s="2743"/>
      <c r="Y58" s="2743"/>
      <c r="Z58" s="2743"/>
      <c r="AA58" s="2743"/>
      <c r="AB58" s="2743"/>
      <c r="AC58" s="2743"/>
      <c r="AD58" s="2743"/>
    </row>
    <row r="59" spans="1:30" s="422" customFormat="1" ht="15.75" thickTop="1">
      <c r="A59" s="502"/>
      <c r="B59" s="487">
        <f>B13</f>
        <v>111</v>
      </c>
      <c r="C59" s="498"/>
      <c r="D59" s="498"/>
      <c r="E59" s="498"/>
      <c r="F59" s="498"/>
      <c r="G59" s="503"/>
      <c r="H59" s="504"/>
      <c r="I59" s="504"/>
      <c r="J59" s="504"/>
      <c r="K59" s="504"/>
      <c r="L59" s="505"/>
      <c r="M59" s="506"/>
      <c r="N59" s="2751"/>
      <c r="O59" s="2751"/>
      <c r="P59" s="2720"/>
      <c r="Q59" s="2745"/>
      <c r="R59" s="2743"/>
      <c r="S59" s="2743"/>
      <c r="T59" s="2743"/>
      <c r="U59" s="2743"/>
      <c r="V59" s="2743"/>
      <c r="W59" s="2743"/>
      <c r="X59" s="2743"/>
      <c r="Y59" s="2743"/>
      <c r="Z59" s="2743"/>
      <c r="AA59" s="2743"/>
      <c r="AB59" s="2743"/>
      <c r="AC59" s="2743"/>
      <c r="AD59" s="2743"/>
    </row>
    <row r="60" spans="1:30" s="422" customFormat="1" ht="15.75" thickBot="1">
      <c r="A60" s="502"/>
      <c r="B60" s="492"/>
      <c r="C60" s="509"/>
      <c r="D60" s="509"/>
      <c r="E60" s="509"/>
      <c r="F60" s="509"/>
      <c r="G60" s="509"/>
      <c r="H60" s="511"/>
      <c r="I60" s="511"/>
      <c r="J60" s="511"/>
      <c r="K60" s="511"/>
      <c r="L60" s="511"/>
      <c r="M60" s="512"/>
      <c r="N60" s="2751"/>
      <c r="O60" s="2751"/>
      <c r="P60" s="2775"/>
      <c r="Q60" s="2742"/>
      <c r="R60" s="2743"/>
      <c r="S60" s="2743"/>
      <c r="T60" s="2743"/>
      <c r="U60" s="2743"/>
      <c r="V60" s="2743"/>
      <c r="W60" s="2743"/>
      <c r="X60" s="2743"/>
      <c r="Y60" s="2743"/>
      <c r="Z60" s="2743"/>
      <c r="AA60" s="2743"/>
      <c r="AB60" s="2743"/>
      <c r="AC60" s="2743"/>
      <c r="AD60" s="2743"/>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49"/>
      <c r="O61" s="2749"/>
      <c r="P61" s="2776"/>
      <c r="Q61" s="2736"/>
      <c r="R61" s="2722"/>
      <c r="S61" s="2722"/>
      <c r="T61" s="2722"/>
      <c r="U61" s="2722"/>
      <c r="V61" s="2722"/>
      <c r="W61" s="2722"/>
      <c r="X61" s="2722"/>
      <c r="Y61" s="2722"/>
      <c r="Z61" s="2722"/>
      <c r="AA61" s="2722"/>
      <c r="AB61" s="2722"/>
      <c r="AC61" s="2722"/>
      <c r="AD61" s="2722"/>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0"/>
      <c r="O62" s="2750"/>
      <c r="P62" s="2774"/>
      <c r="Q62" s="2736"/>
      <c r="R62" s="2722"/>
      <c r="S62" s="2722"/>
      <c r="T62" s="2722"/>
      <c r="U62" s="2722"/>
      <c r="V62" s="2722"/>
      <c r="W62" s="2722"/>
      <c r="X62" s="2722"/>
      <c r="Y62" s="2722"/>
      <c r="Z62" s="2722"/>
      <c r="AA62" s="2722"/>
      <c r="AB62" s="2722"/>
      <c r="AC62" s="2722"/>
      <c r="AD62" s="2722"/>
    </row>
    <row r="63" spans="1:30" ht="27.75" thickTop="1">
      <c r="A63" s="483"/>
      <c r="B63" s="487" t="s">
        <v>1863</v>
      </c>
      <c r="C63" s="527" t="s">
        <v>1721</v>
      </c>
      <c r="D63" s="527" t="s">
        <v>1722</v>
      </c>
      <c r="E63" s="527" t="s">
        <v>1723</v>
      </c>
      <c r="F63" s="527" t="s">
        <v>1724</v>
      </c>
      <c r="G63" s="527" t="s">
        <v>1725</v>
      </c>
      <c r="H63" s="488"/>
      <c r="I63" s="488"/>
      <c r="J63" s="488"/>
      <c r="K63" s="489"/>
      <c r="L63" s="490"/>
      <c r="M63" s="491"/>
      <c r="N63" s="2749"/>
      <c r="O63" s="2749"/>
      <c r="P63" s="2774"/>
      <c r="Q63" s="2736"/>
      <c r="R63" s="2722"/>
      <c r="S63" s="2722"/>
      <c r="T63" s="2722"/>
      <c r="U63" s="2722"/>
      <c r="V63" s="2722"/>
      <c r="W63" s="2722"/>
      <c r="X63" s="2722"/>
      <c r="Y63" s="2722"/>
      <c r="Z63" s="2722"/>
      <c r="AA63" s="2722"/>
      <c r="AB63" s="2722"/>
      <c r="AC63" s="2722"/>
      <c r="AD63" s="2722"/>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0"/>
      <c r="O64" s="2750"/>
      <c r="P64" s="2774"/>
      <c r="Q64" s="2736"/>
      <c r="R64" s="2722"/>
      <c r="S64" s="2722"/>
      <c r="T64" s="2722"/>
      <c r="U64" s="2722"/>
      <c r="V64" s="2722"/>
      <c r="W64" s="2722"/>
      <c r="X64" s="2722"/>
      <c r="Y64" s="2722"/>
      <c r="Z64" s="2722"/>
      <c r="AA64" s="2722"/>
      <c r="AB64" s="2722"/>
      <c r="AC64" s="2722"/>
      <c r="AD64" s="2722"/>
    </row>
    <row r="65" spans="1:30" ht="15.75" thickTop="1">
      <c r="A65" s="483"/>
      <c r="B65" s="495" t="s">
        <v>1813</v>
      </c>
      <c r="C65" s="608" t="s">
        <v>1799</v>
      </c>
      <c r="D65" s="608" t="s">
        <v>1800</v>
      </c>
      <c r="E65" s="608" t="s">
        <v>1801</v>
      </c>
      <c r="F65" s="608" t="s">
        <v>1802</v>
      </c>
      <c r="G65" s="608" t="s">
        <v>1803</v>
      </c>
      <c r="H65" s="488"/>
      <c r="I65" s="488"/>
      <c r="J65" s="488"/>
      <c r="K65" s="488"/>
      <c r="L65" s="488"/>
      <c r="M65" s="1128"/>
      <c r="N65" s="2750"/>
      <c r="O65" s="2750"/>
      <c r="P65" s="2774"/>
      <c r="Q65" s="2736"/>
      <c r="R65" s="2722"/>
      <c r="S65" s="2722"/>
      <c r="T65" s="2722"/>
      <c r="U65" s="2722"/>
      <c r="V65" s="2722"/>
      <c r="W65" s="2722"/>
      <c r="X65" s="2722"/>
      <c r="Y65" s="2722"/>
      <c r="Z65" s="2722"/>
      <c r="AA65" s="2722"/>
      <c r="AB65" s="2722"/>
      <c r="AC65" s="2722"/>
      <c r="AD65" s="2722"/>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0"/>
      <c r="O66" s="2750"/>
      <c r="P66" s="2774"/>
      <c r="Q66" s="2736"/>
      <c r="R66" s="2722"/>
      <c r="S66" s="2722"/>
      <c r="T66" s="2722"/>
      <c r="U66" s="2722"/>
      <c r="V66" s="2722"/>
      <c r="W66" s="2722"/>
      <c r="X66" s="2722"/>
      <c r="Y66" s="2722"/>
      <c r="Z66" s="2722"/>
      <c r="AA66" s="2722"/>
      <c r="AB66" s="2722"/>
      <c r="AC66" s="2722"/>
      <c r="AD66" s="2722"/>
    </row>
    <row r="67" spans="1:30" ht="15.75" thickTop="1">
      <c r="A67" s="483"/>
      <c r="B67" s="487" t="s">
        <v>1733</v>
      </c>
      <c r="C67" s="527" t="s">
        <v>1721</v>
      </c>
      <c r="D67" s="527" t="s">
        <v>1722</v>
      </c>
      <c r="E67" s="527" t="s">
        <v>1723</v>
      </c>
      <c r="F67" s="527" t="s">
        <v>1724</v>
      </c>
      <c r="G67" s="527" t="s">
        <v>1725</v>
      </c>
      <c r="H67" s="488"/>
      <c r="I67" s="488"/>
      <c r="J67" s="488"/>
      <c r="K67" s="489"/>
      <c r="L67" s="490"/>
      <c r="M67" s="491"/>
      <c r="N67" s="2749"/>
      <c r="O67" s="2749"/>
      <c r="P67" s="2774"/>
      <c r="Q67" s="2736"/>
      <c r="R67" s="2722"/>
      <c r="S67" s="2722"/>
      <c r="T67" s="2722"/>
      <c r="U67" s="2722"/>
      <c r="V67" s="2722"/>
      <c r="W67" s="2722"/>
      <c r="X67" s="2722"/>
      <c r="Y67" s="2722"/>
      <c r="Z67" s="2722"/>
      <c r="AA67" s="2722"/>
      <c r="AB67" s="2722"/>
      <c r="AC67" s="2722"/>
      <c r="AD67" s="2722"/>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0"/>
      <c r="O68" s="2750"/>
      <c r="P68" s="2774"/>
      <c r="Q68" s="2736"/>
      <c r="R68" s="2722"/>
      <c r="S68" s="2722"/>
      <c r="T68" s="2722"/>
      <c r="U68" s="2722"/>
      <c r="V68" s="2722"/>
      <c r="W68" s="2722"/>
      <c r="X68" s="2722"/>
      <c r="Y68" s="2722"/>
      <c r="Z68" s="2722"/>
      <c r="AA68" s="2722"/>
      <c r="AB68" s="2722"/>
      <c r="AC68" s="2722"/>
      <c r="AD68" s="2722"/>
    </row>
    <row r="69" spans="1:30" ht="15.75" thickTop="1">
      <c r="A69" s="483"/>
      <c r="B69" s="487" t="s">
        <v>1852</v>
      </c>
      <c r="C69" s="503"/>
      <c r="D69" s="503"/>
      <c r="E69" s="503"/>
      <c r="F69" s="503"/>
      <c r="G69" s="503"/>
      <c r="H69" s="532"/>
      <c r="I69" s="532"/>
      <c r="J69" s="532"/>
      <c r="K69" s="533"/>
      <c r="L69" s="534"/>
      <c r="M69" s="535"/>
      <c r="N69" s="2749"/>
      <c r="O69" s="2749"/>
      <c r="P69" s="2774"/>
      <c r="Q69" s="2736"/>
      <c r="R69" s="2722"/>
      <c r="S69" s="2722"/>
      <c r="T69" s="2722"/>
      <c r="U69" s="2722"/>
      <c r="V69" s="2722"/>
      <c r="W69" s="2722"/>
      <c r="X69" s="2722"/>
      <c r="Y69" s="2722"/>
      <c r="Z69" s="2722"/>
      <c r="AA69" s="2722"/>
      <c r="AB69" s="2722"/>
      <c r="AC69" s="2722"/>
      <c r="AD69" s="2722"/>
    </row>
    <row r="70" spans="1:30" ht="15.75" thickBot="1">
      <c r="A70" s="483"/>
      <c r="B70" s="492"/>
      <c r="C70" s="493">
        <v>100</v>
      </c>
      <c r="D70" s="493">
        <f>C70-$K22</f>
        <v>100</v>
      </c>
      <c r="E70" s="493"/>
      <c r="F70" s="493"/>
      <c r="G70" s="493"/>
      <c r="H70" s="493"/>
      <c r="I70" s="493"/>
      <c r="J70" s="493"/>
      <c r="K70" s="493"/>
      <c r="L70" s="493"/>
      <c r="M70" s="494"/>
      <c r="N70" s="2750"/>
      <c r="O70" s="2750"/>
      <c r="P70" s="2774"/>
      <c r="Q70" s="2736"/>
      <c r="R70" s="2722"/>
      <c r="S70" s="2722"/>
      <c r="T70" s="2722"/>
      <c r="U70" s="2722"/>
      <c r="V70" s="2722"/>
      <c r="W70" s="2722"/>
      <c r="X70" s="2722"/>
      <c r="Y70" s="2722"/>
      <c r="Z70" s="2722"/>
      <c r="AA70" s="2722"/>
      <c r="AB70" s="2722"/>
      <c r="AC70" s="2722"/>
      <c r="AD70" s="2722"/>
    </row>
    <row r="71" spans="1:30" s="108" customFormat="1" ht="15.75" thickTop="1">
      <c r="A71" s="528"/>
      <c r="B71" s="487">
        <f>B23</f>
        <v>111</v>
      </c>
      <c r="C71" s="498"/>
      <c r="D71" s="498"/>
      <c r="E71" s="498"/>
      <c r="F71" s="498"/>
      <c r="G71" s="503"/>
      <c r="H71" s="503"/>
      <c r="I71" s="503"/>
      <c r="J71" s="503"/>
      <c r="K71" s="503"/>
      <c r="L71" s="529"/>
      <c r="M71" s="530"/>
      <c r="N71" s="2748"/>
      <c r="O71" s="2748"/>
      <c r="P71" s="2774"/>
      <c r="Q71" s="2736"/>
      <c r="R71" s="2658"/>
      <c r="S71" s="2658"/>
      <c r="T71" s="2658"/>
      <c r="U71" s="2658"/>
      <c r="V71" s="2658"/>
      <c r="W71" s="2658"/>
      <c r="X71" s="2658"/>
      <c r="Y71" s="2658"/>
      <c r="Z71" s="2658"/>
      <c r="AA71" s="2658"/>
      <c r="AB71" s="2658"/>
      <c r="AC71" s="2658"/>
      <c r="AD71" s="2658"/>
    </row>
    <row r="72" spans="1:30" s="108" customFormat="1" ht="15.75" thickBot="1">
      <c r="A72" s="528"/>
      <c r="B72" s="492"/>
      <c r="C72" s="509"/>
      <c r="D72" s="485"/>
      <c r="E72" s="485"/>
      <c r="F72" s="485"/>
      <c r="G72" s="485"/>
      <c r="H72" s="485"/>
      <c r="I72" s="485"/>
      <c r="J72" s="485"/>
      <c r="K72" s="485"/>
      <c r="L72" s="485"/>
      <c r="M72" s="486"/>
      <c r="N72" s="2750"/>
      <c r="O72" s="2750"/>
      <c r="P72" s="2774"/>
      <c r="Q72" s="2736"/>
      <c r="R72" s="2658"/>
      <c r="S72" s="2658"/>
      <c r="T72" s="2658"/>
      <c r="U72" s="2658"/>
      <c r="V72" s="2658"/>
      <c r="W72" s="2658"/>
      <c r="X72" s="2658"/>
      <c r="Y72" s="2658"/>
      <c r="Z72" s="2658"/>
      <c r="AA72" s="2658"/>
      <c r="AB72" s="2658"/>
      <c r="AC72" s="2658"/>
      <c r="AD72" s="2658"/>
    </row>
    <row r="73" spans="1:30" s="108" customFormat="1" ht="15.75" thickTop="1">
      <c r="A73" s="528"/>
      <c r="B73" s="487">
        <f>B24</f>
        <v>111</v>
      </c>
      <c r="C73" s="498"/>
      <c r="D73" s="498"/>
      <c r="E73" s="498"/>
      <c r="F73" s="498"/>
      <c r="G73" s="503"/>
      <c r="H73" s="503"/>
      <c r="I73" s="503"/>
      <c r="J73" s="503"/>
      <c r="K73" s="503"/>
      <c r="L73" s="503"/>
      <c r="M73" s="530"/>
      <c r="N73" s="2748"/>
      <c r="O73" s="2748"/>
      <c r="P73" s="2774"/>
      <c r="Q73" s="2736"/>
      <c r="R73" s="2658"/>
      <c r="S73" s="2658"/>
      <c r="T73" s="2658"/>
      <c r="U73" s="2658"/>
      <c r="V73" s="2658"/>
      <c r="W73" s="2658"/>
      <c r="X73" s="2658"/>
      <c r="Y73" s="2658"/>
      <c r="Z73" s="2658"/>
      <c r="AA73" s="2658"/>
      <c r="AB73" s="2658"/>
      <c r="AC73" s="2658"/>
      <c r="AD73" s="2658"/>
    </row>
    <row r="74" spans="1:30" s="108" customFormat="1" ht="15.75" thickBot="1">
      <c r="A74" s="528"/>
      <c r="B74" s="492"/>
      <c r="C74" s="509"/>
      <c r="D74" s="485"/>
      <c r="E74" s="485"/>
      <c r="F74" s="485"/>
      <c r="G74" s="485"/>
      <c r="H74" s="485"/>
      <c r="I74" s="485"/>
      <c r="J74" s="485"/>
      <c r="K74" s="485"/>
      <c r="L74" s="485"/>
      <c r="M74" s="486"/>
      <c r="N74" s="2750"/>
      <c r="O74" s="2750"/>
      <c r="P74" s="2774"/>
      <c r="Q74" s="2736"/>
      <c r="R74" s="2658"/>
      <c r="S74" s="2658"/>
      <c r="T74" s="2658"/>
      <c r="U74" s="2658"/>
      <c r="V74" s="2658"/>
      <c r="W74" s="2658"/>
      <c r="X74" s="2658"/>
      <c r="Y74" s="2658"/>
      <c r="Z74" s="2658"/>
      <c r="AA74" s="2658"/>
      <c r="AB74" s="2658"/>
      <c r="AC74" s="2658"/>
      <c r="AD74" s="2658"/>
    </row>
    <row r="75" spans="1:30" s="422" customFormat="1" ht="15.75" thickTop="1">
      <c r="A75" s="502"/>
      <c r="B75" s="487">
        <f>B25</f>
        <v>111</v>
      </c>
      <c r="C75" s="498"/>
      <c r="D75" s="498"/>
      <c r="E75" s="498"/>
      <c r="F75" s="498"/>
      <c r="G75" s="503"/>
      <c r="H75" s="504"/>
      <c r="I75" s="504"/>
      <c r="J75" s="504"/>
      <c r="K75" s="504"/>
      <c r="L75" s="505"/>
      <c r="M75" s="506"/>
      <c r="N75" s="2751"/>
      <c r="O75" s="2751"/>
      <c r="P75" s="2775"/>
      <c r="Q75" s="2742"/>
      <c r="R75" s="2743"/>
      <c r="S75" s="2743"/>
      <c r="T75" s="2743"/>
      <c r="U75" s="2743"/>
      <c r="V75" s="2743"/>
      <c r="W75" s="2743"/>
      <c r="X75" s="2743"/>
      <c r="Y75" s="2743"/>
      <c r="Z75" s="2743"/>
      <c r="AA75" s="2743"/>
      <c r="AB75" s="2743"/>
      <c r="AC75" s="2743"/>
      <c r="AD75" s="2743"/>
    </row>
    <row r="76" spans="1:30" s="422" customFormat="1" ht="15.75" thickBot="1">
      <c r="A76" s="502"/>
      <c r="B76" s="492"/>
      <c r="C76" s="509"/>
      <c r="D76" s="509"/>
      <c r="E76" s="509"/>
      <c r="F76" s="509"/>
      <c r="G76" s="485"/>
      <c r="H76" s="485"/>
      <c r="I76" s="485"/>
      <c r="J76" s="485"/>
      <c r="K76" s="485"/>
      <c r="L76" s="485"/>
      <c r="M76" s="486"/>
      <c r="N76" s="2751"/>
      <c r="O76" s="2751"/>
      <c r="P76" s="2775"/>
      <c r="Q76" s="2742"/>
      <c r="R76" s="2743"/>
      <c r="S76" s="2743"/>
      <c r="T76" s="2743"/>
      <c r="U76" s="2743"/>
      <c r="V76" s="2743"/>
      <c r="W76" s="2743"/>
      <c r="X76" s="2743"/>
      <c r="Y76" s="2743"/>
      <c r="Z76" s="2743"/>
      <c r="AA76" s="2743"/>
      <c r="AB76" s="2743"/>
      <c r="AC76" s="2743"/>
      <c r="AD76" s="2743"/>
    </row>
    <row r="77" spans="1:30" ht="15" thickTop="1">
      <c r="A77" s="476" t="s">
        <v>1694</v>
      </c>
      <c r="B77" s="477" t="s">
        <v>1740</v>
      </c>
      <c r="C77" s="503"/>
      <c r="D77" s="503"/>
      <c r="E77" s="479"/>
      <c r="F77" s="479"/>
      <c r="G77" s="479"/>
      <c r="H77" s="479"/>
      <c r="I77" s="479"/>
      <c r="J77" s="479"/>
      <c r="K77" s="480"/>
      <c r="L77" s="481"/>
      <c r="M77" s="482"/>
      <c r="N77" s="2749"/>
      <c r="O77" s="2749"/>
      <c r="P77" s="2774"/>
      <c r="Q77" s="2736"/>
      <c r="R77" s="2722"/>
      <c r="S77" s="2722"/>
      <c r="T77" s="2722"/>
      <c r="U77" s="2722"/>
      <c r="V77" s="2722"/>
      <c r="W77" s="2722"/>
      <c r="X77" s="2722"/>
      <c r="Y77" s="2722"/>
      <c r="Z77" s="2722"/>
      <c r="AA77" s="2722"/>
      <c r="AB77" s="2722"/>
      <c r="AC77" s="2722"/>
      <c r="AD77" s="2722"/>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0"/>
      <c r="O78" s="2750"/>
      <c r="P78" s="2774"/>
      <c r="Q78" s="2736"/>
      <c r="R78" s="2722"/>
      <c r="S78" s="2722"/>
      <c r="T78" s="2722"/>
      <c r="U78" s="2722"/>
      <c r="V78" s="2722"/>
      <c r="W78" s="2722"/>
      <c r="X78" s="2722"/>
      <c r="Y78" s="2722"/>
      <c r="Z78" s="2722"/>
      <c r="AA78" s="2722"/>
      <c r="AB78" s="2722"/>
      <c r="AC78" s="2722"/>
      <c r="AD78" s="2722"/>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48"/>
      <c r="O79" s="2748"/>
      <c r="P79" s="2774"/>
      <c r="Q79" s="2736"/>
      <c r="R79" s="2722"/>
      <c r="S79" s="2722"/>
      <c r="T79" s="2722"/>
      <c r="U79" s="2722"/>
      <c r="V79" s="2722"/>
      <c r="W79" s="2722"/>
      <c r="X79" s="2722"/>
      <c r="Y79" s="2722"/>
      <c r="Z79" s="2722"/>
      <c r="AA79" s="2722"/>
      <c r="AB79" s="2722"/>
      <c r="AC79" s="2722"/>
      <c r="AD79" s="2722"/>
    </row>
    <row r="80" spans="1:30" ht="15">
      <c r="A80" s="483"/>
      <c r="B80" s="495"/>
      <c r="C80" s="552">
        <v>0.5</v>
      </c>
      <c r="D80" s="552">
        <v>0.6</v>
      </c>
      <c r="E80" s="552">
        <v>0.7</v>
      </c>
      <c r="F80" s="552">
        <v>0.8</v>
      </c>
      <c r="G80" s="552">
        <v>0.9</v>
      </c>
      <c r="H80" s="552">
        <v>1.0001</v>
      </c>
      <c r="I80" s="608"/>
      <c r="J80" s="608"/>
      <c r="K80" s="616"/>
      <c r="L80" s="617"/>
      <c r="M80" s="618"/>
      <c r="N80" s="2748"/>
      <c r="O80" s="2748"/>
      <c r="P80" s="2774"/>
      <c r="Q80" s="2736"/>
      <c r="R80" s="2722"/>
      <c r="S80" s="2722"/>
      <c r="T80" s="2722"/>
      <c r="U80" s="2722"/>
      <c r="V80" s="2722"/>
      <c r="W80" s="2722"/>
      <c r="X80" s="2722"/>
      <c r="Y80" s="2722"/>
      <c r="Z80" s="2722"/>
      <c r="AA80" s="2722"/>
      <c r="AB80" s="2722"/>
      <c r="AC80" s="2722"/>
      <c r="AD80" s="2722"/>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0"/>
      <c r="O81" s="2750"/>
      <c r="P81" s="2775"/>
      <c r="Q81" s="2742"/>
      <c r="R81" s="2743"/>
      <c r="S81" s="2743"/>
      <c r="T81" s="2743"/>
      <c r="U81" s="2743"/>
      <c r="V81" s="2743"/>
      <c r="W81" s="2743"/>
      <c r="X81" s="2743"/>
      <c r="Y81" s="2743"/>
      <c r="Z81" s="2743"/>
      <c r="AA81" s="2743"/>
      <c r="AB81" s="2743"/>
      <c r="AC81" s="2743"/>
      <c r="AD81" s="2743"/>
    </row>
    <row r="82" spans="1:30" ht="15" thickTop="1">
      <c r="A82" s="548"/>
      <c r="B82" s="495" t="s">
        <v>1856</v>
      </c>
      <c r="C82" s="503"/>
      <c r="D82" s="503"/>
      <c r="E82" s="532"/>
      <c r="F82" s="532"/>
      <c r="G82" s="532"/>
      <c r="H82" s="532"/>
      <c r="I82" s="532"/>
      <c r="J82" s="532"/>
      <c r="K82" s="533"/>
      <c r="L82" s="534"/>
      <c r="M82" s="535"/>
      <c r="N82" s="2749"/>
      <c r="O82" s="2749"/>
      <c r="P82" s="2774"/>
      <c r="Q82" s="2736"/>
      <c r="R82" s="2722"/>
      <c r="S82" s="2722"/>
      <c r="T82" s="2722"/>
      <c r="U82" s="2722"/>
      <c r="V82" s="2722"/>
      <c r="W82" s="2722"/>
      <c r="X82" s="2722"/>
      <c r="Y82" s="2722"/>
      <c r="Z82" s="2722"/>
      <c r="AA82" s="2722"/>
      <c r="AB82" s="2722"/>
      <c r="AC82" s="2722"/>
      <c r="AD82" s="2722"/>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0"/>
      <c r="O83" s="2750"/>
      <c r="P83" s="2774"/>
      <c r="Q83" s="2736"/>
      <c r="R83" s="2722"/>
      <c r="S83" s="2722"/>
      <c r="T83" s="2722"/>
      <c r="U83" s="2722"/>
      <c r="V83" s="2722"/>
      <c r="W83" s="2722"/>
      <c r="X83" s="2722"/>
      <c r="Y83" s="2722"/>
      <c r="Z83" s="2722"/>
      <c r="AA83" s="2722"/>
      <c r="AB83" s="2722"/>
      <c r="AC83" s="2722"/>
      <c r="AD83" s="2722"/>
    </row>
    <row r="84" spans="1:30" ht="15" thickTop="1">
      <c r="A84" s="548"/>
      <c r="B84" s="487" t="s">
        <v>1864</v>
      </c>
      <c r="C84" s="503"/>
      <c r="D84" s="503"/>
      <c r="E84" s="503"/>
      <c r="F84" s="503"/>
      <c r="G84" s="503"/>
      <c r="H84" s="503"/>
      <c r="I84" s="532"/>
      <c r="J84" s="532"/>
      <c r="K84" s="533"/>
      <c r="L84" s="534"/>
      <c r="M84" s="535"/>
      <c r="N84" s="2749"/>
      <c r="O84" s="2749"/>
      <c r="P84" s="2774"/>
      <c r="Q84" s="2736"/>
      <c r="R84" s="2722"/>
      <c r="S84" s="2722"/>
      <c r="T84" s="2722"/>
      <c r="U84" s="2722"/>
      <c r="V84" s="2722"/>
      <c r="W84" s="2722"/>
      <c r="X84" s="2722"/>
      <c r="Y84" s="2722"/>
      <c r="Z84" s="2722"/>
      <c r="AA84" s="2722"/>
      <c r="AB84" s="2722"/>
      <c r="AC84" s="2722"/>
      <c r="AD84" s="2722"/>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0"/>
      <c r="O85" s="2750"/>
      <c r="P85" s="2774"/>
      <c r="Q85" s="2736"/>
      <c r="R85" s="2722"/>
      <c r="S85" s="2722"/>
      <c r="T85" s="2722"/>
      <c r="U85" s="2722"/>
      <c r="V85" s="2722"/>
      <c r="W85" s="2722"/>
      <c r="X85" s="2722"/>
      <c r="Y85" s="2722"/>
      <c r="Z85" s="2722"/>
      <c r="AA85" s="2722"/>
      <c r="AB85" s="2722"/>
      <c r="AC85" s="2722"/>
      <c r="AD85" s="2722"/>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49"/>
      <c r="O86" s="2749"/>
      <c r="P86" s="2774"/>
      <c r="Q86" s="2736"/>
      <c r="R86" s="2722"/>
      <c r="S86" s="2722"/>
      <c r="T86" s="2722"/>
      <c r="U86" s="2722"/>
      <c r="V86" s="2722"/>
      <c r="W86" s="2722"/>
      <c r="X86" s="2722"/>
      <c r="Y86" s="2722"/>
      <c r="Z86" s="2722"/>
      <c r="AA86" s="2722"/>
      <c r="AB86" s="2722"/>
      <c r="AC86" s="2722"/>
      <c r="AD86" s="2722"/>
    </row>
    <row r="87" spans="1:30">
      <c r="A87" s="548"/>
      <c r="B87" s="495"/>
      <c r="C87" s="544"/>
      <c r="D87" s="544"/>
      <c r="E87" s="544"/>
      <c r="F87" s="544"/>
      <c r="G87" s="544"/>
      <c r="H87" s="544"/>
      <c r="I87" s="544"/>
      <c r="J87" s="545"/>
      <c r="K87" s="545"/>
      <c r="L87" s="546"/>
      <c r="M87" s="547"/>
      <c r="N87" s="2749"/>
      <c r="O87" s="2749"/>
      <c r="P87" s="2774"/>
      <c r="Q87" s="2736"/>
      <c r="R87" s="2722"/>
      <c r="S87" s="2722"/>
      <c r="T87" s="2722"/>
      <c r="U87" s="2722"/>
      <c r="V87" s="2722"/>
      <c r="W87" s="2722"/>
      <c r="X87" s="2722"/>
      <c r="Y87" s="2722"/>
      <c r="Z87" s="2722"/>
      <c r="AA87" s="2722"/>
      <c r="AB87" s="2722"/>
      <c r="AC87" s="2722"/>
      <c r="AD87" s="2722"/>
    </row>
    <row r="88" spans="1:30" ht="15.75" thickBot="1">
      <c r="A88" s="483"/>
      <c r="B88" s="492"/>
      <c r="C88" s="509"/>
      <c r="D88" s="485"/>
      <c r="E88" s="485"/>
      <c r="F88" s="485"/>
      <c r="G88" s="485"/>
      <c r="H88" s="485"/>
      <c r="I88" s="485"/>
      <c r="J88" s="485"/>
      <c r="K88" s="485"/>
      <c r="L88" s="485"/>
      <c r="M88" s="485"/>
      <c r="N88" s="2750"/>
      <c r="O88" s="2750"/>
      <c r="P88" s="2774"/>
      <c r="Q88" s="2736"/>
      <c r="R88" s="2722"/>
      <c r="S88" s="2722"/>
      <c r="T88" s="2722"/>
      <c r="U88" s="2722"/>
      <c r="V88" s="2722"/>
      <c r="W88" s="2722"/>
      <c r="X88" s="2722"/>
      <c r="Y88" s="2722"/>
      <c r="Z88" s="2722"/>
      <c r="AA88" s="2722"/>
      <c r="AB88" s="2722"/>
      <c r="AC88" s="2722"/>
      <c r="AD88" s="2722"/>
    </row>
    <row r="89" spans="1:30" s="422" customFormat="1" ht="15" thickTop="1">
      <c r="A89" s="542"/>
      <c r="B89" s="487" t="s">
        <v>1866</v>
      </c>
      <c r="C89" s="503"/>
      <c r="D89" s="503"/>
      <c r="E89" s="503"/>
      <c r="F89" s="503"/>
      <c r="G89" s="503"/>
      <c r="H89" s="503"/>
      <c r="I89" s="503"/>
      <c r="J89" s="503"/>
      <c r="K89" s="503"/>
      <c r="L89" s="503"/>
      <c r="M89" s="530"/>
      <c r="N89" s="2751"/>
      <c r="O89" s="2751"/>
      <c r="P89" s="2775"/>
      <c r="Q89" s="2742"/>
      <c r="R89" s="2743"/>
      <c r="S89" s="2743"/>
      <c r="T89" s="2743"/>
      <c r="U89" s="2743"/>
      <c r="V89" s="2743"/>
      <c r="W89" s="2743"/>
      <c r="X89" s="2743"/>
      <c r="Y89" s="2743"/>
      <c r="Z89" s="2743"/>
      <c r="AA89" s="2743"/>
      <c r="AB89" s="2743"/>
      <c r="AC89" s="2743"/>
      <c r="AD89" s="2743"/>
    </row>
    <row r="90" spans="1:30" s="422" customFormat="1" ht="15.75" thickBot="1">
      <c r="A90" s="502"/>
      <c r="B90" s="492"/>
      <c r="C90" s="509"/>
      <c r="D90" s="485"/>
      <c r="E90" s="485"/>
      <c r="F90" s="485"/>
      <c r="G90" s="485"/>
      <c r="H90" s="485"/>
      <c r="I90" s="485"/>
      <c r="J90" s="485"/>
      <c r="K90" s="485"/>
      <c r="L90" s="485"/>
      <c r="M90" s="486"/>
      <c r="N90" s="2751"/>
      <c r="O90" s="2751"/>
      <c r="P90" s="2775"/>
      <c r="Q90" s="2742"/>
      <c r="R90" s="2743"/>
      <c r="S90" s="2743"/>
      <c r="T90" s="2743"/>
      <c r="U90" s="2743"/>
      <c r="V90" s="2743"/>
      <c r="W90" s="2743"/>
      <c r="X90" s="2743"/>
      <c r="Y90" s="2743"/>
      <c r="Z90" s="2743"/>
      <c r="AA90" s="2743"/>
      <c r="AB90" s="2743"/>
      <c r="AC90" s="2743"/>
      <c r="AD90" s="2743"/>
    </row>
    <row r="91" spans="1:30" ht="15" thickTop="1">
      <c r="A91" s="548"/>
      <c r="B91" s="487">
        <f>B32</f>
        <v>111</v>
      </c>
      <c r="C91" s="498"/>
      <c r="D91" s="498"/>
      <c r="E91" s="498"/>
      <c r="F91" s="498"/>
      <c r="G91" s="503"/>
      <c r="H91" s="504"/>
      <c r="I91" s="504"/>
      <c r="J91" s="504"/>
      <c r="K91" s="504"/>
      <c r="L91" s="505"/>
      <c r="M91" s="506"/>
      <c r="N91" s="2749"/>
      <c r="O91" s="2749"/>
      <c r="P91" s="2774"/>
      <c r="Q91" s="2736"/>
      <c r="R91" s="2722"/>
      <c r="S91" s="2722"/>
      <c r="T91" s="2722"/>
      <c r="U91" s="2722"/>
      <c r="V91" s="2722"/>
      <c r="W91" s="2722"/>
      <c r="X91" s="2722"/>
      <c r="Y91" s="2722"/>
      <c r="Z91" s="2722"/>
      <c r="AA91" s="2722"/>
      <c r="AB91" s="2722"/>
      <c r="AC91" s="2722"/>
      <c r="AD91" s="2722"/>
    </row>
    <row r="92" spans="1:30" ht="15.75" thickBot="1">
      <c r="A92" s="483"/>
      <c r="B92" s="492"/>
      <c r="C92" s="509"/>
      <c r="D92" s="485"/>
      <c r="E92" s="485"/>
      <c r="F92" s="485"/>
      <c r="G92" s="509"/>
      <c r="H92" s="511"/>
      <c r="I92" s="511"/>
      <c r="J92" s="511"/>
      <c r="K92" s="511"/>
      <c r="L92" s="511"/>
      <c r="M92" s="512"/>
      <c r="N92" s="2750"/>
      <c r="O92" s="2750"/>
      <c r="P92" s="2774"/>
      <c r="Q92" s="2736"/>
      <c r="R92" s="2722"/>
      <c r="S92" s="2722"/>
      <c r="T92" s="2722"/>
      <c r="U92" s="2722"/>
      <c r="V92" s="2722"/>
      <c r="W92" s="2722"/>
      <c r="X92" s="2722"/>
      <c r="Y92" s="2722"/>
      <c r="Z92" s="2722"/>
      <c r="AA92" s="2722"/>
      <c r="AB92" s="2722"/>
      <c r="AC92" s="2722"/>
      <c r="AD92" s="2722"/>
    </row>
    <row r="93" spans="1:30" ht="15" thickTop="1">
      <c r="A93" s="548"/>
      <c r="B93" s="487">
        <f>B33</f>
        <v>111</v>
      </c>
      <c r="C93" s="498"/>
      <c r="D93" s="498"/>
      <c r="E93" s="498"/>
      <c r="F93" s="498"/>
      <c r="G93" s="503"/>
      <c r="H93" s="504"/>
      <c r="I93" s="504"/>
      <c r="J93" s="504"/>
      <c r="K93" s="504"/>
      <c r="L93" s="505"/>
      <c r="M93" s="506"/>
      <c r="N93" s="2749"/>
      <c r="O93" s="2749"/>
      <c r="P93" s="2774"/>
      <c r="Q93" s="2736"/>
      <c r="R93" s="2722"/>
      <c r="S93" s="2722"/>
      <c r="T93" s="2722"/>
      <c r="U93" s="2722"/>
      <c r="V93" s="2722"/>
      <c r="W93" s="2722"/>
      <c r="X93" s="2722"/>
      <c r="Y93" s="2722"/>
      <c r="Z93" s="2722"/>
      <c r="AA93" s="2722"/>
      <c r="AB93" s="2722"/>
      <c r="AC93" s="2722"/>
      <c r="AD93" s="2722"/>
    </row>
    <row r="94" spans="1:30" ht="15.75" thickBot="1">
      <c r="A94" s="483"/>
      <c r="B94" s="492"/>
      <c r="C94" s="509"/>
      <c r="D94" s="485"/>
      <c r="E94" s="485"/>
      <c r="F94" s="485"/>
      <c r="G94" s="509"/>
      <c r="H94" s="511"/>
      <c r="I94" s="511"/>
      <c r="J94" s="511"/>
      <c r="K94" s="511"/>
      <c r="L94" s="511"/>
      <c r="M94" s="512"/>
      <c r="N94" s="2750"/>
      <c r="O94" s="2750"/>
      <c r="P94" s="2774"/>
      <c r="Q94" s="2736"/>
      <c r="R94" s="2722"/>
      <c r="S94" s="2722"/>
      <c r="T94" s="2722"/>
      <c r="U94" s="2722"/>
      <c r="V94" s="2722"/>
      <c r="W94" s="2722"/>
      <c r="X94" s="2722"/>
      <c r="Y94" s="2722"/>
      <c r="Z94" s="2722"/>
      <c r="AA94" s="2722"/>
      <c r="AB94" s="2722"/>
      <c r="AC94" s="2722"/>
      <c r="AD94" s="2722"/>
    </row>
    <row r="95" spans="1:30" ht="15" thickTop="1">
      <c r="A95" s="548"/>
      <c r="B95" s="584">
        <f>B34</f>
        <v>111</v>
      </c>
      <c r="C95" s="498"/>
      <c r="D95" s="498"/>
      <c r="E95" s="498"/>
      <c r="F95" s="498"/>
      <c r="G95" s="503"/>
      <c r="H95" s="504"/>
      <c r="I95" s="504"/>
      <c r="J95" s="504"/>
      <c r="K95" s="504"/>
      <c r="L95" s="505"/>
      <c r="M95" s="506"/>
      <c r="N95" s="2750"/>
      <c r="O95" s="2750"/>
      <c r="P95" s="2777"/>
      <c r="Q95" s="2764"/>
      <c r="R95" s="2722"/>
      <c r="S95" s="2722"/>
      <c r="T95" s="2722"/>
      <c r="U95" s="2722"/>
      <c r="V95" s="2722"/>
      <c r="W95" s="2722"/>
      <c r="X95" s="2722"/>
      <c r="Y95" s="2722"/>
      <c r="Z95" s="2722"/>
      <c r="AA95" s="2722"/>
      <c r="AB95" s="2722"/>
      <c r="AC95" s="2722"/>
      <c r="AD95" s="2722"/>
    </row>
    <row r="96" spans="1:30" ht="15.75" thickBot="1">
      <c r="A96" s="483"/>
      <c r="B96" s="492"/>
      <c r="C96" s="509"/>
      <c r="D96" s="509"/>
      <c r="E96" s="509"/>
      <c r="F96" s="509"/>
      <c r="G96" s="509"/>
      <c r="H96" s="511"/>
      <c r="I96" s="511"/>
      <c r="J96" s="511"/>
      <c r="K96" s="511"/>
      <c r="L96" s="511"/>
      <c r="M96" s="512"/>
      <c r="N96" s="2750"/>
      <c r="O96" s="2750"/>
      <c r="P96" s="2774"/>
      <c r="Q96" s="2736"/>
      <c r="R96" s="2722"/>
      <c r="S96" s="2722"/>
      <c r="T96" s="2722"/>
      <c r="U96" s="2722"/>
      <c r="V96" s="2722"/>
      <c r="W96" s="2722"/>
      <c r="X96" s="2722"/>
      <c r="Y96" s="2722"/>
      <c r="Z96" s="2722"/>
      <c r="AA96" s="2722"/>
      <c r="AB96" s="2722"/>
      <c r="AC96" s="2722"/>
      <c r="AD96" s="2722"/>
    </row>
    <row r="97" spans="1:30" ht="15" thickTop="1">
      <c r="N97" s="2722"/>
      <c r="O97" s="2722"/>
      <c r="P97" s="2722"/>
      <c r="Q97" s="2722"/>
      <c r="R97" s="2722"/>
      <c r="S97" s="2722"/>
      <c r="T97" s="2722"/>
      <c r="U97" s="2722"/>
      <c r="V97" s="2722"/>
      <c r="W97" s="2722"/>
      <c r="X97" s="2722"/>
      <c r="Y97" s="2722"/>
      <c r="Z97" s="2722"/>
      <c r="AA97" s="2722"/>
      <c r="AB97" s="2722"/>
      <c r="AC97" s="2722"/>
      <c r="AD97" s="2722"/>
    </row>
    <row r="98" spans="1:30">
      <c r="A98" s="935"/>
      <c r="B98" s="935"/>
      <c r="C98" s="935"/>
      <c r="D98" s="935"/>
      <c r="E98" s="935"/>
      <c r="F98" s="935"/>
      <c r="G98" s="935"/>
      <c r="H98" s="935"/>
      <c r="I98" s="935"/>
      <c r="J98" s="935"/>
      <c r="K98" s="936"/>
      <c r="L98" s="937"/>
      <c r="M98" s="935"/>
      <c r="N98" s="2722"/>
      <c r="O98" s="2722"/>
      <c r="P98" s="2722"/>
      <c r="Q98" s="2722"/>
      <c r="R98" s="2722"/>
      <c r="S98" s="2722"/>
      <c r="T98" s="2722"/>
      <c r="U98" s="2722"/>
      <c r="V98" s="2722"/>
      <c r="W98" s="2722"/>
      <c r="X98" s="2722"/>
      <c r="Y98" s="2722"/>
      <c r="Z98" s="2722"/>
      <c r="AA98" s="2722"/>
      <c r="AB98" s="2722"/>
      <c r="AC98" s="2722"/>
      <c r="AD98" s="2722"/>
    </row>
    <row r="99" spans="1:30">
      <c r="A99" s="935"/>
      <c r="B99" s="935"/>
      <c r="C99" s="935"/>
      <c r="D99" s="935"/>
      <c r="E99" s="935"/>
      <c r="F99" s="935"/>
      <c r="G99" s="935"/>
      <c r="H99" s="935"/>
      <c r="I99" s="935"/>
      <c r="J99" s="935"/>
      <c r="K99" s="936"/>
      <c r="L99" s="937"/>
      <c r="M99" s="935"/>
      <c r="N99" s="2722"/>
      <c r="O99" s="2722"/>
      <c r="P99" s="2722"/>
      <c r="Q99" s="2722"/>
      <c r="R99" s="2722"/>
      <c r="S99" s="2722"/>
      <c r="T99" s="2722"/>
      <c r="U99" s="2722"/>
      <c r="V99" s="2722"/>
      <c r="W99" s="2722"/>
      <c r="X99" s="2722"/>
      <c r="Y99" s="2722"/>
      <c r="Z99" s="2722"/>
      <c r="AA99" s="2722"/>
      <c r="AB99" s="2722"/>
      <c r="AC99" s="2722"/>
      <c r="AD99" s="2722"/>
    </row>
    <row r="100" spans="1:30">
      <c r="A100" s="935"/>
      <c r="B100" s="935"/>
      <c r="C100" s="935"/>
      <c r="D100" s="935"/>
      <c r="E100" s="935"/>
      <c r="F100" s="935"/>
      <c r="G100" s="935"/>
      <c r="H100" s="935"/>
      <c r="I100" s="935"/>
      <c r="J100" s="935"/>
      <c r="K100" s="936"/>
      <c r="L100" s="937"/>
      <c r="M100" s="935"/>
      <c r="N100" s="2722"/>
      <c r="O100" s="2722"/>
      <c r="P100" s="2722"/>
      <c r="Q100" s="2722"/>
      <c r="R100" s="2722"/>
      <c r="S100" s="2722"/>
      <c r="T100" s="2722"/>
      <c r="U100" s="2722"/>
      <c r="V100" s="2722"/>
      <c r="W100" s="2722"/>
      <c r="X100" s="2722"/>
      <c r="Y100" s="2722"/>
      <c r="Z100" s="2722"/>
      <c r="AA100" s="2722"/>
      <c r="AB100" s="2722"/>
      <c r="AC100" s="2722"/>
      <c r="AD100" s="2722"/>
    </row>
    <row r="101" spans="1:30">
      <c r="A101" s="935"/>
      <c r="B101" s="935"/>
      <c r="C101" s="935"/>
      <c r="D101" s="935"/>
      <c r="E101" s="935"/>
      <c r="F101" s="935"/>
      <c r="G101" s="935"/>
      <c r="H101" s="935"/>
      <c r="I101" s="935"/>
      <c r="J101" s="935"/>
      <c r="K101" s="936"/>
      <c r="L101" s="937"/>
      <c r="M101" s="935"/>
      <c r="N101" s="2722"/>
      <c r="O101" s="2722"/>
      <c r="P101" s="2722"/>
      <c r="Q101" s="2722"/>
      <c r="R101" s="2722"/>
      <c r="S101" s="2722"/>
      <c r="T101" s="2722"/>
      <c r="U101" s="2722"/>
      <c r="V101" s="2722"/>
      <c r="W101" s="2722"/>
      <c r="X101" s="2722"/>
      <c r="Y101" s="2722"/>
      <c r="Z101" s="2722"/>
      <c r="AA101" s="2722"/>
      <c r="AB101" s="2722"/>
      <c r="AC101" s="2722"/>
      <c r="AD101" s="2722"/>
    </row>
    <row r="102" spans="1:30">
      <c r="A102" s="935"/>
      <c r="B102" s="935"/>
      <c r="C102" s="935"/>
      <c r="D102" s="935"/>
      <c r="E102" s="935"/>
      <c r="F102" s="935"/>
      <c r="G102" s="935"/>
      <c r="H102" s="935"/>
      <c r="I102" s="935"/>
      <c r="J102" s="935"/>
      <c r="K102" s="936"/>
      <c r="L102" s="937"/>
      <c r="M102" s="935"/>
      <c r="N102" s="2722"/>
      <c r="O102" s="2722"/>
      <c r="P102" s="2722"/>
      <c r="Q102" s="2722"/>
      <c r="R102" s="2722"/>
      <c r="S102" s="2722"/>
      <c r="T102" s="2722"/>
      <c r="U102" s="2722"/>
      <c r="V102" s="2722"/>
      <c r="W102" s="2722"/>
      <c r="X102" s="2722"/>
      <c r="Y102" s="2722"/>
      <c r="Z102" s="2722"/>
      <c r="AA102" s="2722"/>
      <c r="AB102" s="2722"/>
      <c r="AC102" s="2722"/>
      <c r="AD102" s="2722"/>
    </row>
    <row r="103" spans="1:30">
      <c r="A103" s="935"/>
      <c r="B103" s="935"/>
      <c r="C103" s="935"/>
      <c r="D103" s="935"/>
      <c r="E103" s="935"/>
      <c r="F103" s="935"/>
      <c r="G103" s="935"/>
      <c r="H103" s="935"/>
      <c r="I103" s="935"/>
      <c r="J103" s="935"/>
      <c r="K103" s="936"/>
      <c r="L103" s="937"/>
      <c r="M103" s="935"/>
      <c r="N103" s="935"/>
      <c r="O103" s="935"/>
      <c r="P103" s="2722"/>
      <c r="Q103" s="2722"/>
      <c r="R103" s="2722"/>
      <c r="S103" s="2722"/>
      <c r="T103" s="2722"/>
      <c r="U103" s="2722"/>
      <c r="V103" s="2722"/>
      <c r="W103" s="2722"/>
      <c r="X103" s="2722"/>
      <c r="Y103" s="2722"/>
      <c r="Z103" s="2722"/>
      <c r="AA103" s="2722"/>
      <c r="AB103" s="2722"/>
      <c r="AC103" s="2722"/>
      <c r="AD103" s="2722"/>
    </row>
    <row r="104" spans="1:30">
      <c r="A104" s="935"/>
      <c r="B104" s="935"/>
      <c r="C104" s="935"/>
      <c r="D104" s="935"/>
      <c r="E104" s="935"/>
      <c r="F104" s="935"/>
      <c r="G104" s="935"/>
      <c r="H104" s="935"/>
      <c r="I104" s="935"/>
      <c r="J104" s="935"/>
      <c r="K104" s="936"/>
      <c r="L104" s="937"/>
      <c r="M104" s="935"/>
      <c r="N104" s="935"/>
      <c r="O104" s="935"/>
      <c r="P104" s="935"/>
      <c r="Q104" s="935"/>
      <c r="R104" s="935"/>
      <c r="S104" s="935"/>
      <c r="T104" s="935"/>
    </row>
    <row r="105" spans="1:30">
      <c r="A105" s="935"/>
      <c r="B105" s="935"/>
      <c r="C105" s="935"/>
      <c r="D105" s="935"/>
      <c r="E105" s="935"/>
      <c r="F105" s="935"/>
      <c r="G105" s="935"/>
      <c r="H105" s="935"/>
      <c r="I105" s="935"/>
      <c r="J105" s="935"/>
      <c r="K105" s="936"/>
      <c r="L105" s="937"/>
      <c r="M105" s="935"/>
      <c r="N105" s="935"/>
      <c r="O105" s="935"/>
      <c r="P105" s="935"/>
      <c r="Q105" s="935"/>
      <c r="R105" s="935"/>
      <c r="S105" s="935"/>
      <c r="T105" s="935"/>
    </row>
    <row r="106" spans="1:30">
      <c r="A106" s="935"/>
      <c r="B106" s="935"/>
      <c r="C106" s="935"/>
      <c r="D106" s="935"/>
      <c r="E106" s="935"/>
      <c r="F106" s="935"/>
      <c r="G106" s="935"/>
      <c r="H106" s="935"/>
      <c r="I106" s="935"/>
      <c r="J106" s="935"/>
      <c r="K106" s="936"/>
      <c r="L106" s="937"/>
      <c r="M106" s="935"/>
      <c r="N106" s="935"/>
      <c r="O106" s="935"/>
      <c r="P106" s="935"/>
      <c r="Q106" s="935"/>
      <c r="R106" s="935"/>
      <c r="S106" s="935"/>
      <c r="T106" s="935"/>
    </row>
    <row r="107" spans="1:30">
      <c r="A107" s="935"/>
      <c r="B107" s="935"/>
      <c r="C107" s="935"/>
      <c r="D107" s="935"/>
      <c r="E107" s="935"/>
      <c r="F107" s="935"/>
      <c r="G107" s="935"/>
      <c r="H107" s="935"/>
      <c r="I107" s="935"/>
      <c r="J107" s="935"/>
      <c r="K107" s="936"/>
      <c r="L107" s="937"/>
      <c r="M107" s="935"/>
      <c r="N107" s="935"/>
      <c r="O107" s="935"/>
      <c r="P107" s="935"/>
      <c r="Q107" s="935"/>
      <c r="R107" s="935"/>
      <c r="S107" s="935"/>
      <c r="T107" s="935"/>
    </row>
    <row r="108" spans="1:30">
      <c r="A108" s="935"/>
      <c r="B108" s="935"/>
      <c r="C108" s="935"/>
      <c r="D108" s="935"/>
      <c r="E108" s="935"/>
      <c r="F108" s="935"/>
      <c r="G108" s="935"/>
      <c r="H108" s="935"/>
      <c r="I108" s="935"/>
      <c r="J108" s="935"/>
      <c r="K108" s="936"/>
      <c r="L108" s="937"/>
      <c r="M108" s="935"/>
      <c r="N108" s="935"/>
      <c r="O108" s="935"/>
      <c r="P108" s="935"/>
      <c r="Q108" s="935"/>
      <c r="R108" s="935"/>
      <c r="S108" s="935"/>
      <c r="T108" s="935"/>
    </row>
    <row r="109" spans="1:30">
      <c r="A109" s="935"/>
      <c r="B109" s="935"/>
      <c r="C109" s="935"/>
      <c r="D109" s="935"/>
      <c r="E109" s="935"/>
      <c r="F109" s="935"/>
      <c r="G109" s="935"/>
      <c r="H109" s="935"/>
      <c r="I109" s="935"/>
      <c r="J109" s="935"/>
      <c r="K109" s="936"/>
      <c r="L109" s="937"/>
      <c r="M109" s="935"/>
      <c r="N109" s="935"/>
      <c r="O109" s="935"/>
      <c r="P109" s="935"/>
      <c r="Q109" s="935"/>
      <c r="R109" s="935"/>
      <c r="S109" s="935"/>
      <c r="T109" s="935"/>
    </row>
    <row r="110" spans="1:30">
      <c r="A110" s="935"/>
      <c r="B110" s="935"/>
      <c r="C110" s="935"/>
      <c r="D110" s="935"/>
      <c r="E110" s="935"/>
      <c r="F110" s="935"/>
      <c r="G110" s="935"/>
      <c r="H110" s="935"/>
      <c r="I110" s="935"/>
      <c r="J110" s="935"/>
      <c r="K110" s="936"/>
      <c r="L110" s="937"/>
      <c r="M110" s="935"/>
      <c r="N110" s="935"/>
      <c r="O110" s="935"/>
      <c r="P110" s="935"/>
      <c r="Q110" s="935"/>
      <c r="R110" s="935"/>
      <c r="S110" s="935"/>
      <c r="T110" s="935"/>
    </row>
    <row r="111" spans="1:30">
      <c r="A111" s="935"/>
      <c r="B111" s="935"/>
      <c r="C111" s="935"/>
      <c r="D111" s="935"/>
      <c r="E111" s="935"/>
      <c r="F111" s="935"/>
      <c r="G111" s="935"/>
      <c r="H111" s="935"/>
      <c r="I111" s="935"/>
      <c r="J111" s="935"/>
      <c r="K111" s="936"/>
      <c r="L111" s="937"/>
      <c r="M111" s="935"/>
      <c r="N111" s="935"/>
      <c r="O111" s="935"/>
      <c r="P111" s="935"/>
      <c r="Q111" s="935"/>
      <c r="R111" s="935"/>
      <c r="S111" s="935"/>
      <c r="T111" s="935"/>
    </row>
    <row r="112" spans="1:30">
      <c r="A112" s="935"/>
      <c r="B112" s="935"/>
      <c r="C112" s="935"/>
      <c r="D112" s="935"/>
      <c r="E112" s="935"/>
      <c r="F112" s="935"/>
      <c r="G112" s="935"/>
      <c r="H112" s="935"/>
      <c r="I112" s="935"/>
      <c r="J112" s="935"/>
      <c r="K112" s="936"/>
      <c r="L112" s="937"/>
      <c r="M112" s="935"/>
      <c r="N112" s="935"/>
      <c r="O112" s="935"/>
      <c r="P112" s="935"/>
      <c r="Q112" s="935"/>
      <c r="R112" s="935"/>
      <c r="S112" s="935"/>
      <c r="T112" s="935"/>
    </row>
    <row r="113" spans="1:20">
      <c r="A113" s="935"/>
      <c r="B113" s="935"/>
      <c r="C113" s="935"/>
      <c r="D113" s="935"/>
      <c r="E113" s="935"/>
      <c r="F113" s="935"/>
      <c r="G113" s="935"/>
      <c r="H113" s="935"/>
      <c r="I113" s="935"/>
      <c r="J113" s="935"/>
      <c r="K113" s="936"/>
      <c r="L113" s="937"/>
      <c r="M113" s="935"/>
      <c r="N113" s="935"/>
      <c r="O113" s="935"/>
      <c r="P113" s="935"/>
      <c r="Q113" s="935"/>
      <c r="R113" s="935"/>
      <c r="S113" s="935"/>
      <c r="T113" s="935"/>
    </row>
    <row r="114" spans="1:20">
      <c r="A114" s="935"/>
      <c r="B114" s="935"/>
      <c r="C114" s="935"/>
      <c r="D114" s="935"/>
      <c r="E114" s="935"/>
      <c r="F114" s="935"/>
      <c r="G114" s="935"/>
      <c r="H114" s="935"/>
      <c r="I114" s="935"/>
      <c r="J114" s="935"/>
      <c r="K114" s="936"/>
      <c r="L114" s="937"/>
      <c r="M114" s="935"/>
      <c r="N114" s="935"/>
      <c r="O114" s="935"/>
      <c r="P114" s="935"/>
      <c r="Q114" s="935"/>
      <c r="R114" s="935"/>
      <c r="S114" s="935"/>
      <c r="T114" s="935"/>
    </row>
    <row r="115" spans="1:20">
      <c r="A115" s="935"/>
      <c r="B115" s="935"/>
      <c r="C115" s="935"/>
      <c r="D115" s="935"/>
      <c r="E115" s="935"/>
      <c r="F115" s="935"/>
      <c r="G115" s="935"/>
      <c r="H115" s="935"/>
      <c r="I115" s="935"/>
      <c r="J115" s="935"/>
      <c r="K115" s="936"/>
      <c r="L115" s="937"/>
      <c r="M115" s="935"/>
      <c r="N115" s="935"/>
      <c r="O115" s="935"/>
      <c r="P115" s="935"/>
      <c r="Q115" s="935"/>
      <c r="R115" s="935"/>
      <c r="S115" s="935"/>
      <c r="T115" s="935"/>
    </row>
    <row r="116" spans="1:20">
      <c r="A116" s="935"/>
      <c r="B116" s="935"/>
      <c r="C116" s="935"/>
      <c r="D116" s="935"/>
      <c r="E116" s="935"/>
      <c r="F116" s="935"/>
      <c r="G116" s="935"/>
      <c r="H116" s="935"/>
      <c r="I116" s="935"/>
      <c r="J116" s="935"/>
      <c r="K116" s="936"/>
      <c r="L116" s="937"/>
      <c r="M116" s="935"/>
      <c r="N116" s="935"/>
      <c r="O116" s="935"/>
      <c r="P116" s="935"/>
      <c r="Q116" s="935"/>
      <c r="R116" s="935"/>
      <c r="S116" s="935"/>
      <c r="T116" s="935"/>
    </row>
    <row r="117" spans="1:20">
      <c r="A117" s="935"/>
      <c r="B117" s="935"/>
      <c r="C117" s="935"/>
      <c r="D117" s="935"/>
      <c r="E117" s="935"/>
      <c r="F117" s="935"/>
      <c r="G117" s="935"/>
      <c r="H117" s="935"/>
      <c r="I117" s="935"/>
      <c r="J117" s="935"/>
      <c r="K117" s="936"/>
      <c r="L117" s="937"/>
      <c r="M117" s="935"/>
      <c r="N117" s="935"/>
      <c r="O117" s="935"/>
      <c r="P117" s="935"/>
      <c r="Q117" s="935"/>
      <c r="R117" s="935"/>
      <c r="S117" s="935"/>
      <c r="T117" s="935"/>
    </row>
    <row r="118" spans="1:20">
      <c r="A118" s="935"/>
      <c r="B118" s="935"/>
      <c r="C118" s="935"/>
      <c r="D118" s="935"/>
      <c r="E118" s="935"/>
      <c r="F118" s="935"/>
      <c r="G118" s="935"/>
      <c r="H118" s="935"/>
      <c r="I118" s="935"/>
      <c r="J118" s="935"/>
      <c r="K118" s="936"/>
      <c r="L118" s="937"/>
      <c r="M118" s="935"/>
      <c r="N118" s="935"/>
      <c r="O118" s="935"/>
      <c r="P118" s="935"/>
      <c r="Q118" s="935"/>
      <c r="R118" s="935"/>
      <c r="S118" s="935"/>
      <c r="T118" s="935"/>
    </row>
    <row r="119" spans="1:20">
      <c r="A119" s="935"/>
      <c r="B119" s="935"/>
      <c r="C119" s="935"/>
      <c r="D119" s="935"/>
      <c r="E119" s="935"/>
      <c r="F119" s="935"/>
      <c r="G119" s="935"/>
      <c r="H119" s="935"/>
      <c r="I119" s="935"/>
      <c r="J119" s="935"/>
      <c r="K119" s="936"/>
      <c r="L119" s="937"/>
      <c r="M119" s="935"/>
      <c r="N119" s="935"/>
      <c r="O119" s="935"/>
      <c r="P119" s="935"/>
      <c r="Q119" s="935"/>
      <c r="R119" s="935"/>
      <c r="S119" s="935"/>
      <c r="T119" s="935"/>
    </row>
    <row r="120" spans="1:20">
      <c r="A120" s="935"/>
      <c r="B120" s="935"/>
      <c r="C120" s="935"/>
      <c r="D120" s="935"/>
      <c r="E120" s="935"/>
      <c r="F120" s="935"/>
      <c r="G120" s="935"/>
      <c r="H120" s="935"/>
      <c r="I120" s="935"/>
      <c r="J120" s="935"/>
      <c r="K120" s="936"/>
      <c r="L120" s="937"/>
      <c r="M120" s="935"/>
      <c r="N120" s="935"/>
      <c r="O120" s="935"/>
      <c r="P120" s="935"/>
      <c r="Q120" s="935"/>
      <c r="R120" s="935"/>
      <c r="S120" s="935"/>
      <c r="T120" s="935"/>
    </row>
    <row r="121" spans="1:20">
      <c r="A121" s="935"/>
      <c r="B121" s="935"/>
      <c r="C121" s="935"/>
      <c r="D121" s="935"/>
      <c r="E121" s="935"/>
      <c r="F121" s="935"/>
      <c r="G121" s="935"/>
      <c r="H121" s="935"/>
      <c r="I121" s="935"/>
      <c r="J121" s="935"/>
      <c r="K121" s="936"/>
      <c r="L121" s="937"/>
      <c r="M121" s="935"/>
      <c r="N121" s="935"/>
      <c r="O121" s="935"/>
      <c r="P121" s="935"/>
      <c r="Q121" s="935"/>
      <c r="R121" s="935"/>
      <c r="S121" s="935"/>
      <c r="T121" s="935"/>
    </row>
    <row r="122" spans="1:20">
      <c r="A122" s="935"/>
      <c r="B122" s="935"/>
      <c r="C122" s="935"/>
      <c r="D122" s="935"/>
      <c r="E122" s="935"/>
      <c r="F122" s="935"/>
      <c r="G122" s="935"/>
      <c r="H122" s="935"/>
      <c r="I122" s="935"/>
      <c r="J122" s="935"/>
      <c r="K122" s="936"/>
      <c r="L122" s="937"/>
      <c r="M122" s="935"/>
      <c r="N122" s="935"/>
      <c r="O122" s="935"/>
      <c r="P122" s="935"/>
      <c r="Q122" s="935"/>
      <c r="R122" s="935"/>
      <c r="S122" s="935"/>
      <c r="T122" s="935"/>
    </row>
    <row r="123" spans="1:20">
      <c r="A123" s="935"/>
      <c r="B123" s="935"/>
      <c r="C123" s="935"/>
      <c r="D123" s="935"/>
      <c r="E123" s="935"/>
      <c r="F123" s="935"/>
      <c r="G123" s="935"/>
      <c r="H123" s="935"/>
      <c r="I123" s="935"/>
      <c r="J123" s="935"/>
      <c r="K123" s="936"/>
      <c r="L123" s="937"/>
      <c r="M123" s="935"/>
      <c r="N123" s="935"/>
      <c r="O123" s="935"/>
      <c r="P123" s="935"/>
      <c r="Q123" s="935"/>
      <c r="R123" s="935"/>
      <c r="S123" s="935"/>
      <c r="T123" s="935"/>
    </row>
    <row r="124" spans="1:20">
      <c r="A124" s="935"/>
      <c r="B124" s="935"/>
      <c r="C124" s="935"/>
      <c r="D124" s="935"/>
      <c r="E124" s="935"/>
      <c r="F124" s="935"/>
      <c r="G124" s="935"/>
      <c r="H124" s="935"/>
      <c r="I124" s="935"/>
      <c r="J124" s="935"/>
      <c r="K124" s="936"/>
      <c r="L124" s="937"/>
      <c r="M124" s="935"/>
      <c r="N124" s="935"/>
      <c r="O124" s="935"/>
      <c r="P124" s="935"/>
      <c r="Q124" s="935"/>
      <c r="R124" s="935"/>
      <c r="S124" s="935"/>
      <c r="T124" s="935"/>
    </row>
    <row r="125" spans="1:20">
      <c r="A125" s="935"/>
      <c r="B125" s="935"/>
      <c r="C125" s="935"/>
      <c r="D125" s="935"/>
      <c r="E125" s="935"/>
      <c r="F125" s="935"/>
      <c r="G125" s="935"/>
      <c r="H125" s="935"/>
      <c r="I125" s="935"/>
      <c r="J125" s="935"/>
      <c r="K125" s="936"/>
      <c r="L125" s="937"/>
      <c r="M125" s="935"/>
      <c r="N125" s="935"/>
      <c r="O125" s="935"/>
      <c r="P125" s="935"/>
      <c r="Q125" s="935"/>
      <c r="R125" s="935"/>
      <c r="S125" s="935"/>
      <c r="T125" s="935"/>
    </row>
    <row r="126" spans="1:20">
      <c r="A126" s="935"/>
      <c r="B126" s="935"/>
      <c r="C126" s="935"/>
      <c r="D126" s="935"/>
      <c r="E126" s="935"/>
      <c r="F126" s="935"/>
      <c r="G126" s="935"/>
      <c r="H126" s="935"/>
      <c r="I126" s="935"/>
      <c r="J126" s="935"/>
      <c r="K126" s="936"/>
      <c r="L126" s="937"/>
      <c r="M126" s="935"/>
      <c r="N126" s="935"/>
      <c r="O126" s="935"/>
      <c r="P126" s="935"/>
      <c r="Q126" s="935"/>
      <c r="R126" s="935"/>
      <c r="S126" s="935"/>
      <c r="T126" s="935"/>
    </row>
    <row r="127" spans="1:20">
      <c r="A127" s="935"/>
      <c r="B127" s="935"/>
      <c r="C127" s="935"/>
      <c r="D127" s="935"/>
      <c r="E127" s="935"/>
      <c r="F127" s="935"/>
      <c r="G127" s="935"/>
      <c r="H127" s="935"/>
      <c r="I127" s="935"/>
      <c r="J127" s="935"/>
      <c r="K127" s="936"/>
      <c r="L127" s="937"/>
      <c r="M127" s="935"/>
      <c r="N127" s="935"/>
      <c r="O127" s="935"/>
      <c r="P127" s="935"/>
      <c r="Q127" s="935"/>
      <c r="R127" s="935"/>
      <c r="S127" s="935"/>
      <c r="T127" s="935"/>
    </row>
    <row r="128" spans="1:20">
      <c r="A128" s="935"/>
      <c r="B128" s="935"/>
      <c r="C128" s="935"/>
      <c r="D128" s="935"/>
      <c r="E128" s="935"/>
      <c r="F128" s="935"/>
      <c r="G128" s="935"/>
      <c r="H128" s="935"/>
      <c r="I128" s="935"/>
      <c r="J128" s="935"/>
      <c r="K128" s="936"/>
      <c r="L128" s="937"/>
      <c r="M128" s="935"/>
      <c r="N128" s="935"/>
      <c r="O128" s="935"/>
      <c r="P128" s="935"/>
      <c r="Q128" s="935"/>
      <c r="R128" s="935"/>
      <c r="S128" s="935"/>
      <c r="T128" s="935"/>
    </row>
    <row r="129" spans="1:20">
      <c r="A129" s="935"/>
      <c r="B129" s="935"/>
      <c r="C129" s="935"/>
      <c r="D129" s="935"/>
      <c r="E129" s="935"/>
      <c r="F129" s="935"/>
      <c r="G129" s="935"/>
      <c r="H129" s="935"/>
      <c r="I129" s="935"/>
      <c r="J129" s="935"/>
      <c r="K129" s="936"/>
      <c r="L129" s="937"/>
      <c r="M129" s="935"/>
      <c r="N129" s="935"/>
      <c r="O129" s="935"/>
      <c r="P129" s="935"/>
      <c r="Q129" s="935"/>
      <c r="R129" s="935"/>
      <c r="S129" s="935"/>
      <c r="T129" s="935"/>
    </row>
    <row r="130" spans="1:20">
      <c r="A130" s="935"/>
      <c r="B130" s="935"/>
      <c r="C130" s="935"/>
      <c r="D130" s="935"/>
      <c r="E130" s="935"/>
      <c r="F130" s="935"/>
      <c r="G130" s="935"/>
      <c r="H130" s="935"/>
      <c r="I130" s="935"/>
      <c r="J130" s="935"/>
      <c r="K130" s="936"/>
      <c r="L130" s="937"/>
      <c r="M130" s="935"/>
      <c r="N130" s="935"/>
      <c r="O130" s="935"/>
      <c r="P130" s="935"/>
      <c r="Q130" s="935"/>
      <c r="R130" s="935"/>
      <c r="S130" s="935"/>
      <c r="T130" s="935"/>
    </row>
    <row r="131" spans="1:20">
      <c r="A131" s="935"/>
      <c r="B131" s="935"/>
      <c r="C131" s="935"/>
      <c r="D131" s="935"/>
      <c r="E131" s="935"/>
      <c r="F131" s="935"/>
      <c r="G131" s="935"/>
      <c r="H131" s="935"/>
      <c r="I131" s="935"/>
      <c r="J131" s="935"/>
      <c r="K131" s="936"/>
      <c r="L131" s="937"/>
      <c r="M131" s="935"/>
      <c r="N131" s="935"/>
      <c r="O131" s="935"/>
      <c r="P131" s="935"/>
      <c r="Q131" s="935"/>
      <c r="R131" s="935"/>
      <c r="S131" s="935"/>
      <c r="T131" s="935"/>
    </row>
    <row r="132" spans="1:20">
      <c r="A132" s="935"/>
      <c r="B132" s="935"/>
      <c r="C132" s="935"/>
      <c r="D132" s="935"/>
      <c r="E132" s="935"/>
      <c r="F132" s="935"/>
      <c r="G132" s="935"/>
      <c r="H132" s="935"/>
      <c r="I132" s="935"/>
      <c r="J132" s="935"/>
      <c r="K132" s="936"/>
      <c r="L132" s="937"/>
      <c r="M132" s="935"/>
      <c r="N132" s="935"/>
      <c r="O132" s="935"/>
      <c r="P132" s="935"/>
      <c r="Q132" s="935"/>
      <c r="R132" s="935"/>
      <c r="S132" s="935"/>
      <c r="T132" s="935"/>
    </row>
    <row r="133" spans="1:20">
      <c r="A133" s="935"/>
      <c r="B133" s="935"/>
      <c r="C133" s="935"/>
      <c r="D133" s="935"/>
      <c r="E133" s="935"/>
      <c r="F133" s="935"/>
      <c r="G133" s="935"/>
      <c r="H133" s="935"/>
      <c r="I133" s="935"/>
      <c r="J133" s="935"/>
      <c r="K133" s="936"/>
      <c r="L133" s="937"/>
      <c r="M133" s="935"/>
      <c r="N133" s="935"/>
      <c r="O133" s="935"/>
      <c r="P133" s="935"/>
      <c r="Q133" s="935"/>
      <c r="R133" s="935"/>
      <c r="S133" s="935"/>
      <c r="T133" s="935"/>
    </row>
    <row r="134" spans="1:20">
      <c r="A134" s="935"/>
      <c r="B134" s="935"/>
      <c r="C134" s="935"/>
      <c r="D134" s="935"/>
      <c r="E134" s="935"/>
      <c r="F134" s="935"/>
      <c r="G134" s="935"/>
      <c r="H134" s="935"/>
      <c r="I134" s="935"/>
      <c r="J134" s="935"/>
      <c r="K134" s="936"/>
      <c r="L134" s="937"/>
      <c r="M134" s="935"/>
      <c r="N134" s="935"/>
      <c r="O134" s="935"/>
      <c r="P134" s="935"/>
      <c r="Q134" s="935"/>
      <c r="R134" s="935"/>
      <c r="S134" s="935"/>
      <c r="T134" s="935"/>
    </row>
    <row r="135" spans="1:20">
      <c r="A135" s="935"/>
      <c r="B135" s="935"/>
      <c r="C135" s="935"/>
      <c r="D135" s="935"/>
      <c r="E135" s="935"/>
      <c r="F135" s="935"/>
      <c r="G135" s="935"/>
      <c r="H135" s="935"/>
      <c r="I135" s="935"/>
      <c r="J135" s="935"/>
      <c r="K135" s="936"/>
      <c r="L135" s="937"/>
      <c r="M135" s="935"/>
      <c r="N135" s="935"/>
      <c r="O135" s="935"/>
      <c r="P135" s="935"/>
      <c r="Q135" s="935"/>
      <c r="R135" s="935"/>
      <c r="S135" s="935"/>
      <c r="T135" s="935"/>
    </row>
    <row r="136" spans="1:20">
      <c r="A136" s="935"/>
      <c r="B136" s="935"/>
      <c r="C136" s="935"/>
      <c r="D136" s="935"/>
      <c r="E136" s="935"/>
      <c r="F136" s="935"/>
      <c r="G136" s="935"/>
      <c r="H136" s="935"/>
      <c r="I136" s="935"/>
      <c r="J136" s="935"/>
      <c r="K136" s="936"/>
      <c r="L136" s="937"/>
      <c r="M136" s="935"/>
      <c r="N136" s="935"/>
      <c r="O136" s="935"/>
      <c r="P136" s="935"/>
      <c r="Q136" s="935"/>
      <c r="R136" s="935"/>
      <c r="S136" s="935"/>
      <c r="T136" s="935"/>
    </row>
    <row r="137" spans="1:20">
      <c r="A137" s="935"/>
      <c r="B137" s="935"/>
      <c r="C137" s="935"/>
      <c r="D137" s="935"/>
      <c r="E137" s="935"/>
      <c r="F137" s="935"/>
      <c r="G137" s="935"/>
      <c r="H137" s="935"/>
      <c r="I137" s="935"/>
      <c r="J137" s="935"/>
      <c r="K137" s="936"/>
      <c r="L137" s="937"/>
      <c r="M137" s="935"/>
      <c r="N137" s="935"/>
      <c r="O137" s="935"/>
      <c r="P137" s="935"/>
      <c r="Q137" s="935"/>
      <c r="R137" s="935"/>
      <c r="S137" s="935"/>
      <c r="T137" s="935"/>
    </row>
    <row r="138" spans="1:20">
      <c r="A138" s="935"/>
      <c r="B138" s="935"/>
      <c r="C138" s="935"/>
      <c r="D138" s="935"/>
      <c r="E138" s="935"/>
      <c r="F138" s="935"/>
      <c r="G138" s="935"/>
      <c r="H138" s="935"/>
      <c r="I138" s="935"/>
      <c r="J138" s="935"/>
      <c r="K138" s="936"/>
      <c r="L138" s="937"/>
      <c r="M138" s="935"/>
      <c r="N138" s="935"/>
      <c r="O138" s="935"/>
      <c r="P138" s="935"/>
      <c r="Q138" s="935"/>
      <c r="R138" s="935"/>
      <c r="S138" s="935"/>
      <c r="T138" s="935"/>
    </row>
    <row r="139" spans="1:20">
      <c r="A139" s="935"/>
      <c r="B139" s="935"/>
      <c r="C139" s="935"/>
      <c r="D139" s="935"/>
      <c r="E139" s="935"/>
      <c r="F139" s="935"/>
      <c r="G139" s="935"/>
      <c r="H139" s="935"/>
      <c r="I139" s="935"/>
      <c r="J139" s="935"/>
      <c r="K139" s="936"/>
      <c r="L139" s="937"/>
      <c r="M139" s="935"/>
      <c r="N139" s="935"/>
      <c r="O139" s="935"/>
      <c r="P139" s="935"/>
      <c r="Q139" s="935"/>
      <c r="R139" s="935"/>
      <c r="S139" s="935"/>
      <c r="T139" s="935"/>
    </row>
    <row r="140" spans="1:20">
      <c r="A140" s="935"/>
      <c r="B140" s="935"/>
      <c r="C140" s="935"/>
      <c r="D140" s="935"/>
      <c r="E140" s="935"/>
      <c r="F140" s="935"/>
      <c r="G140" s="935"/>
      <c r="H140" s="935"/>
      <c r="I140" s="935"/>
      <c r="J140" s="935"/>
      <c r="K140" s="936"/>
      <c r="L140" s="937"/>
      <c r="M140" s="935"/>
      <c r="N140" s="935"/>
      <c r="O140" s="935"/>
      <c r="P140" s="935"/>
      <c r="Q140" s="935"/>
      <c r="R140" s="935"/>
      <c r="S140" s="935"/>
      <c r="T140" s="935"/>
    </row>
    <row r="141" spans="1:20">
      <c r="A141" s="935"/>
      <c r="B141" s="935"/>
      <c r="C141" s="935"/>
      <c r="D141" s="935"/>
      <c r="E141" s="935"/>
      <c r="F141" s="935"/>
      <c r="G141" s="935"/>
      <c r="H141" s="935"/>
      <c r="I141" s="935"/>
      <c r="J141" s="935"/>
      <c r="K141" s="936"/>
      <c r="L141" s="937"/>
      <c r="M141" s="935"/>
      <c r="N141" s="935"/>
      <c r="O141" s="935"/>
      <c r="P141" s="935"/>
      <c r="Q141" s="935"/>
      <c r="R141" s="935"/>
      <c r="S141" s="935"/>
      <c r="T141" s="935"/>
    </row>
    <row r="142" spans="1:20">
      <c r="A142" s="935"/>
      <c r="B142" s="935"/>
      <c r="C142" s="935"/>
      <c r="D142" s="935"/>
      <c r="E142" s="935"/>
      <c r="F142" s="935"/>
      <c r="G142" s="935"/>
      <c r="H142" s="935"/>
      <c r="I142" s="935"/>
      <c r="J142" s="935"/>
      <c r="K142" s="936"/>
      <c r="L142" s="937"/>
      <c r="M142" s="935"/>
      <c r="N142" s="935"/>
      <c r="O142" s="935"/>
      <c r="P142" s="935"/>
      <c r="Q142" s="935"/>
      <c r="R142" s="935"/>
      <c r="S142" s="935"/>
      <c r="T142" s="935"/>
    </row>
    <row r="143" spans="1:20">
      <c r="A143" s="935"/>
      <c r="B143" s="935"/>
      <c r="C143" s="935"/>
      <c r="D143" s="935"/>
      <c r="E143" s="935"/>
      <c r="F143" s="935"/>
      <c r="G143" s="935"/>
      <c r="H143" s="935"/>
      <c r="I143" s="935"/>
      <c r="J143" s="935"/>
      <c r="K143" s="936"/>
      <c r="L143" s="937"/>
      <c r="M143" s="935"/>
      <c r="N143" s="935"/>
      <c r="O143" s="935"/>
      <c r="P143" s="935"/>
      <c r="Q143" s="935"/>
      <c r="R143" s="935"/>
      <c r="S143" s="935"/>
      <c r="T143" s="935"/>
    </row>
    <row r="144" spans="1:20">
      <c r="A144" s="935"/>
      <c r="B144" s="935"/>
      <c r="C144" s="935"/>
      <c r="D144" s="935"/>
      <c r="E144" s="935"/>
      <c r="F144" s="935"/>
      <c r="G144" s="935"/>
      <c r="H144" s="935"/>
      <c r="I144" s="935"/>
      <c r="J144" s="935"/>
      <c r="K144" s="936"/>
      <c r="L144" s="937"/>
      <c r="M144" s="935"/>
      <c r="N144" s="935"/>
      <c r="O144" s="935"/>
      <c r="P144" s="935"/>
      <c r="Q144" s="935"/>
      <c r="R144" s="935"/>
      <c r="S144" s="935"/>
      <c r="T144" s="935"/>
    </row>
    <row r="145" spans="1:20">
      <c r="A145" s="935"/>
      <c r="B145" s="935"/>
      <c r="C145" s="935"/>
      <c r="D145" s="935"/>
      <c r="E145" s="935"/>
      <c r="F145" s="935"/>
      <c r="G145" s="935"/>
      <c r="H145" s="935"/>
      <c r="I145" s="935"/>
      <c r="J145" s="935"/>
      <c r="K145" s="936"/>
      <c r="L145" s="937"/>
      <c r="M145" s="935"/>
      <c r="N145" s="935"/>
      <c r="O145" s="935"/>
      <c r="P145" s="935"/>
      <c r="Q145" s="935"/>
      <c r="R145" s="935"/>
      <c r="S145" s="935"/>
      <c r="T145" s="935"/>
    </row>
    <row r="146" spans="1:20">
      <c r="A146" s="935"/>
      <c r="B146" s="935"/>
      <c r="C146" s="935"/>
      <c r="D146" s="935"/>
      <c r="E146" s="935"/>
      <c r="F146" s="935"/>
      <c r="G146" s="935"/>
      <c r="H146" s="935"/>
      <c r="I146" s="935"/>
      <c r="J146" s="935"/>
      <c r="K146" s="936"/>
      <c r="L146" s="937"/>
      <c r="M146" s="935"/>
      <c r="N146" s="935"/>
      <c r="O146" s="935"/>
      <c r="P146" s="935"/>
      <c r="Q146" s="935"/>
      <c r="R146" s="935"/>
      <c r="S146" s="935"/>
      <c r="T146" s="935"/>
    </row>
    <row r="147" spans="1:20">
      <c r="A147" s="935"/>
      <c r="B147" s="935"/>
      <c r="C147" s="935"/>
      <c r="D147" s="935"/>
      <c r="E147" s="935"/>
      <c r="F147" s="935"/>
      <c r="G147" s="935"/>
      <c r="H147" s="935"/>
      <c r="I147" s="935"/>
      <c r="J147" s="935"/>
      <c r="K147" s="936"/>
      <c r="L147" s="937"/>
      <c r="M147" s="935"/>
      <c r="N147" s="935"/>
      <c r="O147" s="935"/>
      <c r="P147" s="935"/>
      <c r="Q147" s="935"/>
      <c r="R147" s="935"/>
      <c r="S147" s="935"/>
      <c r="T147" s="935"/>
    </row>
    <row r="148" spans="1:20">
      <c r="A148" s="935"/>
      <c r="B148" s="935"/>
      <c r="C148" s="935"/>
      <c r="D148" s="935"/>
      <c r="E148" s="935"/>
      <c r="F148" s="935"/>
      <c r="G148" s="935"/>
      <c r="H148" s="935"/>
      <c r="I148" s="935"/>
      <c r="J148" s="935"/>
      <c r="K148" s="936"/>
      <c r="L148" s="937"/>
      <c r="M148" s="935"/>
      <c r="N148" s="935"/>
      <c r="O148" s="935"/>
      <c r="P148" s="935"/>
      <c r="Q148" s="935"/>
      <c r="R148" s="935"/>
      <c r="S148" s="935"/>
      <c r="T148" s="935"/>
    </row>
    <row r="149" spans="1:20">
      <c r="A149" s="935"/>
      <c r="B149" s="935"/>
      <c r="C149" s="935"/>
      <c r="D149" s="935"/>
      <c r="E149" s="935"/>
      <c r="F149" s="935"/>
      <c r="G149" s="935"/>
      <c r="H149" s="935"/>
      <c r="I149" s="935"/>
      <c r="J149" s="935"/>
      <c r="K149" s="936"/>
      <c r="L149" s="937"/>
      <c r="M149" s="935"/>
      <c r="N149" s="935"/>
      <c r="O149" s="935"/>
      <c r="P149" s="935"/>
      <c r="Q149" s="935"/>
      <c r="R149" s="935"/>
      <c r="S149" s="935"/>
      <c r="T149" s="935"/>
    </row>
    <row r="150" spans="1:20">
      <c r="A150" s="935"/>
      <c r="B150" s="935"/>
      <c r="C150" s="935"/>
      <c r="D150" s="935"/>
      <c r="E150" s="935"/>
      <c r="F150" s="935"/>
      <c r="G150" s="935"/>
      <c r="H150" s="935"/>
      <c r="I150" s="935"/>
      <c r="J150" s="935"/>
      <c r="K150" s="936"/>
      <c r="L150" s="937"/>
      <c r="M150" s="935"/>
      <c r="N150" s="935"/>
      <c r="O150" s="935"/>
      <c r="P150" s="935"/>
      <c r="Q150" s="935"/>
      <c r="R150" s="935"/>
      <c r="S150" s="935"/>
      <c r="T150" s="935"/>
    </row>
    <row r="151" spans="1:20">
      <c r="A151" s="935"/>
      <c r="B151" s="935"/>
      <c r="C151" s="935"/>
      <c r="D151" s="935"/>
      <c r="E151" s="935"/>
      <c r="F151" s="935"/>
      <c r="G151" s="935"/>
      <c r="H151" s="935"/>
      <c r="I151" s="935"/>
      <c r="J151" s="935"/>
      <c r="K151" s="936"/>
      <c r="L151" s="937"/>
      <c r="M151" s="935"/>
      <c r="N151" s="935"/>
      <c r="O151" s="935"/>
      <c r="P151" s="935"/>
      <c r="Q151" s="935"/>
      <c r="R151" s="935"/>
      <c r="S151" s="935"/>
      <c r="T151" s="935"/>
    </row>
    <row r="152" spans="1:20">
      <c r="A152" s="935"/>
      <c r="B152" s="935"/>
      <c r="C152" s="935"/>
      <c r="D152" s="935"/>
      <c r="E152" s="935"/>
      <c r="F152" s="935"/>
      <c r="G152" s="935"/>
      <c r="H152" s="935"/>
      <c r="I152" s="935"/>
      <c r="J152" s="935"/>
      <c r="K152" s="936"/>
      <c r="L152" s="937"/>
      <c r="M152" s="935"/>
      <c r="N152" s="935"/>
      <c r="O152" s="935"/>
      <c r="P152" s="935"/>
      <c r="Q152" s="935"/>
      <c r="R152" s="935"/>
      <c r="S152" s="935"/>
      <c r="T152" s="935"/>
    </row>
    <row r="153" spans="1:20">
      <c r="A153" s="935"/>
      <c r="B153" s="935"/>
      <c r="C153" s="935"/>
      <c r="D153" s="935"/>
      <c r="E153" s="935"/>
      <c r="F153" s="935"/>
      <c r="G153" s="935"/>
      <c r="H153" s="935"/>
      <c r="I153" s="935"/>
      <c r="J153" s="935"/>
      <c r="K153" s="936"/>
      <c r="L153" s="937"/>
      <c r="M153" s="935"/>
      <c r="N153" s="935"/>
      <c r="O153" s="935"/>
      <c r="P153" s="935"/>
      <c r="Q153" s="935"/>
      <c r="R153" s="935"/>
      <c r="S153" s="935"/>
      <c r="T153" s="935"/>
    </row>
    <row r="154" spans="1:20">
      <c r="A154" s="935"/>
      <c r="B154" s="935"/>
      <c r="C154" s="935"/>
      <c r="D154" s="935"/>
      <c r="E154" s="935"/>
      <c r="F154" s="935"/>
      <c r="G154" s="935"/>
      <c r="H154" s="935"/>
      <c r="I154" s="935"/>
      <c r="J154" s="935"/>
      <c r="K154" s="936"/>
      <c r="L154" s="937"/>
      <c r="M154" s="935"/>
      <c r="N154" s="935"/>
      <c r="O154" s="935"/>
      <c r="P154" s="935"/>
      <c r="Q154" s="935"/>
      <c r="R154" s="935"/>
      <c r="S154" s="935"/>
      <c r="T154" s="935"/>
    </row>
    <row r="155" spans="1:20">
      <c r="A155" s="935"/>
      <c r="B155" s="935"/>
      <c r="C155" s="935"/>
      <c r="D155" s="935"/>
      <c r="E155" s="935"/>
      <c r="F155" s="935"/>
      <c r="G155" s="935"/>
      <c r="H155" s="935"/>
      <c r="I155" s="935"/>
      <c r="J155" s="935"/>
      <c r="K155" s="936"/>
      <c r="L155" s="937"/>
      <c r="M155" s="935"/>
      <c r="N155" s="935"/>
      <c r="O155" s="935"/>
      <c r="P155" s="935"/>
      <c r="Q155" s="935"/>
      <c r="R155" s="935"/>
      <c r="S155" s="935"/>
      <c r="T155" s="935"/>
    </row>
    <row r="156" spans="1:20">
      <c r="A156" s="935"/>
      <c r="B156" s="935"/>
      <c r="C156" s="935"/>
      <c r="D156" s="935"/>
      <c r="E156" s="935"/>
      <c r="F156" s="935"/>
      <c r="G156" s="935"/>
      <c r="H156" s="935"/>
      <c r="I156" s="935"/>
      <c r="J156" s="935"/>
      <c r="K156" s="936"/>
      <c r="L156" s="937"/>
      <c r="M156" s="935"/>
      <c r="N156" s="935"/>
      <c r="O156" s="935"/>
      <c r="P156" s="935"/>
      <c r="Q156" s="935"/>
      <c r="R156" s="935"/>
      <c r="S156" s="935"/>
      <c r="T156" s="935"/>
    </row>
    <row r="157" spans="1:20">
      <c r="A157" s="935"/>
      <c r="B157" s="935"/>
      <c r="C157" s="935"/>
      <c r="D157" s="935"/>
      <c r="E157" s="935"/>
      <c r="F157" s="935"/>
      <c r="G157" s="935"/>
      <c r="H157" s="935"/>
      <c r="I157" s="935"/>
      <c r="J157" s="935"/>
      <c r="K157" s="936"/>
      <c r="L157" s="937"/>
      <c r="M157" s="935"/>
      <c r="N157" s="935"/>
      <c r="O157" s="935"/>
      <c r="P157" s="935"/>
      <c r="Q157" s="935"/>
      <c r="R157" s="935"/>
      <c r="S157" s="935"/>
      <c r="T157" s="935"/>
    </row>
    <row r="158" spans="1:20">
      <c r="A158" s="935"/>
      <c r="B158" s="935"/>
      <c r="C158" s="935"/>
      <c r="D158" s="935"/>
      <c r="E158" s="935"/>
      <c r="F158" s="935"/>
      <c r="G158" s="935"/>
      <c r="H158" s="935"/>
      <c r="I158" s="935"/>
      <c r="J158" s="935"/>
      <c r="K158" s="936"/>
      <c r="L158" s="937"/>
      <c r="M158" s="935"/>
      <c r="N158" s="935"/>
      <c r="O158" s="935"/>
      <c r="P158" s="935"/>
      <c r="Q158" s="935"/>
      <c r="R158" s="935"/>
      <c r="S158" s="935"/>
      <c r="T158" s="935"/>
    </row>
    <row r="159" spans="1:20">
      <c r="A159" s="935"/>
      <c r="B159" s="935"/>
      <c r="C159" s="935"/>
      <c r="D159" s="935"/>
      <c r="E159" s="935"/>
      <c r="F159" s="935"/>
      <c r="G159" s="935"/>
      <c r="H159" s="935"/>
      <c r="I159" s="935"/>
      <c r="J159" s="935"/>
      <c r="K159" s="936"/>
      <c r="L159" s="937"/>
      <c r="M159" s="935"/>
      <c r="N159" s="935"/>
      <c r="O159" s="935"/>
      <c r="P159" s="935"/>
      <c r="Q159" s="935"/>
      <c r="R159" s="935"/>
      <c r="S159" s="935"/>
      <c r="T159" s="935"/>
    </row>
    <row r="160" spans="1:20">
      <c r="A160" s="935"/>
      <c r="B160" s="935"/>
      <c r="C160" s="935"/>
      <c r="D160" s="935"/>
      <c r="E160" s="935"/>
      <c r="F160" s="935"/>
      <c r="G160" s="935"/>
      <c r="H160" s="935"/>
      <c r="I160" s="935"/>
      <c r="J160" s="935"/>
      <c r="K160" s="936"/>
      <c r="L160" s="937"/>
      <c r="M160" s="935"/>
      <c r="N160" s="935"/>
      <c r="O160" s="935"/>
      <c r="P160" s="935"/>
      <c r="Q160" s="935"/>
      <c r="R160" s="935"/>
      <c r="S160" s="935"/>
      <c r="T160" s="935"/>
    </row>
    <row r="161" spans="1:20">
      <c r="A161" s="935"/>
      <c r="B161" s="935"/>
      <c r="C161" s="935"/>
      <c r="D161" s="935"/>
      <c r="E161" s="935"/>
      <c r="F161" s="935"/>
      <c r="G161" s="935"/>
      <c r="H161" s="935"/>
      <c r="I161" s="935"/>
      <c r="J161" s="935"/>
      <c r="K161" s="936"/>
      <c r="L161" s="937"/>
      <c r="M161" s="935"/>
      <c r="N161" s="935"/>
      <c r="O161" s="935"/>
      <c r="P161" s="935"/>
      <c r="Q161" s="935"/>
      <c r="R161" s="935"/>
      <c r="S161" s="935"/>
      <c r="T161" s="935"/>
    </row>
    <row r="162" spans="1:20">
      <c r="A162" s="935"/>
      <c r="B162" s="935"/>
      <c r="C162" s="935"/>
      <c r="D162" s="935"/>
      <c r="E162" s="935"/>
      <c r="F162" s="935"/>
      <c r="G162" s="935"/>
      <c r="H162" s="935"/>
      <c r="I162" s="935"/>
      <c r="J162" s="935"/>
      <c r="K162" s="936"/>
      <c r="L162" s="937"/>
      <c r="M162" s="935"/>
      <c r="N162" s="935"/>
      <c r="O162" s="935"/>
      <c r="P162" s="935"/>
      <c r="Q162" s="935"/>
      <c r="R162" s="935"/>
      <c r="S162" s="935"/>
      <c r="T162" s="935"/>
    </row>
    <row r="163" spans="1:20">
      <c r="A163" s="935"/>
      <c r="B163" s="935"/>
      <c r="C163" s="935"/>
      <c r="D163" s="935"/>
      <c r="E163" s="935"/>
      <c r="F163" s="935"/>
      <c r="G163" s="935"/>
      <c r="H163" s="935"/>
      <c r="I163" s="935"/>
      <c r="J163" s="935"/>
      <c r="K163" s="936"/>
      <c r="L163" s="937"/>
      <c r="M163" s="935"/>
      <c r="N163" s="935"/>
      <c r="O163" s="935"/>
      <c r="P163" s="935"/>
      <c r="Q163" s="935"/>
      <c r="R163" s="935"/>
      <c r="S163" s="935"/>
      <c r="T163" s="935"/>
    </row>
    <row r="164" spans="1:20">
      <c r="A164" s="935"/>
      <c r="B164" s="935"/>
      <c r="C164" s="935"/>
      <c r="D164" s="935"/>
      <c r="E164" s="935"/>
      <c r="F164" s="935"/>
      <c r="G164" s="935"/>
      <c r="H164" s="935"/>
      <c r="I164" s="935"/>
      <c r="J164" s="935"/>
      <c r="K164" s="936"/>
      <c r="L164" s="937"/>
      <c r="M164" s="935"/>
      <c r="N164" s="935"/>
      <c r="O164" s="935"/>
      <c r="P164" s="935"/>
      <c r="Q164" s="935"/>
      <c r="R164" s="935"/>
      <c r="S164" s="935"/>
      <c r="T164" s="935"/>
    </row>
    <row r="165" spans="1:20">
      <c r="A165" s="935"/>
      <c r="B165" s="935"/>
      <c r="C165" s="935"/>
      <c r="D165" s="935"/>
      <c r="E165" s="935"/>
      <c r="F165" s="935"/>
      <c r="G165" s="935"/>
      <c r="H165" s="935"/>
      <c r="I165" s="935"/>
      <c r="J165" s="935"/>
      <c r="K165" s="936"/>
      <c r="L165" s="937"/>
      <c r="M165" s="935"/>
      <c r="N165" s="935"/>
      <c r="O165" s="935"/>
      <c r="P165" s="935"/>
      <c r="Q165" s="935"/>
      <c r="R165" s="935"/>
      <c r="S165" s="935"/>
      <c r="T165" s="935"/>
    </row>
    <row r="166" spans="1:20">
      <c r="A166" s="935"/>
      <c r="B166" s="935"/>
      <c r="C166" s="935"/>
      <c r="D166" s="935"/>
      <c r="E166" s="935"/>
      <c r="F166" s="935"/>
      <c r="G166" s="935"/>
      <c r="H166" s="935"/>
      <c r="I166" s="935"/>
      <c r="J166" s="935"/>
      <c r="K166" s="936"/>
      <c r="L166" s="937"/>
      <c r="M166" s="935"/>
      <c r="N166" s="935"/>
      <c r="O166" s="935"/>
      <c r="P166" s="935"/>
      <c r="Q166" s="935"/>
      <c r="R166" s="935"/>
      <c r="S166" s="935"/>
      <c r="T166" s="935"/>
    </row>
    <row r="167" spans="1:20">
      <c r="A167" s="935"/>
      <c r="B167" s="935"/>
      <c r="C167" s="935"/>
      <c r="D167" s="935"/>
      <c r="E167" s="935"/>
      <c r="F167" s="935"/>
      <c r="G167" s="935"/>
      <c r="H167" s="935"/>
      <c r="I167" s="935"/>
      <c r="J167" s="935"/>
      <c r="K167" s="936"/>
      <c r="L167" s="937"/>
      <c r="M167" s="935"/>
      <c r="N167" s="935"/>
      <c r="O167" s="935"/>
      <c r="P167" s="935"/>
      <c r="Q167" s="935"/>
      <c r="R167" s="935"/>
      <c r="S167" s="935"/>
      <c r="T167" s="935"/>
    </row>
    <row r="168" spans="1:20">
      <c r="A168" s="935"/>
      <c r="B168" s="935"/>
      <c r="C168" s="935"/>
      <c r="D168" s="935"/>
      <c r="E168" s="935"/>
      <c r="F168" s="935"/>
      <c r="G168" s="935"/>
      <c r="H168" s="935"/>
      <c r="I168" s="935"/>
      <c r="J168" s="935"/>
      <c r="K168" s="936"/>
      <c r="L168" s="937"/>
      <c r="M168" s="935"/>
      <c r="N168" s="935"/>
      <c r="O168" s="935"/>
      <c r="P168" s="935"/>
      <c r="Q168" s="935"/>
      <c r="R168" s="935"/>
      <c r="S168" s="935"/>
      <c r="T168" s="935"/>
    </row>
    <row r="169" spans="1:20">
      <c r="A169" s="935"/>
      <c r="B169" s="935"/>
      <c r="C169" s="935"/>
      <c r="D169" s="935"/>
      <c r="E169" s="935"/>
      <c r="F169" s="935"/>
      <c r="G169" s="935"/>
      <c r="H169" s="935"/>
      <c r="I169" s="935"/>
      <c r="J169" s="935"/>
      <c r="K169" s="936"/>
      <c r="L169" s="937"/>
      <c r="M169" s="935"/>
      <c r="N169" s="935"/>
      <c r="O169" s="935"/>
      <c r="P169" s="935"/>
      <c r="Q169" s="935"/>
      <c r="R169" s="935"/>
      <c r="S169" s="935"/>
      <c r="T169" s="935"/>
    </row>
    <row r="170" spans="1:20">
      <c r="A170" s="935"/>
      <c r="B170" s="935"/>
      <c r="C170" s="935"/>
      <c r="D170" s="935"/>
      <c r="E170" s="935"/>
      <c r="F170" s="935"/>
      <c r="G170" s="935"/>
      <c r="H170" s="935"/>
      <c r="I170" s="935"/>
      <c r="J170" s="935"/>
      <c r="K170" s="936"/>
      <c r="L170" s="937"/>
      <c r="M170" s="935"/>
      <c r="N170" s="935"/>
      <c r="O170" s="935"/>
      <c r="P170" s="935"/>
      <c r="Q170" s="935"/>
      <c r="R170" s="935"/>
      <c r="S170" s="935"/>
      <c r="T170" s="935"/>
    </row>
    <row r="171" spans="1:20">
      <c r="A171" s="935"/>
      <c r="B171" s="935"/>
      <c r="C171" s="935"/>
      <c r="D171" s="935"/>
      <c r="E171" s="935"/>
      <c r="F171" s="935"/>
      <c r="G171" s="935"/>
      <c r="H171" s="935"/>
      <c r="I171" s="935"/>
      <c r="J171" s="935"/>
      <c r="K171" s="936"/>
      <c r="L171" s="937"/>
      <c r="M171" s="935"/>
      <c r="N171" s="935"/>
      <c r="O171" s="935"/>
      <c r="P171" s="935"/>
      <c r="Q171" s="935"/>
      <c r="R171" s="935"/>
      <c r="S171" s="935"/>
      <c r="T171" s="935"/>
    </row>
    <row r="172" spans="1:20">
      <c r="A172" s="935"/>
      <c r="B172" s="935"/>
      <c r="C172" s="935"/>
      <c r="D172" s="935"/>
      <c r="E172" s="935"/>
      <c r="F172" s="935"/>
      <c r="G172" s="935"/>
      <c r="H172" s="935"/>
      <c r="I172" s="935"/>
      <c r="J172" s="935"/>
      <c r="K172" s="936"/>
      <c r="L172" s="937"/>
      <c r="M172" s="935"/>
      <c r="N172" s="935"/>
      <c r="O172" s="935"/>
      <c r="P172" s="935"/>
      <c r="Q172" s="935"/>
      <c r="R172" s="935"/>
      <c r="S172" s="935"/>
      <c r="T172" s="935"/>
    </row>
    <row r="173" spans="1:20">
      <c r="A173" s="935"/>
      <c r="B173" s="935"/>
      <c r="C173" s="935"/>
      <c r="D173" s="935"/>
      <c r="E173" s="935"/>
      <c r="F173" s="935"/>
      <c r="G173" s="935"/>
      <c r="H173" s="935"/>
      <c r="I173" s="935"/>
      <c r="J173" s="935"/>
      <c r="K173" s="936"/>
      <c r="L173" s="937"/>
      <c r="M173" s="935"/>
      <c r="N173" s="935"/>
      <c r="O173" s="935"/>
      <c r="P173" s="935"/>
      <c r="Q173" s="935"/>
      <c r="R173" s="935"/>
      <c r="S173" s="935"/>
      <c r="T173" s="935"/>
    </row>
    <row r="174" spans="1:20">
      <c r="A174" s="935"/>
      <c r="B174" s="935"/>
      <c r="C174" s="935"/>
      <c r="D174" s="935"/>
      <c r="E174" s="935"/>
      <c r="F174" s="935"/>
      <c r="G174" s="935"/>
      <c r="H174" s="935"/>
      <c r="I174" s="935"/>
      <c r="J174" s="935"/>
      <c r="K174" s="936"/>
      <c r="L174" s="937"/>
      <c r="M174" s="935"/>
      <c r="N174" s="935"/>
      <c r="O174" s="935"/>
      <c r="P174" s="935"/>
      <c r="Q174" s="935"/>
      <c r="R174" s="935"/>
      <c r="S174" s="935"/>
      <c r="T174" s="935"/>
    </row>
    <row r="175" spans="1:20">
      <c r="A175" s="935"/>
      <c r="B175" s="935"/>
      <c r="C175" s="935"/>
      <c r="D175" s="935"/>
      <c r="E175" s="935"/>
      <c r="F175" s="935"/>
      <c r="G175" s="935"/>
      <c r="H175" s="935"/>
      <c r="I175" s="935"/>
      <c r="J175" s="935"/>
      <c r="K175" s="936"/>
      <c r="L175" s="937"/>
      <c r="M175" s="935"/>
      <c r="N175" s="935"/>
      <c r="O175" s="935"/>
      <c r="P175" s="935"/>
      <c r="Q175" s="935"/>
      <c r="R175" s="935"/>
      <c r="S175" s="935"/>
      <c r="T175" s="935"/>
    </row>
    <row r="176" spans="1:20">
      <c r="A176" s="935"/>
      <c r="B176" s="935"/>
      <c r="C176" s="935"/>
      <c r="D176" s="935"/>
      <c r="E176" s="935"/>
      <c r="F176" s="935"/>
      <c r="G176" s="935"/>
      <c r="H176" s="935"/>
      <c r="I176" s="935"/>
      <c r="J176" s="935"/>
      <c r="K176" s="936"/>
      <c r="L176" s="937"/>
      <c r="M176" s="935"/>
      <c r="N176" s="935"/>
      <c r="O176" s="935"/>
      <c r="P176" s="935"/>
      <c r="Q176" s="935"/>
      <c r="R176" s="935"/>
      <c r="S176" s="935"/>
      <c r="T176" s="935"/>
    </row>
    <row r="177" spans="1:20">
      <c r="A177" s="935"/>
      <c r="B177" s="935"/>
      <c r="C177" s="935"/>
      <c r="D177" s="935"/>
      <c r="E177" s="935"/>
      <c r="F177" s="935"/>
      <c r="G177" s="935"/>
      <c r="H177" s="935"/>
      <c r="I177" s="935"/>
      <c r="J177" s="935"/>
      <c r="K177" s="936"/>
      <c r="L177" s="937"/>
      <c r="M177" s="935"/>
      <c r="N177" s="935"/>
      <c r="O177" s="935"/>
      <c r="P177" s="935"/>
      <c r="Q177" s="935"/>
      <c r="R177" s="935"/>
      <c r="S177" s="935"/>
      <c r="T177" s="935"/>
    </row>
    <row r="178" spans="1:20">
      <c r="A178" s="935"/>
      <c r="B178" s="935"/>
      <c r="C178" s="935"/>
      <c r="D178" s="935"/>
      <c r="E178" s="935"/>
      <c r="F178" s="935"/>
      <c r="G178" s="935"/>
      <c r="H178" s="935"/>
      <c r="I178" s="935"/>
      <c r="J178" s="935"/>
      <c r="K178" s="936"/>
      <c r="L178" s="937"/>
      <c r="M178" s="935"/>
      <c r="N178" s="935"/>
      <c r="O178" s="935"/>
      <c r="P178" s="935"/>
      <c r="Q178" s="935"/>
      <c r="R178" s="935"/>
      <c r="S178" s="935"/>
      <c r="T178" s="935"/>
    </row>
    <row r="179" spans="1:20">
      <c r="A179" s="935"/>
      <c r="B179" s="935"/>
      <c r="C179" s="935"/>
      <c r="D179" s="935"/>
      <c r="E179" s="935"/>
      <c r="F179" s="935"/>
      <c r="G179" s="935"/>
      <c r="H179" s="935"/>
      <c r="I179" s="935"/>
      <c r="J179" s="935"/>
      <c r="K179" s="936"/>
      <c r="L179" s="937"/>
      <c r="M179" s="935"/>
      <c r="N179" s="935"/>
      <c r="O179" s="935"/>
      <c r="P179" s="935"/>
      <c r="Q179" s="935"/>
      <c r="R179" s="935"/>
      <c r="S179" s="935"/>
      <c r="T179" s="935"/>
    </row>
    <row r="180" spans="1:20">
      <c r="A180" s="935"/>
      <c r="B180" s="935"/>
      <c r="C180" s="935"/>
      <c r="D180" s="935"/>
      <c r="E180" s="935"/>
      <c r="F180" s="935"/>
      <c r="G180" s="935"/>
      <c r="H180" s="935"/>
      <c r="I180" s="935"/>
      <c r="J180" s="935"/>
      <c r="K180" s="936"/>
      <c r="L180" s="937"/>
      <c r="M180" s="935"/>
      <c r="N180" s="935"/>
      <c r="O180" s="935"/>
      <c r="P180" s="935"/>
      <c r="Q180" s="935"/>
      <c r="R180" s="935"/>
      <c r="S180" s="935"/>
      <c r="T180" s="935"/>
    </row>
    <row r="181" spans="1:20">
      <c r="A181" s="935"/>
      <c r="B181" s="935"/>
      <c r="C181" s="935"/>
      <c r="D181" s="935"/>
      <c r="E181" s="935"/>
      <c r="F181" s="935"/>
      <c r="G181" s="935"/>
      <c r="H181" s="935"/>
      <c r="I181" s="935"/>
      <c r="J181" s="935"/>
      <c r="K181" s="936"/>
      <c r="L181" s="937"/>
      <c r="M181" s="935"/>
      <c r="N181" s="935"/>
      <c r="O181" s="935"/>
      <c r="P181" s="935"/>
      <c r="Q181" s="935"/>
      <c r="R181" s="935"/>
      <c r="S181" s="935"/>
      <c r="T181" s="935"/>
    </row>
    <row r="182" spans="1:20">
      <c r="A182" s="935"/>
      <c r="B182" s="935"/>
      <c r="C182" s="935"/>
      <c r="D182" s="935"/>
      <c r="E182" s="935"/>
      <c r="F182" s="935"/>
      <c r="G182" s="935"/>
      <c r="H182" s="935"/>
      <c r="I182" s="935"/>
      <c r="J182" s="935"/>
      <c r="K182" s="936"/>
      <c r="L182" s="937"/>
      <c r="M182" s="935"/>
      <c r="N182" s="935"/>
      <c r="O182" s="935"/>
      <c r="P182" s="935"/>
      <c r="Q182" s="935"/>
      <c r="R182" s="935"/>
      <c r="S182" s="935"/>
      <c r="T182" s="935"/>
    </row>
    <row r="183" spans="1:20">
      <c r="A183" s="935"/>
      <c r="B183" s="935"/>
      <c r="C183" s="935"/>
      <c r="D183" s="935"/>
      <c r="E183" s="935"/>
      <c r="F183" s="935"/>
      <c r="G183" s="935"/>
      <c r="H183" s="935"/>
      <c r="I183" s="935"/>
      <c r="J183" s="935"/>
      <c r="K183" s="936"/>
      <c r="L183" s="937"/>
      <c r="M183" s="935"/>
      <c r="N183" s="935"/>
      <c r="O183" s="935"/>
      <c r="P183" s="935"/>
      <c r="Q183" s="935"/>
      <c r="R183" s="935"/>
      <c r="S183" s="935"/>
      <c r="T183" s="935"/>
    </row>
    <row r="184" spans="1:20">
      <c r="A184" s="935"/>
      <c r="B184" s="935"/>
      <c r="C184" s="935"/>
      <c r="D184" s="935"/>
      <c r="E184" s="935"/>
      <c r="F184" s="935"/>
      <c r="G184" s="935"/>
      <c r="H184" s="935"/>
      <c r="I184" s="935"/>
      <c r="J184" s="935"/>
      <c r="K184" s="936"/>
      <c r="L184" s="937"/>
      <c r="M184" s="935"/>
      <c r="N184" s="935"/>
      <c r="O184" s="935"/>
      <c r="P184" s="935"/>
      <c r="Q184" s="935"/>
      <c r="R184" s="935"/>
      <c r="S184" s="935"/>
      <c r="T184" s="935"/>
    </row>
    <row r="185" spans="1:20">
      <c r="A185" s="935"/>
      <c r="B185" s="935"/>
      <c r="C185" s="935"/>
      <c r="D185" s="935"/>
      <c r="E185" s="935"/>
      <c r="F185" s="935"/>
      <c r="G185" s="935"/>
      <c r="H185" s="935"/>
      <c r="I185" s="935"/>
      <c r="J185" s="935"/>
      <c r="K185" s="936"/>
      <c r="L185" s="937"/>
      <c r="M185" s="935"/>
      <c r="N185" s="935"/>
      <c r="O185" s="935"/>
      <c r="P185" s="935"/>
      <c r="Q185" s="935"/>
      <c r="R185" s="935"/>
      <c r="S185" s="935"/>
      <c r="T185" s="935"/>
    </row>
    <row r="186" spans="1:20">
      <c r="A186" s="935"/>
      <c r="B186" s="935"/>
      <c r="C186" s="935"/>
      <c r="D186" s="935"/>
      <c r="E186" s="935"/>
      <c r="F186" s="935"/>
      <c r="G186" s="935"/>
      <c r="H186" s="935"/>
      <c r="I186" s="935"/>
      <c r="J186" s="935"/>
      <c r="K186" s="936"/>
      <c r="L186" s="937"/>
      <c r="M186" s="935"/>
      <c r="N186" s="935"/>
      <c r="O186" s="935"/>
      <c r="P186" s="935"/>
      <c r="Q186" s="935"/>
      <c r="R186" s="935"/>
      <c r="S186" s="935"/>
      <c r="T186" s="935"/>
    </row>
    <row r="187" spans="1:20">
      <c r="A187" s="935"/>
      <c r="B187" s="935"/>
      <c r="C187" s="935"/>
      <c r="D187" s="935"/>
      <c r="E187" s="935"/>
      <c r="F187" s="935"/>
      <c r="G187" s="935"/>
      <c r="H187" s="935"/>
      <c r="I187" s="935"/>
      <c r="J187" s="935"/>
      <c r="K187" s="936"/>
      <c r="L187" s="937"/>
      <c r="M187" s="935"/>
      <c r="N187" s="935"/>
      <c r="O187" s="935"/>
      <c r="P187" s="935"/>
      <c r="Q187" s="935"/>
      <c r="R187" s="935"/>
      <c r="S187" s="935"/>
      <c r="T187" s="935"/>
    </row>
    <row r="188" spans="1:20">
      <c r="A188" s="935"/>
      <c r="B188" s="935"/>
      <c r="C188" s="935"/>
      <c r="D188" s="935"/>
      <c r="E188" s="935"/>
      <c r="F188" s="935"/>
      <c r="G188" s="935"/>
      <c r="H188" s="935"/>
      <c r="I188" s="935"/>
      <c r="J188" s="935"/>
      <c r="K188" s="936"/>
      <c r="L188" s="937"/>
      <c r="M188" s="935"/>
      <c r="N188" s="935"/>
      <c r="O188" s="935"/>
      <c r="P188" s="935"/>
      <c r="Q188" s="935"/>
      <c r="R188" s="935"/>
      <c r="S188" s="935"/>
      <c r="T188" s="935"/>
    </row>
    <row r="189" spans="1:20">
      <c r="A189" s="935"/>
      <c r="B189" s="935"/>
      <c r="C189" s="935"/>
      <c r="D189" s="935"/>
      <c r="E189" s="935"/>
      <c r="F189" s="935"/>
      <c r="G189" s="935"/>
      <c r="H189" s="935"/>
      <c r="I189" s="935"/>
      <c r="J189" s="935"/>
      <c r="K189" s="936"/>
      <c r="L189" s="937"/>
      <c r="M189" s="935"/>
      <c r="N189" s="935"/>
      <c r="O189" s="935"/>
      <c r="P189" s="935"/>
      <c r="Q189" s="935"/>
      <c r="R189" s="935"/>
      <c r="S189" s="935"/>
      <c r="T189" s="935"/>
    </row>
    <row r="190" spans="1:20">
      <c r="A190" s="935"/>
      <c r="B190" s="935"/>
      <c r="C190" s="935"/>
      <c r="D190" s="935"/>
      <c r="E190" s="935"/>
      <c r="F190" s="935"/>
      <c r="G190" s="935"/>
      <c r="H190" s="935"/>
      <c r="I190" s="935"/>
      <c r="J190" s="935"/>
      <c r="K190" s="936"/>
      <c r="L190" s="937"/>
      <c r="M190" s="935"/>
      <c r="N190" s="935"/>
      <c r="O190" s="935"/>
      <c r="P190" s="935"/>
      <c r="Q190" s="935"/>
      <c r="R190" s="935"/>
      <c r="S190" s="935"/>
      <c r="T190" s="935"/>
    </row>
    <row r="191" spans="1:20">
      <c r="A191" s="935"/>
      <c r="B191" s="935"/>
      <c r="C191" s="935"/>
      <c r="D191" s="935"/>
      <c r="E191" s="935"/>
      <c r="F191" s="935"/>
      <c r="G191" s="935"/>
      <c r="H191" s="935"/>
      <c r="I191" s="935"/>
      <c r="J191" s="935"/>
      <c r="K191" s="936"/>
      <c r="L191" s="937"/>
      <c r="M191" s="935"/>
      <c r="N191" s="935"/>
      <c r="O191" s="935"/>
      <c r="P191" s="935"/>
      <c r="Q191" s="935"/>
      <c r="R191" s="935"/>
      <c r="S191" s="935"/>
      <c r="T191" s="935"/>
    </row>
    <row r="192" spans="1:20">
      <c r="A192" s="935"/>
      <c r="B192" s="935"/>
      <c r="C192" s="935"/>
      <c r="D192" s="935"/>
      <c r="E192" s="935"/>
      <c r="F192" s="935"/>
      <c r="G192" s="935"/>
      <c r="H192" s="935"/>
      <c r="I192" s="935"/>
      <c r="J192" s="935"/>
      <c r="K192" s="936"/>
      <c r="L192" s="937"/>
      <c r="M192" s="935"/>
      <c r="N192" s="935"/>
      <c r="O192" s="935"/>
      <c r="P192" s="935"/>
      <c r="Q192" s="935"/>
      <c r="R192" s="935"/>
      <c r="S192" s="935"/>
      <c r="T192" s="935"/>
    </row>
    <row r="193" spans="1:20">
      <c r="A193" s="935"/>
      <c r="B193" s="935"/>
      <c r="C193" s="935"/>
      <c r="D193" s="935"/>
      <c r="E193" s="935"/>
      <c r="F193" s="935"/>
      <c r="G193" s="935"/>
      <c r="H193" s="935"/>
      <c r="I193" s="935"/>
      <c r="J193" s="935"/>
      <c r="K193" s="936"/>
      <c r="L193" s="937"/>
      <c r="M193" s="935"/>
      <c r="N193" s="935"/>
      <c r="O193" s="935"/>
      <c r="P193" s="935"/>
      <c r="Q193" s="935"/>
      <c r="R193" s="935"/>
      <c r="S193" s="935"/>
      <c r="T193" s="935"/>
    </row>
    <row r="194" spans="1:20">
      <c r="A194" s="935"/>
      <c r="B194" s="935"/>
      <c r="C194" s="935"/>
      <c r="D194" s="935"/>
      <c r="E194" s="935"/>
      <c r="F194" s="935"/>
      <c r="G194" s="935"/>
      <c r="H194" s="935"/>
      <c r="I194" s="935"/>
      <c r="J194" s="935"/>
      <c r="K194" s="936"/>
      <c r="L194" s="937"/>
      <c r="M194" s="935"/>
      <c r="N194" s="935"/>
      <c r="O194" s="935"/>
      <c r="P194" s="935"/>
      <c r="Q194" s="935"/>
      <c r="R194" s="935"/>
      <c r="S194" s="935"/>
      <c r="T194" s="935"/>
    </row>
    <row r="195" spans="1:20">
      <c r="A195" s="935"/>
      <c r="B195" s="935"/>
      <c r="C195" s="935"/>
      <c r="D195" s="935"/>
      <c r="E195" s="935"/>
      <c r="F195" s="935"/>
      <c r="G195" s="935"/>
      <c r="H195" s="935"/>
      <c r="I195" s="935"/>
      <c r="J195" s="935"/>
      <c r="K195" s="936"/>
      <c r="L195" s="937"/>
      <c r="M195" s="935"/>
      <c r="N195" s="935"/>
      <c r="O195" s="935"/>
      <c r="P195" s="935"/>
      <c r="Q195" s="935"/>
      <c r="R195" s="935"/>
      <c r="S195" s="935"/>
      <c r="T195" s="935"/>
    </row>
    <row r="196" spans="1:20">
      <c r="A196" s="935"/>
      <c r="B196" s="935"/>
      <c r="C196" s="935"/>
      <c r="D196" s="935"/>
      <c r="E196" s="935"/>
      <c r="F196" s="935"/>
      <c r="G196" s="935"/>
      <c r="H196" s="935"/>
      <c r="I196" s="935"/>
      <c r="J196" s="935"/>
      <c r="K196" s="936"/>
      <c r="L196" s="937"/>
      <c r="M196" s="935"/>
      <c r="N196" s="935"/>
      <c r="O196" s="935"/>
      <c r="P196" s="935"/>
      <c r="Q196" s="935"/>
      <c r="R196" s="935"/>
      <c r="S196" s="935"/>
      <c r="T196" s="935"/>
    </row>
    <row r="197" spans="1:20">
      <c r="A197" s="935"/>
      <c r="B197" s="935"/>
      <c r="C197" s="935"/>
      <c r="D197" s="935"/>
      <c r="E197" s="935"/>
      <c r="F197" s="935"/>
      <c r="G197" s="935"/>
      <c r="H197" s="935"/>
      <c r="I197" s="935"/>
      <c r="J197" s="935"/>
      <c r="K197" s="936"/>
      <c r="L197" s="937"/>
      <c r="M197" s="935"/>
      <c r="N197" s="935"/>
      <c r="O197" s="935"/>
      <c r="P197" s="935"/>
      <c r="Q197" s="935"/>
      <c r="R197" s="935"/>
      <c r="S197" s="935"/>
      <c r="T197" s="935"/>
    </row>
    <row r="198" spans="1:20">
      <c r="A198" s="935"/>
      <c r="B198" s="935"/>
      <c r="C198" s="935"/>
      <c r="D198" s="935"/>
      <c r="E198" s="935"/>
      <c r="F198" s="935"/>
      <c r="G198" s="935"/>
      <c r="H198" s="935"/>
      <c r="I198" s="935"/>
      <c r="J198" s="935"/>
      <c r="K198" s="936"/>
      <c r="L198" s="937"/>
      <c r="M198" s="935"/>
      <c r="N198" s="935"/>
      <c r="O198" s="935"/>
      <c r="P198" s="935"/>
      <c r="Q198" s="935"/>
      <c r="R198" s="935"/>
      <c r="S198" s="935"/>
      <c r="T198" s="935"/>
    </row>
    <row r="199" spans="1:20">
      <c r="A199" s="935"/>
      <c r="B199" s="935"/>
      <c r="C199" s="935"/>
      <c r="D199" s="935"/>
      <c r="E199" s="935"/>
      <c r="F199" s="935"/>
      <c r="G199" s="935"/>
      <c r="H199" s="935"/>
      <c r="I199" s="935"/>
      <c r="J199" s="935"/>
      <c r="K199" s="936"/>
      <c r="L199" s="937"/>
      <c r="M199" s="935"/>
      <c r="N199" s="935"/>
      <c r="O199" s="935"/>
      <c r="P199" s="935"/>
      <c r="Q199" s="935"/>
      <c r="R199" s="935"/>
      <c r="S199" s="935"/>
      <c r="T199" s="935"/>
    </row>
    <row r="200" spans="1:20">
      <c r="A200" s="935"/>
      <c r="B200" s="935"/>
      <c r="C200" s="935"/>
      <c r="D200" s="935"/>
      <c r="E200" s="935"/>
      <c r="F200" s="935"/>
      <c r="G200" s="935"/>
      <c r="H200" s="935"/>
      <c r="I200" s="935"/>
      <c r="J200" s="935"/>
      <c r="K200" s="936"/>
      <c r="L200" s="937"/>
      <c r="M200" s="935"/>
      <c r="N200" s="935"/>
      <c r="O200" s="935"/>
      <c r="P200" s="935"/>
      <c r="Q200" s="935"/>
      <c r="R200" s="935"/>
      <c r="S200" s="935"/>
      <c r="T200" s="935"/>
    </row>
    <row r="201" spans="1:20">
      <c r="A201" s="935"/>
      <c r="B201" s="935"/>
      <c r="C201" s="935"/>
      <c r="D201" s="935"/>
      <c r="E201" s="935"/>
      <c r="F201" s="935"/>
      <c r="G201" s="935"/>
      <c r="H201" s="935"/>
      <c r="I201" s="935"/>
      <c r="J201" s="935"/>
      <c r="K201" s="936"/>
      <c r="L201" s="937"/>
      <c r="M201" s="935"/>
      <c r="N201" s="935"/>
      <c r="O201" s="935"/>
      <c r="P201" s="935"/>
      <c r="Q201" s="935"/>
      <c r="R201" s="935"/>
      <c r="S201" s="935"/>
      <c r="T201" s="935"/>
    </row>
    <row r="202" spans="1:20">
      <c r="A202" s="935"/>
      <c r="B202" s="935"/>
      <c r="C202" s="935"/>
      <c r="D202" s="935"/>
      <c r="E202" s="935"/>
      <c r="F202" s="935"/>
      <c r="G202" s="935"/>
      <c r="H202" s="935"/>
      <c r="I202" s="935"/>
      <c r="J202" s="935"/>
      <c r="K202" s="936"/>
      <c r="L202" s="937"/>
      <c r="M202" s="935"/>
      <c r="N202" s="935"/>
      <c r="O202" s="935"/>
      <c r="P202" s="935"/>
      <c r="Q202" s="935"/>
      <c r="R202" s="935"/>
      <c r="S202" s="935"/>
      <c r="T202" s="935"/>
    </row>
    <row r="203" spans="1:20">
      <c r="A203" s="935"/>
      <c r="B203" s="935"/>
      <c r="C203" s="935"/>
      <c r="D203" s="935"/>
      <c r="E203" s="935"/>
      <c r="F203" s="935"/>
      <c r="G203" s="935"/>
      <c r="H203" s="935"/>
      <c r="I203" s="935"/>
      <c r="J203" s="935"/>
      <c r="K203" s="936"/>
      <c r="L203" s="937"/>
      <c r="M203" s="935"/>
      <c r="N203" s="935"/>
      <c r="O203" s="935"/>
      <c r="P203" s="935"/>
      <c r="Q203" s="935"/>
      <c r="R203" s="935"/>
      <c r="S203" s="935"/>
      <c r="T203" s="935"/>
    </row>
    <row r="204" spans="1:20">
      <c r="A204" s="935"/>
      <c r="B204" s="935"/>
      <c r="C204" s="935"/>
      <c r="D204" s="935"/>
      <c r="E204" s="935"/>
      <c r="F204" s="935"/>
      <c r="G204" s="935"/>
      <c r="H204" s="935"/>
      <c r="I204" s="935"/>
      <c r="J204" s="935"/>
      <c r="K204" s="936"/>
      <c r="L204" s="937"/>
      <c r="M204" s="935"/>
      <c r="N204" s="935"/>
      <c r="O204" s="935"/>
      <c r="P204" s="935"/>
      <c r="Q204" s="935"/>
      <c r="R204" s="935"/>
      <c r="S204" s="935"/>
      <c r="T204" s="935"/>
    </row>
    <row r="205" spans="1:20">
      <c r="A205" s="935"/>
      <c r="B205" s="935"/>
      <c r="C205" s="935"/>
      <c r="D205" s="935"/>
      <c r="E205" s="935"/>
      <c r="F205" s="935"/>
      <c r="G205" s="935"/>
      <c r="H205" s="935"/>
      <c r="I205" s="935"/>
      <c r="J205" s="935"/>
      <c r="K205" s="936"/>
      <c r="L205" s="937"/>
      <c r="M205" s="935"/>
      <c r="N205" s="935"/>
      <c r="O205" s="935"/>
      <c r="P205" s="935"/>
      <c r="Q205" s="935"/>
      <c r="R205" s="935"/>
      <c r="S205" s="935"/>
      <c r="T205" s="935"/>
    </row>
    <row r="206" spans="1:20">
      <c r="A206" s="935"/>
      <c r="B206" s="935"/>
      <c r="C206" s="935"/>
      <c r="D206" s="935"/>
      <c r="E206" s="935"/>
      <c r="F206" s="935"/>
      <c r="G206" s="935"/>
      <c r="H206" s="935"/>
      <c r="I206" s="935"/>
      <c r="J206" s="935"/>
      <c r="K206" s="936"/>
      <c r="L206" s="937"/>
      <c r="M206" s="935"/>
      <c r="N206" s="935"/>
      <c r="O206" s="935"/>
      <c r="P206" s="935"/>
      <c r="Q206" s="935"/>
      <c r="R206" s="935"/>
      <c r="S206" s="935"/>
      <c r="T206" s="935"/>
    </row>
    <row r="207" spans="1:20">
      <c r="A207" s="935"/>
      <c r="B207" s="935"/>
      <c r="C207" s="935"/>
      <c r="D207" s="935"/>
      <c r="E207" s="935"/>
      <c r="F207" s="935"/>
      <c r="G207" s="935"/>
      <c r="H207" s="935"/>
      <c r="I207" s="935"/>
      <c r="J207" s="935"/>
      <c r="K207" s="936"/>
      <c r="L207" s="937"/>
      <c r="M207" s="935"/>
      <c r="N207" s="935"/>
      <c r="O207" s="935"/>
      <c r="P207" s="935"/>
      <c r="Q207" s="935"/>
      <c r="R207" s="935"/>
      <c r="S207" s="935"/>
      <c r="T207" s="935"/>
    </row>
    <row r="208" spans="1:20">
      <c r="A208" s="935"/>
      <c r="B208" s="935"/>
      <c r="C208" s="935"/>
      <c r="D208" s="935"/>
      <c r="E208" s="935"/>
      <c r="F208" s="935"/>
      <c r="G208" s="935"/>
      <c r="H208" s="935"/>
      <c r="I208" s="935"/>
      <c r="J208" s="935"/>
      <c r="K208" s="936"/>
      <c r="L208" s="937"/>
      <c r="M208" s="935"/>
      <c r="N208" s="935"/>
      <c r="O208" s="935"/>
      <c r="P208" s="935"/>
      <c r="Q208" s="935"/>
      <c r="R208" s="935"/>
      <c r="S208" s="935"/>
      <c r="T208" s="935"/>
    </row>
    <row r="209" spans="1:20">
      <c r="A209" s="935"/>
      <c r="B209" s="935"/>
      <c r="C209" s="935"/>
      <c r="D209" s="935"/>
      <c r="E209" s="935"/>
      <c r="F209" s="935"/>
      <c r="G209" s="935"/>
      <c r="H209" s="935"/>
      <c r="I209" s="935"/>
      <c r="J209" s="935"/>
      <c r="K209" s="936"/>
      <c r="L209" s="937"/>
      <c r="M209" s="935"/>
      <c r="N209" s="935"/>
      <c r="O209" s="935"/>
      <c r="P209" s="935"/>
      <c r="Q209" s="935"/>
      <c r="R209" s="935"/>
      <c r="S209" s="935"/>
      <c r="T209" s="935"/>
    </row>
    <row r="210" spans="1:20">
      <c r="A210" s="935"/>
      <c r="B210" s="935"/>
      <c r="C210" s="935"/>
      <c r="D210" s="935"/>
      <c r="E210" s="935"/>
      <c r="F210" s="935"/>
      <c r="G210" s="935"/>
      <c r="H210" s="935"/>
      <c r="I210" s="935"/>
      <c r="J210" s="935"/>
      <c r="K210" s="936"/>
      <c r="L210" s="937"/>
      <c r="M210" s="935"/>
      <c r="N210" s="935"/>
      <c r="O210" s="935"/>
      <c r="P210" s="935"/>
      <c r="Q210" s="935"/>
      <c r="R210" s="935"/>
      <c r="S210" s="935"/>
      <c r="T210" s="935"/>
    </row>
    <row r="211" spans="1:20">
      <c r="A211" s="935"/>
      <c r="B211" s="935"/>
      <c r="C211" s="935"/>
      <c r="D211" s="935"/>
      <c r="E211" s="935"/>
      <c r="F211" s="935"/>
      <c r="G211" s="935"/>
      <c r="H211" s="935"/>
      <c r="I211" s="935"/>
      <c r="J211" s="935"/>
      <c r="K211" s="936"/>
      <c r="L211" s="937"/>
      <c r="M211" s="935"/>
      <c r="N211" s="935"/>
      <c r="O211" s="935"/>
      <c r="P211" s="935"/>
      <c r="Q211" s="935"/>
      <c r="R211" s="935"/>
      <c r="S211" s="935"/>
      <c r="T211" s="935"/>
    </row>
    <row r="212" spans="1:20">
      <c r="A212" s="935"/>
      <c r="B212" s="935"/>
      <c r="C212" s="935"/>
      <c r="D212" s="935"/>
      <c r="E212" s="935"/>
      <c r="F212" s="935"/>
      <c r="G212" s="935"/>
      <c r="H212" s="935"/>
      <c r="I212" s="935"/>
      <c r="J212" s="935"/>
      <c r="K212" s="936"/>
      <c r="L212" s="937"/>
      <c r="M212" s="935"/>
      <c r="N212" s="935"/>
      <c r="O212" s="935"/>
      <c r="P212" s="935"/>
      <c r="Q212" s="935"/>
      <c r="R212" s="935"/>
      <c r="S212" s="935"/>
      <c r="T212" s="935"/>
    </row>
    <row r="213" spans="1:20">
      <c r="A213" s="935"/>
      <c r="B213" s="935"/>
      <c r="C213" s="935"/>
      <c r="D213" s="935"/>
      <c r="E213" s="935"/>
      <c r="F213" s="935"/>
      <c r="G213" s="935"/>
      <c r="H213" s="935"/>
      <c r="I213" s="935"/>
      <c r="J213" s="935"/>
      <c r="K213" s="936"/>
      <c r="L213" s="937"/>
      <c r="M213" s="935"/>
      <c r="N213" s="935"/>
      <c r="O213" s="935"/>
      <c r="P213" s="935"/>
      <c r="Q213" s="935"/>
      <c r="R213" s="935"/>
      <c r="S213" s="935"/>
      <c r="T213" s="935"/>
    </row>
    <row r="214" spans="1:20">
      <c r="A214" s="935"/>
      <c r="B214" s="935"/>
      <c r="C214" s="935"/>
      <c r="D214" s="935"/>
      <c r="E214" s="935"/>
      <c r="F214" s="935"/>
      <c r="G214" s="935"/>
      <c r="H214" s="935"/>
      <c r="I214" s="935"/>
      <c r="J214" s="935"/>
      <c r="K214" s="936"/>
      <c r="L214" s="937"/>
      <c r="M214" s="935"/>
      <c r="N214" s="935"/>
      <c r="O214" s="935"/>
      <c r="P214" s="935"/>
      <c r="Q214" s="935"/>
      <c r="R214" s="935"/>
      <c r="S214" s="935"/>
      <c r="T214" s="935"/>
    </row>
    <row r="215" spans="1:20">
      <c r="A215" s="935"/>
      <c r="B215" s="935"/>
      <c r="C215" s="935"/>
      <c r="D215" s="935"/>
      <c r="E215" s="935"/>
      <c r="F215" s="935"/>
      <c r="G215" s="935"/>
      <c r="H215" s="935"/>
      <c r="I215" s="935"/>
      <c r="J215" s="935"/>
      <c r="K215" s="936"/>
      <c r="L215" s="937"/>
      <c r="M215" s="935"/>
      <c r="N215" s="935"/>
      <c r="O215" s="935"/>
      <c r="P215" s="935"/>
      <c r="Q215" s="935"/>
      <c r="R215" s="935"/>
      <c r="S215" s="935"/>
      <c r="T215" s="935"/>
    </row>
    <row r="216" spans="1:20">
      <c r="A216" s="935"/>
      <c r="B216" s="935"/>
      <c r="C216" s="935"/>
      <c r="D216" s="935"/>
      <c r="E216" s="935"/>
      <c r="F216" s="935"/>
      <c r="G216" s="935"/>
      <c r="H216" s="935"/>
      <c r="I216" s="935"/>
      <c r="J216" s="935"/>
      <c r="K216" s="936"/>
      <c r="L216" s="937"/>
      <c r="M216" s="935"/>
      <c r="N216" s="935"/>
      <c r="O216" s="935"/>
      <c r="P216" s="935"/>
      <c r="Q216" s="935"/>
      <c r="R216" s="935"/>
      <c r="S216" s="935"/>
      <c r="T216" s="935"/>
    </row>
    <row r="217" spans="1:20">
      <c r="A217" s="935"/>
      <c r="B217" s="935"/>
      <c r="C217" s="935"/>
      <c r="D217" s="935"/>
      <c r="E217" s="935"/>
      <c r="F217" s="935"/>
      <c r="G217" s="935"/>
      <c r="H217" s="935"/>
      <c r="I217" s="935"/>
      <c r="J217" s="935"/>
      <c r="K217" s="936"/>
      <c r="L217" s="937"/>
      <c r="M217" s="935"/>
      <c r="N217" s="935"/>
      <c r="O217" s="935"/>
      <c r="P217" s="935"/>
      <c r="Q217" s="935"/>
      <c r="R217" s="935"/>
      <c r="S217" s="935"/>
      <c r="T217" s="935"/>
    </row>
    <row r="218" spans="1:20">
      <c r="A218" s="935"/>
      <c r="B218" s="935"/>
      <c r="C218" s="935"/>
      <c r="D218" s="935"/>
      <c r="E218" s="935"/>
      <c r="F218" s="935"/>
      <c r="G218" s="935"/>
      <c r="H218" s="935"/>
      <c r="I218" s="935"/>
      <c r="J218" s="935"/>
      <c r="K218" s="936"/>
      <c r="L218" s="937"/>
      <c r="M218" s="935"/>
      <c r="N218" s="935"/>
      <c r="O218" s="935"/>
      <c r="P218" s="935"/>
      <c r="Q218" s="935"/>
      <c r="R218" s="935"/>
      <c r="S218" s="935"/>
      <c r="T218" s="935"/>
    </row>
    <row r="219" spans="1:20">
      <c r="A219" s="935"/>
      <c r="B219" s="935"/>
      <c r="C219" s="935"/>
      <c r="D219" s="935"/>
      <c r="E219" s="935"/>
      <c r="F219" s="935"/>
      <c r="G219" s="935"/>
      <c r="H219" s="935"/>
      <c r="I219" s="935"/>
      <c r="J219" s="935"/>
      <c r="K219" s="936"/>
      <c r="L219" s="937"/>
      <c r="M219" s="935"/>
      <c r="N219" s="935"/>
      <c r="O219" s="935"/>
      <c r="P219" s="935"/>
      <c r="Q219" s="935"/>
      <c r="R219" s="935"/>
      <c r="S219" s="935"/>
      <c r="T219" s="935"/>
    </row>
    <row r="220" spans="1:20">
      <c r="A220" s="935"/>
      <c r="B220" s="935"/>
      <c r="C220" s="935"/>
      <c r="D220" s="935"/>
      <c r="E220" s="935"/>
      <c r="F220" s="935"/>
      <c r="G220" s="935"/>
      <c r="H220" s="935"/>
      <c r="I220" s="935"/>
      <c r="J220" s="935"/>
      <c r="K220" s="936"/>
      <c r="L220" s="937"/>
      <c r="M220" s="935"/>
      <c r="N220" s="935"/>
      <c r="O220" s="935"/>
      <c r="P220" s="935"/>
      <c r="Q220" s="935"/>
      <c r="R220" s="935"/>
      <c r="S220" s="935"/>
      <c r="T220" s="935"/>
    </row>
    <row r="221" spans="1:20">
      <c r="A221" s="935"/>
      <c r="B221" s="935"/>
      <c r="C221" s="935"/>
      <c r="D221" s="935"/>
      <c r="E221" s="935"/>
      <c r="F221" s="935"/>
      <c r="G221" s="935"/>
      <c r="H221" s="935"/>
      <c r="I221" s="935"/>
      <c r="J221" s="935"/>
      <c r="K221" s="936"/>
      <c r="L221" s="937"/>
      <c r="M221" s="935"/>
      <c r="N221" s="935"/>
      <c r="O221" s="935"/>
      <c r="P221" s="935"/>
      <c r="Q221" s="935"/>
      <c r="R221" s="935"/>
      <c r="S221" s="935"/>
      <c r="T221" s="935"/>
    </row>
    <row r="222" spans="1:20">
      <c r="A222" s="935"/>
      <c r="B222" s="935"/>
      <c r="C222" s="935"/>
      <c r="D222" s="935"/>
      <c r="E222" s="935"/>
      <c r="F222" s="935"/>
      <c r="G222" s="935"/>
      <c r="H222" s="935"/>
      <c r="I222" s="935"/>
      <c r="J222" s="935"/>
      <c r="K222" s="936"/>
      <c r="L222" s="937"/>
      <c r="M222" s="935"/>
      <c r="N222" s="935"/>
      <c r="O222" s="935"/>
      <c r="P222" s="935"/>
      <c r="Q222" s="935"/>
      <c r="R222" s="935"/>
      <c r="S222" s="935"/>
      <c r="T222" s="935"/>
    </row>
    <row r="223" spans="1:20">
      <c r="A223" s="935"/>
      <c r="B223" s="935"/>
      <c r="C223" s="935"/>
      <c r="D223" s="935"/>
      <c r="E223" s="935"/>
      <c r="F223" s="935"/>
      <c r="G223" s="935"/>
      <c r="H223" s="935"/>
      <c r="I223" s="935"/>
      <c r="J223" s="935"/>
      <c r="K223" s="936"/>
      <c r="L223" s="937"/>
      <c r="M223" s="935"/>
      <c r="N223" s="935"/>
      <c r="O223" s="935"/>
      <c r="P223" s="935"/>
      <c r="Q223" s="935"/>
      <c r="R223" s="935"/>
      <c r="S223" s="935"/>
      <c r="T223" s="935"/>
    </row>
    <row r="224" spans="1:20">
      <c r="A224" s="935"/>
      <c r="B224" s="935"/>
      <c r="C224" s="935"/>
      <c r="D224" s="935"/>
      <c r="E224" s="935"/>
      <c r="F224" s="935"/>
      <c r="G224" s="935"/>
      <c r="H224" s="935"/>
      <c r="I224" s="935"/>
      <c r="J224" s="935"/>
      <c r="K224" s="936"/>
      <c r="L224" s="937"/>
      <c r="M224" s="935"/>
      <c r="N224" s="935"/>
      <c r="O224" s="935"/>
      <c r="P224" s="935"/>
      <c r="Q224" s="935"/>
      <c r="R224" s="935"/>
      <c r="S224" s="935"/>
      <c r="T224" s="935"/>
    </row>
    <row r="225" spans="1:20">
      <c r="A225" s="935"/>
      <c r="B225" s="935"/>
      <c r="C225" s="935"/>
      <c r="D225" s="935"/>
      <c r="E225" s="935"/>
      <c r="F225" s="935"/>
      <c r="G225" s="935"/>
      <c r="H225" s="935"/>
      <c r="I225" s="935"/>
      <c r="J225" s="935"/>
      <c r="K225" s="936"/>
      <c r="L225" s="937"/>
      <c r="M225" s="935"/>
      <c r="N225" s="935"/>
      <c r="O225" s="935"/>
      <c r="P225" s="935"/>
      <c r="Q225" s="935"/>
      <c r="R225" s="935"/>
      <c r="S225" s="935"/>
      <c r="T225" s="935"/>
    </row>
    <row r="226" spans="1:20">
      <c r="A226" s="935"/>
      <c r="B226" s="935"/>
      <c r="C226" s="935"/>
      <c r="D226" s="935"/>
      <c r="E226" s="935"/>
      <c r="F226" s="935"/>
      <c r="G226" s="935"/>
      <c r="H226" s="935"/>
      <c r="I226" s="935"/>
      <c r="J226" s="935"/>
      <c r="K226" s="936"/>
      <c r="L226" s="937"/>
      <c r="M226" s="935"/>
      <c r="N226" s="935"/>
      <c r="O226" s="935"/>
      <c r="P226" s="935"/>
      <c r="Q226" s="935"/>
      <c r="R226" s="935"/>
      <c r="S226" s="935"/>
      <c r="T226" s="935"/>
    </row>
    <row r="227" spans="1:20">
      <c r="A227" s="935"/>
      <c r="B227" s="935"/>
      <c r="C227" s="935"/>
      <c r="D227" s="935"/>
      <c r="E227" s="935"/>
      <c r="F227" s="935"/>
      <c r="G227" s="935"/>
      <c r="H227" s="935"/>
      <c r="I227" s="935"/>
      <c r="J227" s="935"/>
      <c r="K227" s="936"/>
      <c r="L227" s="937"/>
      <c r="M227" s="935"/>
      <c r="N227" s="935"/>
      <c r="O227" s="935"/>
      <c r="P227" s="935"/>
      <c r="Q227" s="935"/>
      <c r="R227" s="935"/>
      <c r="S227" s="935"/>
      <c r="T227" s="935"/>
    </row>
    <row r="228" spans="1:20">
      <c r="A228" s="935"/>
      <c r="B228" s="935"/>
      <c r="C228" s="935"/>
      <c r="D228" s="935"/>
      <c r="E228" s="935"/>
      <c r="F228" s="935"/>
      <c r="G228" s="935"/>
      <c r="H228" s="935"/>
      <c r="I228" s="935"/>
      <c r="J228" s="935"/>
      <c r="K228" s="936"/>
      <c r="L228" s="937"/>
      <c r="M228" s="935"/>
      <c r="N228" s="935"/>
      <c r="O228" s="935"/>
      <c r="P228" s="935"/>
      <c r="Q228" s="935"/>
      <c r="R228" s="935"/>
      <c r="S228" s="935"/>
      <c r="T228" s="935"/>
    </row>
    <row r="229" spans="1:20">
      <c r="A229" s="935"/>
      <c r="B229" s="935"/>
      <c r="C229" s="935"/>
      <c r="D229" s="935"/>
      <c r="E229" s="935"/>
      <c r="F229" s="935"/>
      <c r="G229" s="935"/>
      <c r="H229" s="935"/>
      <c r="I229" s="935"/>
      <c r="J229" s="935"/>
      <c r="K229" s="936"/>
      <c r="L229" s="937"/>
      <c r="M229" s="935"/>
      <c r="N229" s="935"/>
      <c r="O229" s="935"/>
      <c r="P229" s="935"/>
      <c r="Q229" s="935"/>
      <c r="R229" s="935"/>
      <c r="S229" s="935"/>
      <c r="T229" s="935"/>
    </row>
    <row r="230" spans="1:20">
      <c r="A230" s="935"/>
      <c r="B230" s="935"/>
      <c r="C230" s="935"/>
      <c r="D230" s="935"/>
      <c r="E230" s="935"/>
      <c r="F230" s="935"/>
      <c r="G230" s="935"/>
      <c r="H230" s="935"/>
      <c r="I230" s="935"/>
      <c r="J230" s="935"/>
      <c r="K230" s="936"/>
      <c r="L230" s="937"/>
      <c r="M230" s="935"/>
      <c r="N230" s="935"/>
      <c r="O230" s="935"/>
      <c r="P230" s="935"/>
      <c r="Q230" s="935"/>
      <c r="R230" s="935"/>
      <c r="S230" s="935"/>
      <c r="T230" s="935"/>
    </row>
    <row r="231" spans="1:20">
      <c r="A231" s="935"/>
      <c r="B231" s="935"/>
      <c r="C231" s="935"/>
      <c r="D231" s="935"/>
      <c r="E231" s="935"/>
      <c r="F231" s="935"/>
      <c r="G231" s="935"/>
      <c r="H231" s="935"/>
      <c r="I231" s="935"/>
      <c r="J231" s="935"/>
      <c r="K231" s="936"/>
      <c r="L231" s="937"/>
      <c r="M231" s="935"/>
      <c r="N231" s="935"/>
      <c r="O231" s="935"/>
      <c r="P231" s="935"/>
      <c r="Q231" s="935"/>
      <c r="R231" s="935"/>
      <c r="S231" s="935"/>
      <c r="T231" s="935"/>
    </row>
    <row r="232" spans="1:20">
      <c r="A232" s="935"/>
      <c r="B232" s="935"/>
      <c r="C232" s="935"/>
      <c r="D232" s="935"/>
      <c r="E232" s="935"/>
      <c r="F232" s="935"/>
      <c r="G232" s="935"/>
      <c r="H232" s="935"/>
      <c r="I232" s="935"/>
      <c r="J232" s="935"/>
      <c r="K232" s="936"/>
      <c r="L232" s="937"/>
      <c r="M232" s="935"/>
      <c r="N232" s="935"/>
      <c r="O232" s="935"/>
      <c r="P232" s="935"/>
      <c r="Q232" s="935"/>
      <c r="R232" s="935"/>
      <c r="S232" s="935"/>
      <c r="T232" s="935"/>
    </row>
    <row r="233" spans="1:20">
      <c r="A233" s="935"/>
      <c r="B233" s="935"/>
      <c r="C233" s="935"/>
      <c r="D233" s="935"/>
      <c r="E233" s="935"/>
      <c r="F233" s="935"/>
      <c r="G233" s="935"/>
      <c r="H233" s="935"/>
      <c r="I233" s="935"/>
      <c r="J233" s="935"/>
      <c r="K233" s="936"/>
      <c r="L233" s="937"/>
      <c r="M233" s="935"/>
      <c r="N233" s="935"/>
      <c r="O233" s="935"/>
      <c r="P233" s="935"/>
      <c r="Q233" s="935"/>
      <c r="R233" s="935"/>
      <c r="S233" s="935"/>
      <c r="T233" s="935"/>
    </row>
    <row r="234" spans="1:20">
      <c r="A234" s="935"/>
      <c r="B234" s="935"/>
      <c r="C234" s="935"/>
      <c r="D234" s="935"/>
      <c r="E234" s="935"/>
      <c r="F234" s="935"/>
      <c r="G234" s="935"/>
      <c r="H234" s="935"/>
      <c r="I234" s="935"/>
      <c r="J234" s="935"/>
      <c r="K234" s="936"/>
      <c r="L234" s="937"/>
      <c r="M234" s="935"/>
      <c r="N234" s="935"/>
      <c r="O234" s="935"/>
      <c r="P234" s="935"/>
      <c r="Q234" s="935"/>
      <c r="R234" s="935"/>
      <c r="S234" s="935"/>
      <c r="T234" s="935"/>
    </row>
    <row r="235" spans="1:20">
      <c r="A235" s="935"/>
      <c r="B235" s="935"/>
      <c r="C235" s="935"/>
      <c r="D235" s="935"/>
      <c r="E235" s="935"/>
      <c r="F235" s="935"/>
      <c r="G235" s="935"/>
      <c r="H235" s="935"/>
      <c r="I235" s="935"/>
      <c r="J235" s="935"/>
      <c r="K235" s="936"/>
      <c r="L235" s="937"/>
      <c r="M235" s="935"/>
      <c r="N235" s="935"/>
      <c r="O235" s="935"/>
      <c r="P235" s="935"/>
      <c r="Q235" s="935"/>
      <c r="R235" s="935"/>
      <c r="S235" s="935"/>
      <c r="T235" s="935"/>
    </row>
    <row r="236" spans="1:20">
      <c r="A236" s="935"/>
      <c r="B236" s="935"/>
      <c r="C236" s="935"/>
      <c r="D236" s="935"/>
      <c r="E236" s="935"/>
      <c r="F236" s="935"/>
      <c r="G236" s="935"/>
      <c r="H236" s="935"/>
      <c r="I236" s="935"/>
      <c r="J236" s="935"/>
      <c r="K236" s="936"/>
      <c r="L236" s="937"/>
      <c r="M236" s="935"/>
      <c r="N236" s="935"/>
      <c r="O236" s="935"/>
      <c r="P236" s="935"/>
      <c r="Q236" s="935"/>
      <c r="R236" s="935"/>
      <c r="S236" s="935"/>
      <c r="T236" s="935"/>
    </row>
    <row r="237" spans="1:20">
      <c r="A237" s="935"/>
      <c r="B237" s="935"/>
      <c r="C237" s="935"/>
      <c r="D237" s="935"/>
      <c r="E237" s="935"/>
      <c r="F237" s="935"/>
      <c r="G237" s="935"/>
      <c r="H237" s="935"/>
      <c r="I237" s="935"/>
      <c r="J237" s="935"/>
      <c r="K237" s="936"/>
      <c r="L237" s="937"/>
      <c r="M237" s="935"/>
      <c r="N237" s="935"/>
      <c r="O237" s="935"/>
      <c r="P237" s="935"/>
      <c r="Q237" s="935"/>
      <c r="R237" s="935"/>
      <c r="S237" s="935"/>
      <c r="T237" s="935"/>
    </row>
    <row r="238" spans="1:20">
      <c r="A238" s="935"/>
      <c r="B238" s="935"/>
      <c r="C238" s="935"/>
      <c r="D238" s="935"/>
      <c r="E238" s="935"/>
      <c r="F238" s="935"/>
      <c r="G238" s="935"/>
      <c r="H238" s="935"/>
      <c r="I238" s="935"/>
      <c r="J238" s="935"/>
      <c r="K238" s="936"/>
      <c r="L238" s="937"/>
      <c r="M238" s="935"/>
      <c r="N238" s="935"/>
      <c r="O238" s="935"/>
      <c r="P238" s="935"/>
      <c r="Q238" s="935"/>
      <c r="R238" s="935"/>
      <c r="S238" s="935"/>
      <c r="T238" s="935"/>
    </row>
    <row r="239" spans="1:20">
      <c r="A239" s="935"/>
      <c r="B239" s="935"/>
      <c r="C239" s="935"/>
      <c r="D239" s="935"/>
      <c r="E239" s="935"/>
      <c r="F239" s="935"/>
      <c r="G239" s="935"/>
      <c r="H239" s="935"/>
      <c r="I239" s="935"/>
      <c r="J239" s="935"/>
      <c r="K239" s="936"/>
      <c r="L239" s="937"/>
      <c r="M239" s="935"/>
      <c r="N239" s="935"/>
      <c r="O239" s="935"/>
      <c r="P239" s="935"/>
      <c r="Q239" s="935"/>
      <c r="R239" s="935"/>
      <c r="S239" s="935"/>
      <c r="T239" s="935"/>
    </row>
    <row r="240" spans="1:20">
      <c r="A240" s="935"/>
      <c r="B240" s="935"/>
      <c r="C240" s="935"/>
      <c r="D240" s="935"/>
      <c r="E240" s="935"/>
      <c r="F240" s="935"/>
      <c r="G240" s="935"/>
      <c r="H240" s="935"/>
      <c r="I240" s="935"/>
      <c r="J240" s="935"/>
      <c r="K240" s="936"/>
      <c r="L240" s="937"/>
      <c r="M240" s="935"/>
      <c r="N240" s="935"/>
      <c r="O240" s="935"/>
      <c r="P240" s="935"/>
      <c r="Q240" s="935"/>
      <c r="R240" s="935"/>
      <c r="S240" s="935"/>
      <c r="T240" s="935"/>
    </row>
    <row r="241" spans="1:20">
      <c r="A241" s="935"/>
      <c r="B241" s="935"/>
      <c r="C241" s="935"/>
      <c r="D241" s="935"/>
      <c r="E241" s="935"/>
      <c r="F241" s="935"/>
      <c r="G241" s="935"/>
      <c r="H241" s="935"/>
      <c r="I241" s="935"/>
      <c r="J241" s="935"/>
      <c r="K241" s="936"/>
      <c r="L241" s="937"/>
      <c r="M241" s="935"/>
      <c r="N241" s="935"/>
      <c r="O241" s="935"/>
      <c r="P241" s="935"/>
      <c r="Q241" s="935"/>
      <c r="R241" s="935"/>
      <c r="S241" s="935"/>
      <c r="T241" s="93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55" priority="18" stopIfTrue="1" operator="containsText" text="超过">
      <formula>NOT(ISERROR(SEARCH("超过",F40)))</formula>
    </cfRule>
  </conditionalFormatting>
  <conditionalFormatting sqref="J42">
    <cfRule type="containsText" dxfId="54" priority="17" stopIfTrue="1" operator="containsText" text="超过">
      <formula>NOT(ISERROR(SEARCH("超过",J42)))</formula>
    </cfRule>
  </conditionalFormatting>
  <conditionalFormatting sqref="H42">
    <cfRule type="containsText" dxfId="53" priority="16" stopIfTrue="1" operator="containsText" text="超过">
      <formula>NOT(ISERROR(SEARCH("超过",H42)))</formula>
    </cfRule>
  </conditionalFormatting>
  <conditionalFormatting sqref="F42">
    <cfRule type="containsText" dxfId="52" priority="15" stopIfTrue="1" operator="containsText" text="超过">
      <formula>NOT(ISERROR(SEARCH("超过",F42)))</formula>
    </cfRule>
  </conditionalFormatting>
  <conditionalFormatting sqref="F41 H41 J41">
    <cfRule type="containsText" dxfId="51" priority="14" stopIfTrue="1" operator="containsText" text="超过">
      <formula>NOT(ISERROR(SEARCH("超过",F41)))</formula>
    </cfRule>
  </conditionalFormatting>
  <conditionalFormatting sqref="E40">
    <cfRule type="expression" dxfId="50" priority="13" stopIfTrue="1">
      <formula>$F$40="超过30%"</formula>
    </cfRule>
  </conditionalFormatting>
  <conditionalFormatting sqref="G42">
    <cfRule type="expression" dxfId="49" priority="12" stopIfTrue="1">
      <formula>$H$54+$H$42="超过30%"</formula>
    </cfRule>
  </conditionalFormatting>
  <conditionalFormatting sqref="E41">
    <cfRule type="expression" dxfId="48" priority="11" stopIfTrue="1">
      <formula>$F$41="超过20%"</formula>
    </cfRule>
  </conditionalFormatting>
  <conditionalFormatting sqref="E42">
    <cfRule type="expression" dxfId="47" priority="10" stopIfTrue="1">
      <formula>$F$42="超过30%"</formula>
    </cfRule>
  </conditionalFormatting>
  <conditionalFormatting sqref="G40">
    <cfRule type="expression" dxfId="46" priority="9" stopIfTrue="1">
      <formula>$H$52+$H$40="超过30%"</formula>
    </cfRule>
  </conditionalFormatting>
  <conditionalFormatting sqref="G41">
    <cfRule type="expression" dxfId="45" priority="8" stopIfTrue="1">
      <formula>$H$53+$H$41="超过20%"</formula>
    </cfRule>
  </conditionalFormatting>
  <conditionalFormatting sqref="I40">
    <cfRule type="expression" dxfId="44" priority="7" stopIfTrue="1">
      <formula>$J$40="超过30%"</formula>
    </cfRule>
  </conditionalFormatting>
  <conditionalFormatting sqref="I41">
    <cfRule type="expression" dxfId="43" priority="6" stopIfTrue="1">
      <formula>$J$41="超过20%"</formula>
    </cfRule>
  </conditionalFormatting>
  <conditionalFormatting sqref="I42">
    <cfRule type="expression" dxfId="42" priority="5" stopIfTrue="1">
      <formula>$J$42="超过30%"</formula>
    </cfRule>
  </conditionalFormatting>
  <conditionalFormatting sqref="F36">
    <cfRule type="expression" dxfId="41" priority="4">
      <formula>$D$36="简单平均"</formula>
    </cfRule>
  </conditionalFormatting>
  <conditionalFormatting sqref="H36">
    <cfRule type="expression" dxfId="40" priority="3">
      <formula>$D$36="简单平均"</formula>
    </cfRule>
  </conditionalFormatting>
  <conditionalFormatting sqref="J36">
    <cfRule type="expression" dxfId="39" priority="2">
      <formula>$D$36="简单平均"</formula>
    </cfRule>
  </conditionalFormatting>
  <conditionalFormatting sqref="F7:F34 H7:H34 J7:J34">
    <cfRule type="cellIs" dxfId="38"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1917</v>
      </c>
      <c r="D1" s="685"/>
      <c r="E1" s="685"/>
      <c r="F1" s="684" t="s">
        <v>1767</v>
      </c>
      <c r="G1" s="685"/>
      <c r="H1" s="685"/>
      <c r="I1" s="685"/>
      <c r="J1" s="685"/>
      <c r="K1" s="686"/>
      <c r="L1" s="687"/>
      <c r="M1" s="688"/>
      <c r="N1" s="688"/>
      <c r="O1" s="688"/>
      <c r="P1" s="698"/>
      <c r="Q1" s="698"/>
      <c r="R1" s="698"/>
      <c r="S1" s="698"/>
      <c r="T1" s="698"/>
      <c r="U1" s="698"/>
      <c r="V1" s="698"/>
      <c r="W1" s="698"/>
      <c r="X1" s="698"/>
      <c r="Y1" s="698"/>
      <c r="Z1" s="698"/>
      <c r="AA1" s="698"/>
      <c r="AB1" s="698"/>
      <c r="AC1" s="699"/>
    </row>
    <row r="2" spans="1:29" s="352" customFormat="1" ht="28.5" customHeight="1">
      <c r="A2" s="201" t="s">
        <v>1462</v>
      </c>
      <c r="B2" s="619" t="e">
        <f>F61</f>
        <v>#DIV/0!</v>
      </c>
      <c r="C2" s="907"/>
      <c r="D2" s="907"/>
      <c r="E2" s="907"/>
      <c r="F2" s="908"/>
      <c r="G2" s="907"/>
      <c r="H2" s="907"/>
      <c r="I2" s="907"/>
      <c r="J2" s="907"/>
      <c r="K2" s="909"/>
      <c r="L2" s="2731"/>
      <c r="M2" s="2732"/>
      <c r="N2" s="2732"/>
      <c r="O2" s="2732"/>
      <c r="P2" s="698"/>
      <c r="Q2" s="698"/>
      <c r="R2" s="698"/>
      <c r="S2" s="698"/>
      <c r="T2" s="698"/>
      <c r="U2" s="698"/>
      <c r="V2" s="698"/>
      <c r="W2" s="698"/>
      <c r="X2" s="698"/>
      <c r="Y2" s="698"/>
      <c r="Z2" s="698"/>
      <c r="AA2" s="698"/>
      <c r="AB2" s="698"/>
      <c r="AC2" s="699"/>
    </row>
    <row r="3" spans="1:29" s="352" customFormat="1" ht="28.5" customHeight="1" thickBot="1">
      <c r="A3" s="203" t="s">
        <v>1464</v>
      </c>
      <c r="B3" s="558" t="e">
        <f>ROUND(IF(D3="",B2*10000/'数据-汇总表'!E3,B2*10000/D3),0)</f>
        <v>#DIV/0!</v>
      </c>
      <c r="C3" s="203" t="s">
        <v>1869</v>
      </c>
      <c r="D3" s="1191"/>
      <c r="E3" s="907"/>
      <c r="F3" s="908"/>
      <c r="G3" s="907"/>
      <c r="H3" s="907"/>
      <c r="I3" s="907"/>
      <c r="J3" s="907"/>
      <c r="K3" s="909"/>
      <c r="L3" s="2731"/>
      <c r="M3" s="2732"/>
      <c r="N3" s="2732"/>
      <c r="O3" s="2732"/>
      <c r="P3" s="698"/>
      <c r="Q3" s="698"/>
      <c r="R3" s="698"/>
      <c r="S3" s="698"/>
      <c r="T3" s="698"/>
      <c r="U3" s="698"/>
      <c r="V3" s="698"/>
      <c r="W3" s="698"/>
      <c r="X3" s="698"/>
      <c r="Y3" s="698"/>
      <c r="Z3" s="698"/>
      <c r="AA3" s="698"/>
      <c r="AB3" s="715"/>
      <c r="AC3" s="712"/>
    </row>
    <row r="4" spans="1:29" ht="15">
      <c r="A4" s="355" t="s">
        <v>1769</v>
      </c>
      <c r="B4" s="356"/>
      <c r="C4" s="3730" t="s">
        <v>1770</v>
      </c>
      <c r="D4" s="3731"/>
      <c r="E4" s="3732" t="s">
        <v>1771</v>
      </c>
      <c r="F4" s="3733"/>
      <c r="G4" s="3730" t="s">
        <v>1772</v>
      </c>
      <c r="H4" s="3731"/>
      <c r="I4" s="3730" t="s">
        <v>1773</v>
      </c>
      <c r="J4" s="3731"/>
      <c r="K4" s="559" t="s">
        <v>1774</v>
      </c>
      <c r="L4" s="2712"/>
      <c r="M4" s="2713"/>
      <c r="N4" s="2713"/>
      <c r="O4" s="2713"/>
      <c r="P4" s="3734" t="s">
        <v>1775</v>
      </c>
      <c r="Q4" s="3735"/>
      <c r="R4" s="3716" t="s">
        <v>1771</v>
      </c>
      <c r="S4" s="3717"/>
      <c r="T4" s="3716" t="s">
        <v>1772</v>
      </c>
      <c r="U4" s="3717"/>
      <c r="V4" s="3713" t="s">
        <v>1773</v>
      </c>
      <c r="W4" s="3713"/>
      <c r="X4" s="1353"/>
      <c r="Y4" s="3716" t="s">
        <v>1775</v>
      </c>
      <c r="Z4" s="3717"/>
      <c r="AA4" s="3710" t="s">
        <v>1771</v>
      </c>
      <c r="AB4" s="3711" t="s">
        <v>1772</v>
      </c>
      <c r="AC4" s="3710" t="s">
        <v>1773</v>
      </c>
    </row>
    <row r="5" spans="1:29" ht="15">
      <c r="A5" s="358"/>
      <c r="B5" s="359"/>
      <c r="C5" s="3722" t="s">
        <v>1673</v>
      </c>
      <c r="D5" s="3723"/>
      <c r="E5" s="3760" t="s">
        <v>1674</v>
      </c>
      <c r="F5" s="3721"/>
      <c r="G5" s="3722" t="s">
        <v>1675</v>
      </c>
      <c r="H5" s="3723"/>
      <c r="I5" s="3722" t="s">
        <v>1676</v>
      </c>
      <c r="J5" s="3723"/>
      <c r="K5" s="559"/>
      <c r="L5" s="2712"/>
      <c r="M5" s="2713"/>
      <c r="N5" s="2713"/>
      <c r="O5" s="2713"/>
      <c r="P5" s="3736"/>
      <c r="Q5" s="3737"/>
      <c r="R5" s="3718"/>
      <c r="S5" s="3719"/>
      <c r="T5" s="3718"/>
      <c r="U5" s="3719"/>
      <c r="V5" s="3713"/>
      <c r="W5" s="3713"/>
      <c r="X5" s="1353"/>
      <c r="Y5" s="3718"/>
      <c r="Z5" s="3719"/>
      <c r="AA5" s="3711"/>
      <c r="AB5" s="3711"/>
      <c r="AC5" s="3711"/>
    </row>
    <row r="6" spans="1:29" ht="15.75" thickBot="1">
      <c r="A6" s="360"/>
      <c r="B6" s="361"/>
      <c r="C6" s="3817" t="s">
        <v>1918</v>
      </c>
      <c r="D6" s="3818"/>
      <c r="E6" s="3819" t="s">
        <v>1918</v>
      </c>
      <c r="F6" s="3820"/>
      <c r="G6" s="3817" t="s">
        <v>1918</v>
      </c>
      <c r="H6" s="3818"/>
      <c r="I6" s="3817" t="s">
        <v>1918</v>
      </c>
      <c r="J6" s="3818"/>
      <c r="K6" s="559" t="s">
        <v>1678</v>
      </c>
      <c r="L6" s="2712"/>
      <c r="M6" s="2713"/>
      <c r="N6" s="2713"/>
      <c r="O6" s="2713"/>
      <c r="P6" s="3738"/>
      <c r="Q6" s="3739"/>
      <c r="R6" s="3718"/>
      <c r="S6" s="3719"/>
      <c r="T6" s="3740"/>
      <c r="U6" s="3741"/>
      <c r="V6" s="3713"/>
      <c r="W6" s="3713"/>
      <c r="X6" s="1353"/>
      <c r="Y6" s="3740"/>
      <c r="Z6" s="3741"/>
      <c r="AA6" s="3712"/>
      <c r="AB6" s="3712"/>
      <c r="AC6" s="3712"/>
    </row>
    <row r="7" spans="1:29" s="108" customFormat="1" ht="15.75" thickBot="1">
      <c r="A7" s="362" t="s">
        <v>1679</v>
      </c>
      <c r="B7" s="363"/>
      <c r="C7" s="364">
        <f>'数据-取费表'!B2</f>
        <v>45068</v>
      </c>
      <c r="D7" s="365">
        <v>100</v>
      </c>
      <c r="E7" s="366"/>
      <c r="F7" s="367">
        <f>SUMIF(65:65,YEAR(E7)&amp;"-"&amp;INT((MONTH(E7)+2)/3),66:66)</f>
        <v>0</v>
      </c>
      <c r="G7" s="1971"/>
      <c r="H7" s="365">
        <f>SUMIF(65:65,YEAR(G7)&amp;"-"&amp;INT((MONTH(G7)+2)/3),66:66)</f>
        <v>0</v>
      </c>
      <c r="I7" s="1971"/>
      <c r="J7" s="365">
        <f>SUMIF(65:65,YEAR(I7)&amp;"-"&amp;INT((MONTH(I7)+2)/3),66:66)</f>
        <v>0</v>
      </c>
      <c r="K7" s="560"/>
      <c r="L7" s="2714"/>
      <c r="M7" s="2715"/>
      <c r="N7" s="2715"/>
      <c r="O7" s="2715"/>
      <c r="P7" s="3714" t="s">
        <v>1680</v>
      </c>
      <c r="Q7" s="3742"/>
      <c r="R7" s="700" t="s">
        <v>14</v>
      </c>
      <c r="S7" s="701">
        <f t="shared" ref="S7:S15" si="0">F7</f>
        <v>0</v>
      </c>
      <c r="T7" s="700" t="s">
        <v>14</v>
      </c>
      <c r="U7" s="701">
        <f t="shared" ref="U7:U15" si="1">H7</f>
        <v>0</v>
      </c>
      <c r="V7" s="700" t="s">
        <v>14</v>
      </c>
      <c r="W7" s="701">
        <f t="shared" ref="W7:W15" si="2">J7</f>
        <v>0</v>
      </c>
      <c r="X7" s="702"/>
      <c r="Y7" s="3714" t="s">
        <v>1680</v>
      </c>
      <c r="Z7" s="3715"/>
      <c r="AA7" s="703" t="e">
        <f>D7/F7</f>
        <v>#DIV/0!</v>
      </c>
      <c r="AB7" s="703" t="e">
        <f>D7/H7</f>
        <v>#DIV/0!</v>
      </c>
      <c r="AC7" s="703"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4"/>
      <c r="M8" s="2715"/>
      <c r="N8" s="2715"/>
      <c r="O8" s="2715"/>
      <c r="P8" s="3714" t="s">
        <v>1683</v>
      </c>
      <c r="Q8" s="3715"/>
      <c r="R8" s="700" t="s">
        <v>14</v>
      </c>
      <c r="S8" s="701">
        <f t="shared" si="0"/>
        <v>0</v>
      </c>
      <c r="T8" s="700" t="s">
        <v>14</v>
      </c>
      <c r="U8" s="701">
        <f t="shared" si="1"/>
        <v>0</v>
      </c>
      <c r="V8" s="700" t="s">
        <v>14</v>
      </c>
      <c r="W8" s="701">
        <f t="shared" si="2"/>
        <v>0</v>
      </c>
      <c r="X8" s="702"/>
      <c r="Y8" s="3714" t="s">
        <v>1683</v>
      </c>
      <c r="Z8" s="3715"/>
      <c r="AA8" s="703" t="e">
        <f t="shared" ref="AA8:AA40" si="3">D8/F8</f>
        <v>#DIV/0!</v>
      </c>
      <c r="AB8" s="703" t="e">
        <f t="shared" ref="AB8:AB40" si="4">D8/H8</f>
        <v>#DIV/0!</v>
      </c>
      <c r="AC8" s="703" t="e">
        <f t="shared" ref="AC8:AC40" si="5">D8/J8</f>
        <v>#DIV/0!</v>
      </c>
    </row>
    <row r="9" spans="1:29" s="108" customFormat="1">
      <c r="A9" s="369" t="s">
        <v>1684</v>
      </c>
      <c r="B9" s="63" t="s">
        <v>1685</v>
      </c>
      <c r="C9" s="1974"/>
      <c r="D9" s="126">
        <v>100</v>
      </c>
      <c r="E9" s="1974"/>
      <c r="F9" s="126">
        <f>SUMIF(70:70,E9,71:71)-SUMIF(70:70,C9,71:71)+100</f>
        <v>100</v>
      </c>
      <c r="G9" s="1974"/>
      <c r="H9" s="126">
        <f>SUMIF(70:70,G9,71:71)-SUMIF(70:70,C9,71:71)+100</f>
        <v>100</v>
      </c>
      <c r="I9" s="1974"/>
      <c r="J9" s="126">
        <f>SUMIF(70:70,I9,71:71)-SUMIF(70:70,C9,71:71)+100</f>
        <v>100</v>
      </c>
      <c r="K9" s="560"/>
      <c r="L9" s="2714"/>
      <c r="M9" s="2715"/>
      <c r="N9" s="2715"/>
      <c r="O9" s="2768"/>
      <c r="P9" s="3752" t="s">
        <v>1686</v>
      </c>
      <c r="Q9" s="1341" t="str">
        <f t="shared" ref="Q9:Q15" si="6">B9</f>
        <v>用途</v>
      </c>
      <c r="R9" s="700" t="s">
        <v>14</v>
      </c>
      <c r="S9" s="701">
        <f t="shared" si="0"/>
        <v>100</v>
      </c>
      <c r="T9" s="700" t="s">
        <v>14</v>
      </c>
      <c r="U9" s="701">
        <f t="shared" si="1"/>
        <v>100</v>
      </c>
      <c r="V9" s="700" t="s">
        <v>14</v>
      </c>
      <c r="W9" s="701">
        <f t="shared" si="2"/>
        <v>100</v>
      </c>
      <c r="X9" s="702"/>
      <c r="Y9" s="3686" t="s">
        <v>1687</v>
      </c>
      <c r="Z9" s="52" t="str">
        <f t="shared" ref="Z9:Z15" si="7">Q9</f>
        <v>用途</v>
      </c>
      <c r="AA9" s="703">
        <f t="shared" si="3"/>
        <v>1</v>
      </c>
      <c r="AB9" s="703">
        <f t="shared" si="4"/>
        <v>1</v>
      </c>
      <c r="AC9" s="703">
        <f t="shared" si="5"/>
        <v>1</v>
      </c>
    </row>
    <row r="10" spans="1:29" s="378" customFormat="1" ht="27">
      <c r="A10" s="374"/>
      <c r="B10" s="375" t="s">
        <v>1688</v>
      </c>
      <c r="C10" s="383"/>
      <c r="D10" s="127">
        <v>100</v>
      </c>
      <c r="E10" s="383"/>
      <c r="F10" s="127">
        <f>ROUND(100/'数据-取费表'!G16,0)</f>
        <v>143</v>
      </c>
      <c r="G10" s="383"/>
      <c r="H10" s="127">
        <f>ROUND(100/'数据-取费表'!G16,0)</f>
        <v>143</v>
      </c>
      <c r="I10" s="383"/>
      <c r="J10" s="127">
        <f>ROUND(100/'数据-取费表'!G16,0)</f>
        <v>143</v>
      </c>
      <c r="K10" s="620"/>
      <c r="L10" s="2716"/>
      <c r="M10" s="2717"/>
      <c r="N10" s="2717"/>
      <c r="O10" s="2769"/>
      <c r="P10" s="3752"/>
      <c r="Q10" s="1341" t="str">
        <f t="shared" si="6"/>
        <v>土地使用年限（年）</v>
      </c>
      <c r="R10" s="700" t="s">
        <v>14</v>
      </c>
      <c r="S10" s="701">
        <f t="shared" si="0"/>
        <v>143</v>
      </c>
      <c r="T10" s="700" t="s">
        <v>14</v>
      </c>
      <c r="U10" s="701">
        <f t="shared" si="1"/>
        <v>143</v>
      </c>
      <c r="V10" s="700" t="s">
        <v>14</v>
      </c>
      <c r="W10" s="701">
        <f t="shared" si="2"/>
        <v>143</v>
      </c>
      <c r="X10" s="702"/>
      <c r="Y10" s="3686"/>
      <c r="Z10" s="52" t="str">
        <f t="shared" si="7"/>
        <v>土地使用年限（年）</v>
      </c>
      <c r="AA10" s="703">
        <f t="shared" si="3"/>
        <v>0.69930069930069927</v>
      </c>
      <c r="AB10" s="703">
        <f t="shared" si="4"/>
        <v>0.69930069930069927</v>
      </c>
      <c r="AC10" s="703">
        <f t="shared" si="5"/>
        <v>0.69930069930069927</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18"/>
      <c r="M11" s="2713"/>
      <c r="N11" s="2713"/>
      <c r="O11" s="2770"/>
      <c r="P11" s="3752"/>
      <c r="Q11" s="1341" t="str">
        <f t="shared" si="6"/>
        <v>容积率</v>
      </c>
      <c r="R11" s="700" t="s">
        <v>14</v>
      </c>
      <c r="S11" s="701" t="e">
        <f t="shared" si="0"/>
        <v>#N/A</v>
      </c>
      <c r="T11" s="700" t="s">
        <v>14</v>
      </c>
      <c r="U11" s="701" t="e">
        <f t="shared" si="1"/>
        <v>#N/A</v>
      </c>
      <c r="V11" s="700" t="s">
        <v>14</v>
      </c>
      <c r="W11" s="701" t="e">
        <f t="shared" si="2"/>
        <v>#N/A</v>
      </c>
      <c r="X11" s="702"/>
      <c r="Y11" s="3686"/>
      <c r="Z11" s="52" t="str">
        <f t="shared" si="7"/>
        <v>容积率</v>
      </c>
      <c r="AA11" s="703" t="e">
        <f t="shared" si="3"/>
        <v>#N/A</v>
      </c>
      <c r="AB11" s="703" t="e">
        <f t="shared" si="4"/>
        <v>#N/A</v>
      </c>
      <c r="AC11" s="703" t="e">
        <f t="shared" si="5"/>
        <v>#N/A</v>
      </c>
    </row>
    <row r="12" spans="1:29" s="108" customFormat="1" ht="15">
      <c r="A12" s="382"/>
      <c r="B12" s="1891">
        <v>111</v>
      </c>
      <c r="C12" s="383"/>
      <c r="D12" s="384">
        <v>100</v>
      </c>
      <c r="E12" s="498"/>
      <c r="F12" s="127">
        <f>SUMIF(77:77,E12,78:78)-SUMIF(77:77,C12,78:78)+100</f>
        <v>100</v>
      </c>
      <c r="G12" s="622"/>
      <c r="H12" s="127">
        <f>SUMIF(77:77,G12,78:78)-SUMIF(77:77,C12,78:78)+100</f>
        <v>100</v>
      </c>
      <c r="I12" s="498"/>
      <c r="J12" s="127">
        <f>SUMIF(77:77,I12,78:78)-SUMIF(77:77,C12,78:78)+100</f>
        <v>100</v>
      </c>
      <c r="K12" s="620"/>
      <c r="L12" s="2714"/>
      <c r="M12" s="2715"/>
      <c r="N12" s="2715"/>
      <c r="O12" s="2768"/>
      <c r="P12" s="3752"/>
      <c r="Q12" s="1341">
        <f t="shared" si="6"/>
        <v>111</v>
      </c>
      <c r="R12" s="700" t="s">
        <v>14</v>
      </c>
      <c r="S12" s="701">
        <f t="shared" si="0"/>
        <v>100</v>
      </c>
      <c r="T12" s="700" t="s">
        <v>14</v>
      </c>
      <c r="U12" s="701">
        <f t="shared" si="1"/>
        <v>100</v>
      </c>
      <c r="V12" s="700" t="s">
        <v>14</v>
      </c>
      <c r="W12" s="701">
        <f t="shared" si="2"/>
        <v>100</v>
      </c>
      <c r="X12" s="702"/>
      <c r="Y12" s="3686"/>
      <c r="Z12" s="52">
        <f t="shared" si="7"/>
        <v>111</v>
      </c>
      <c r="AA12" s="703">
        <f>D12/F12</f>
        <v>1</v>
      </c>
      <c r="AB12" s="703">
        <f>D12/H12</f>
        <v>1</v>
      </c>
      <c r="AC12" s="703">
        <f>D12/J12</f>
        <v>1</v>
      </c>
    </row>
    <row r="13" spans="1:29" ht="15">
      <c r="A13" s="379"/>
      <c r="B13" s="1891">
        <v>111</v>
      </c>
      <c r="C13" s="385"/>
      <c r="D13" s="386">
        <v>100</v>
      </c>
      <c r="E13" s="498"/>
      <c r="F13" s="127">
        <f>SUMIF(79:79,E13,80:80)-SUMIF(79:79,C13,80:80)+100</f>
        <v>100</v>
      </c>
      <c r="G13" s="622"/>
      <c r="H13" s="386">
        <f>SUMIF(79:79,G13,80:80)-SUMIF(79:79,C13,80:80)+100</f>
        <v>100</v>
      </c>
      <c r="I13" s="498"/>
      <c r="J13" s="386">
        <f>SUMIF(79:79,I13,80:80)-SUMIF(79:79,C13,80:80)+100</f>
        <v>100</v>
      </c>
      <c r="K13" s="620"/>
      <c r="L13" s="2719"/>
      <c r="M13" s="2713"/>
      <c r="N13" s="2713"/>
      <c r="O13" s="2770"/>
      <c r="P13" s="3752"/>
      <c r="Q13" s="1341">
        <f t="shared" si="6"/>
        <v>111</v>
      </c>
      <c r="R13" s="700" t="s">
        <v>14</v>
      </c>
      <c r="S13" s="701">
        <f t="shared" si="0"/>
        <v>100</v>
      </c>
      <c r="T13" s="700" t="s">
        <v>14</v>
      </c>
      <c r="U13" s="701">
        <f t="shared" si="1"/>
        <v>100</v>
      </c>
      <c r="V13" s="700" t="s">
        <v>14</v>
      </c>
      <c r="W13" s="701">
        <f t="shared" si="2"/>
        <v>100</v>
      </c>
      <c r="X13" s="702"/>
      <c r="Y13" s="3686"/>
      <c r="Z13" s="52">
        <f t="shared" si="7"/>
        <v>111</v>
      </c>
      <c r="AA13" s="703">
        <f t="shared" si="3"/>
        <v>1</v>
      </c>
      <c r="AB13" s="703">
        <f t="shared" si="4"/>
        <v>1</v>
      </c>
      <c r="AC13" s="703">
        <f t="shared" si="5"/>
        <v>1</v>
      </c>
    </row>
    <row r="14" spans="1:29" ht="15.75" thickBot="1">
      <c r="A14" s="387"/>
      <c r="B14" s="1893">
        <v>111</v>
      </c>
      <c r="C14" s="388"/>
      <c r="D14" s="389">
        <v>100</v>
      </c>
      <c r="E14" s="498"/>
      <c r="F14" s="389">
        <f>SUMIF(81:81,E14,82:82)-SUMIF(81:81,C14,82:82)+100</f>
        <v>100</v>
      </c>
      <c r="G14" s="622"/>
      <c r="H14" s="389">
        <f>SUMIF(81:81,G14,82:82)-SUMIF(81:81,C14,82:82)+100</f>
        <v>100</v>
      </c>
      <c r="I14" s="498"/>
      <c r="J14" s="389">
        <f>SUMIF(81:81,I14,82:82)-SUMIF(81:81,C14,82:82)+100</f>
        <v>100</v>
      </c>
      <c r="K14" s="620"/>
      <c r="L14" s="2719"/>
      <c r="M14" s="2713"/>
      <c r="N14" s="2713"/>
      <c r="O14" s="2770"/>
      <c r="P14" s="3752"/>
      <c r="Q14" s="1341">
        <f t="shared" si="6"/>
        <v>111</v>
      </c>
      <c r="R14" s="700" t="s">
        <v>14</v>
      </c>
      <c r="S14" s="701">
        <f t="shared" si="0"/>
        <v>100</v>
      </c>
      <c r="T14" s="700" t="s">
        <v>14</v>
      </c>
      <c r="U14" s="701">
        <f t="shared" si="1"/>
        <v>100</v>
      </c>
      <c r="V14" s="700" t="s">
        <v>14</v>
      </c>
      <c r="W14" s="701">
        <f t="shared" si="2"/>
        <v>100</v>
      </c>
      <c r="X14" s="702"/>
      <c r="Y14" s="3686"/>
      <c r="Z14" s="52">
        <f t="shared" si="7"/>
        <v>111</v>
      </c>
      <c r="AA14" s="703">
        <f t="shared" si="3"/>
        <v>1</v>
      </c>
      <c r="AB14" s="703">
        <f t="shared" si="4"/>
        <v>1</v>
      </c>
      <c r="AC14" s="703">
        <f t="shared" si="5"/>
        <v>1</v>
      </c>
    </row>
    <row r="15" spans="1:29" ht="57">
      <c r="A15" s="391" t="s">
        <v>1690</v>
      </c>
      <c r="B15" s="577" t="s">
        <v>1919</v>
      </c>
      <c r="C15" s="1968"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19"/>
      <c r="M15" s="2713"/>
      <c r="N15" s="2713"/>
      <c r="O15" s="2770"/>
      <c r="P15" s="3745" t="s">
        <v>1691</v>
      </c>
      <c r="Q15" s="1350" t="str">
        <f t="shared" si="6"/>
        <v>产业集聚程度</v>
      </c>
      <c r="R15" s="704" t="s">
        <v>14</v>
      </c>
      <c r="S15" s="705">
        <f t="shared" si="0"/>
        <v>100</v>
      </c>
      <c r="T15" s="704" t="s">
        <v>14</v>
      </c>
      <c r="U15" s="705">
        <f t="shared" si="1"/>
        <v>100</v>
      </c>
      <c r="V15" s="704" t="s">
        <v>14</v>
      </c>
      <c r="W15" s="705">
        <f t="shared" si="2"/>
        <v>100</v>
      </c>
      <c r="X15" s="1353"/>
      <c r="Y15" s="3745" t="s">
        <v>1691</v>
      </c>
      <c r="Z15" s="1354" t="str">
        <f t="shared" si="7"/>
        <v>产业集聚程度</v>
      </c>
      <c r="AA15" s="1351">
        <f t="shared" si="3"/>
        <v>1</v>
      </c>
      <c r="AB15" s="1351">
        <f t="shared" si="4"/>
        <v>1</v>
      </c>
      <c r="AC15" s="1351">
        <f t="shared" si="5"/>
        <v>1</v>
      </c>
    </row>
    <row r="16" spans="1:29" ht="15">
      <c r="A16" s="379"/>
      <c r="B16" s="578"/>
      <c r="C16" s="398"/>
      <c r="D16" s="399"/>
      <c r="E16" s="1902"/>
      <c r="F16" s="399"/>
      <c r="G16" s="1902"/>
      <c r="H16" s="401"/>
      <c r="I16" s="1902"/>
      <c r="J16" s="399"/>
      <c r="K16" s="620"/>
      <c r="L16" s="2719"/>
      <c r="M16" s="2713"/>
      <c r="N16" s="2713"/>
      <c r="O16" s="2770"/>
      <c r="P16" s="3746"/>
      <c r="Q16" s="1350"/>
      <c r="R16" s="704"/>
      <c r="S16" s="705"/>
      <c r="T16" s="704"/>
      <c r="U16" s="705"/>
      <c r="V16" s="704"/>
      <c r="W16" s="705"/>
      <c r="X16" s="1353"/>
      <c r="Y16" s="3746"/>
      <c r="Z16" s="1354"/>
      <c r="AA16" s="1351">
        <v>1</v>
      </c>
      <c r="AB16" s="1351">
        <v>1</v>
      </c>
      <c r="AC16" s="1351">
        <v>1</v>
      </c>
    </row>
    <row r="17" spans="1:29" ht="85.5">
      <c r="A17" s="379"/>
      <c r="B17" s="579" t="s">
        <v>1833</v>
      </c>
      <c r="C17" s="1898"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19"/>
      <c r="M17" s="2713"/>
      <c r="N17" s="2713"/>
      <c r="O17" s="2770"/>
      <c r="P17" s="3746"/>
      <c r="Q17" s="1350" t="str">
        <f>B17</f>
        <v>交通便捷度</v>
      </c>
      <c r="R17" s="704" t="s">
        <v>14</v>
      </c>
      <c r="S17" s="705">
        <f>F17</f>
        <v>100</v>
      </c>
      <c r="T17" s="704" t="s">
        <v>14</v>
      </c>
      <c r="U17" s="705">
        <f>H17</f>
        <v>100</v>
      </c>
      <c r="V17" s="704" t="s">
        <v>14</v>
      </c>
      <c r="W17" s="705">
        <f>J17</f>
        <v>100</v>
      </c>
      <c r="X17" s="1353"/>
      <c r="Y17" s="3746"/>
      <c r="Z17" s="1354" t="str">
        <f>Q17</f>
        <v>交通便捷度</v>
      </c>
      <c r="AA17" s="1351">
        <f t="shared" si="3"/>
        <v>1</v>
      </c>
      <c r="AB17" s="1351">
        <f t="shared" si="4"/>
        <v>1</v>
      </c>
      <c r="AC17" s="1351">
        <f t="shared" si="5"/>
        <v>1</v>
      </c>
    </row>
    <row r="18" spans="1:29" ht="15">
      <c r="A18" s="379"/>
      <c r="B18" s="580"/>
      <c r="C18" s="398"/>
      <c r="D18" s="399"/>
      <c r="E18" s="1896"/>
      <c r="F18" s="399"/>
      <c r="G18" s="1896"/>
      <c r="H18" s="399"/>
      <c r="I18" s="1895"/>
      <c r="J18" s="399"/>
      <c r="K18" s="620"/>
      <c r="L18" s="2719"/>
      <c r="M18" s="2713"/>
      <c r="N18" s="2713"/>
      <c r="O18" s="2770"/>
      <c r="P18" s="3746"/>
      <c r="Q18" s="1350"/>
      <c r="R18" s="704"/>
      <c r="S18" s="705"/>
      <c r="T18" s="704"/>
      <c r="U18" s="705"/>
      <c r="V18" s="704"/>
      <c r="W18" s="705"/>
      <c r="X18" s="1353"/>
      <c r="Y18" s="3746"/>
      <c r="Z18" s="1354"/>
      <c r="AA18" s="1351">
        <v>1</v>
      </c>
      <c r="AB18" s="1351">
        <v>1</v>
      </c>
      <c r="AC18" s="1351">
        <v>1</v>
      </c>
    </row>
    <row r="19" spans="1:29" ht="15">
      <c r="A19" s="379"/>
      <c r="B19" s="579" t="s">
        <v>1871</v>
      </c>
      <c r="C19" s="1898">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19"/>
      <c r="M19" s="2713"/>
      <c r="N19" s="2713"/>
      <c r="O19" s="2770"/>
      <c r="P19" s="3746"/>
      <c r="Q19" s="1350" t="str">
        <f t="shared" ref="Q19:Q33" si="8">B19</f>
        <v>区域土地利用方向</v>
      </c>
      <c r="R19" s="704" t="s">
        <v>14</v>
      </c>
      <c r="S19" s="705">
        <f>F19</f>
        <v>100</v>
      </c>
      <c r="T19" s="704" t="s">
        <v>14</v>
      </c>
      <c r="U19" s="705">
        <f>H19</f>
        <v>100</v>
      </c>
      <c r="V19" s="704" t="s">
        <v>14</v>
      </c>
      <c r="W19" s="705">
        <f>J19</f>
        <v>100</v>
      </c>
      <c r="X19" s="1353"/>
      <c r="Y19" s="3746"/>
      <c r="Z19" s="1354" t="str">
        <f>Q19</f>
        <v>区域土地利用方向</v>
      </c>
      <c r="AA19" s="1351">
        <f t="shared" si="3"/>
        <v>1</v>
      </c>
      <c r="AB19" s="1351">
        <f t="shared" si="4"/>
        <v>1</v>
      </c>
      <c r="AC19" s="1351">
        <f t="shared" si="5"/>
        <v>1</v>
      </c>
    </row>
    <row r="20" spans="1:29" ht="15">
      <c r="A20" s="358"/>
      <c r="B20" s="580"/>
      <c r="C20" s="398"/>
      <c r="D20" s="399"/>
      <c r="E20" s="1896"/>
      <c r="F20" s="399"/>
      <c r="G20" s="1896"/>
      <c r="H20" s="399"/>
      <c r="I20" s="1896"/>
      <c r="J20" s="399"/>
      <c r="K20" s="739"/>
      <c r="L20" s="2719"/>
      <c r="M20" s="2713"/>
      <c r="N20" s="2713"/>
      <c r="O20" s="2770"/>
      <c r="P20" s="3746"/>
      <c r="Q20" s="1350"/>
      <c r="R20" s="704"/>
      <c r="S20" s="705"/>
      <c r="T20" s="704"/>
      <c r="U20" s="705"/>
      <c r="V20" s="704"/>
      <c r="W20" s="705"/>
      <c r="X20" s="1353"/>
      <c r="Y20" s="3746"/>
      <c r="Z20" s="1354"/>
      <c r="AA20" s="1351"/>
      <c r="AB20" s="1351"/>
      <c r="AC20" s="1351"/>
    </row>
    <row r="21" spans="1:29" ht="71.25">
      <c r="A21" s="358"/>
      <c r="B21" s="579" t="s">
        <v>1920</v>
      </c>
      <c r="C21" s="1898"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19"/>
      <c r="M21" s="2713"/>
      <c r="N21" s="2713"/>
      <c r="O21" s="2770"/>
      <c r="P21" s="3746"/>
      <c r="Q21" s="1350" t="str">
        <f t="shared" si="8"/>
        <v>环境状况</v>
      </c>
      <c r="R21" s="704" t="s">
        <v>14</v>
      </c>
      <c r="S21" s="705">
        <f>F21</f>
        <v>100</v>
      </c>
      <c r="T21" s="704" t="s">
        <v>14</v>
      </c>
      <c r="U21" s="705">
        <f>H21</f>
        <v>100</v>
      </c>
      <c r="V21" s="704" t="s">
        <v>14</v>
      </c>
      <c r="W21" s="705">
        <f>J21</f>
        <v>100</v>
      </c>
      <c r="X21" s="1353"/>
      <c r="Y21" s="3746"/>
      <c r="Z21" s="1354" t="str">
        <f>Q21</f>
        <v>环境状况</v>
      </c>
      <c r="AA21" s="1351">
        <f t="shared" si="3"/>
        <v>1</v>
      </c>
      <c r="AB21" s="1351">
        <f t="shared" si="4"/>
        <v>1</v>
      </c>
      <c r="AC21" s="1351">
        <f t="shared" si="5"/>
        <v>1</v>
      </c>
    </row>
    <row r="22" spans="1:29" ht="15">
      <c r="A22" s="358"/>
      <c r="B22" s="580"/>
      <c r="C22" s="398"/>
      <c r="D22" s="399"/>
      <c r="E22" s="1902"/>
      <c r="F22" s="399"/>
      <c r="G22" s="1902"/>
      <c r="H22" s="399"/>
      <c r="I22" s="398"/>
      <c r="J22" s="399"/>
      <c r="K22" s="620"/>
      <c r="L22" s="2719"/>
      <c r="M22" s="2713"/>
      <c r="N22" s="2713"/>
      <c r="O22" s="2770"/>
      <c r="P22" s="3746"/>
      <c r="Q22" s="1350"/>
      <c r="R22" s="704"/>
      <c r="S22" s="705"/>
      <c r="T22" s="704"/>
      <c r="U22" s="705"/>
      <c r="V22" s="704"/>
      <c r="W22" s="705"/>
      <c r="X22" s="1353"/>
      <c r="Y22" s="3746"/>
      <c r="Z22" s="1354"/>
      <c r="AA22" s="1351">
        <v>1</v>
      </c>
      <c r="AB22" s="1351">
        <v>1</v>
      </c>
      <c r="AC22" s="1351">
        <v>1</v>
      </c>
    </row>
    <row r="23" spans="1:29" s="108" customFormat="1" ht="42.75">
      <c r="A23" s="597"/>
      <c r="B23" s="581" t="s">
        <v>1778</v>
      </c>
      <c r="C23" s="1898"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4"/>
      <c r="M23" s="2715"/>
      <c r="N23" s="2715"/>
      <c r="O23" s="2768"/>
      <c r="P23" s="3746"/>
      <c r="Q23" s="1341" t="str">
        <f t="shared" si="8"/>
        <v>公共配套设施</v>
      </c>
      <c r="R23" s="700" t="s">
        <v>14</v>
      </c>
      <c r="S23" s="701">
        <f>F23</f>
        <v>100</v>
      </c>
      <c r="T23" s="700" t="s">
        <v>14</v>
      </c>
      <c r="U23" s="701">
        <f>H23</f>
        <v>100</v>
      </c>
      <c r="V23" s="700" t="s">
        <v>14</v>
      </c>
      <c r="W23" s="701">
        <f>J23</f>
        <v>100</v>
      </c>
      <c r="X23" s="702"/>
      <c r="Y23" s="3746"/>
      <c r="Z23" s="52" t="str">
        <f>Q23</f>
        <v>公共配套设施</v>
      </c>
      <c r="AA23" s="1351">
        <f>D23/F23</f>
        <v>1</v>
      </c>
      <c r="AB23" s="1351">
        <f>D23/H23</f>
        <v>1</v>
      </c>
      <c r="AC23" s="1351">
        <f>D23/J23</f>
        <v>1</v>
      </c>
    </row>
    <row r="24" spans="1:29" s="108" customFormat="1" ht="15">
      <c r="A24" s="597"/>
      <c r="B24" s="580"/>
      <c r="C24" s="1975"/>
      <c r="D24" s="399"/>
      <c r="E24" s="1902"/>
      <c r="F24" s="399"/>
      <c r="G24" s="1902"/>
      <c r="H24" s="399"/>
      <c r="I24" s="398"/>
      <c r="J24" s="399"/>
      <c r="K24" s="620"/>
      <c r="L24" s="2714"/>
      <c r="M24" s="2715"/>
      <c r="N24" s="2715"/>
      <c r="O24" s="2768"/>
      <c r="P24" s="3746"/>
      <c r="Q24" s="1341"/>
      <c r="R24" s="700"/>
      <c r="S24" s="701"/>
      <c r="T24" s="700"/>
      <c r="U24" s="701"/>
      <c r="V24" s="700"/>
      <c r="W24" s="701"/>
      <c r="X24" s="702"/>
      <c r="Y24" s="3746"/>
      <c r="Z24" s="52"/>
      <c r="AA24" s="703">
        <v>1</v>
      </c>
      <c r="AB24" s="703">
        <v>1</v>
      </c>
      <c r="AC24" s="703">
        <v>1</v>
      </c>
    </row>
    <row r="25" spans="1:29" s="108" customFormat="1" ht="28.5">
      <c r="A25" s="597"/>
      <c r="B25" s="581" t="s">
        <v>1779</v>
      </c>
      <c r="C25" s="1898"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4"/>
      <c r="M25" s="2715"/>
      <c r="N25" s="2715"/>
      <c r="O25" s="2768"/>
      <c r="P25" s="3746"/>
      <c r="Q25" s="1341" t="str">
        <f t="shared" ref="Q25" si="9">B25</f>
        <v>基础设施水平</v>
      </c>
      <c r="R25" s="700" t="s">
        <v>14</v>
      </c>
      <c r="S25" s="701">
        <f>F25</f>
        <v>100</v>
      </c>
      <c r="T25" s="700" t="s">
        <v>14</v>
      </c>
      <c r="U25" s="701">
        <f>H25</f>
        <v>100</v>
      </c>
      <c r="V25" s="700" t="s">
        <v>14</v>
      </c>
      <c r="W25" s="701">
        <f>J25</f>
        <v>100</v>
      </c>
      <c r="X25" s="702"/>
      <c r="Y25" s="3746"/>
      <c r="Z25" s="52" t="str">
        <f>Q25</f>
        <v>基础设施水平</v>
      </c>
      <c r="AA25" s="1351">
        <f>D25/F25</f>
        <v>1</v>
      </c>
      <c r="AB25" s="1351">
        <f>D25/H25</f>
        <v>1</v>
      </c>
      <c r="AC25" s="1351">
        <f>D25/J25</f>
        <v>1</v>
      </c>
    </row>
    <row r="26" spans="1:29" s="108" customFormat="1" ht="15">
      <c r="A26" s="597"/>
      <c r="B26" s="580"/>
      <c r="C26" s="1975"/>
      <c r="D26" s="399"/>
      <c r="E26" s="1976"/>
      <c r="F26" s="399"/>
      <c r="G26" s="1976"/>
      <c r="H26" s="399"/>
      <c r="I26" s="1976"/>
      <c r="J26" s="399"/>
      <c r="K26" s="620"/>
      <c r="L26" s="2714"/>
      <c r="M26" s="2715"/>
      <c r="N26" s="2715"/>
      <c r="O26" s="2768"/>
      <c r="P26" s="3746"/>
      <c r="Q26" s="1341"/>
      <c r="R26" s="700"/>
      <c r="S26" s="701"/>
      <c r="T26" s="700"/>
      <c r="U26" s="701"/>
      <c r="V26" s="700"/>
      <c r="W26" s="701"/>
      <c r="X26" s="702"/>
      <c r="Y26" s="3746"/>
      <c r="Z26" s="52"/>
      <c r="AA26" s="703">
        <v>1</v>
      </c>
      <c r="AB26" s="703">
        <v>1</v>
      </c>
      <c r="AC26" s="703">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19"/>
      <c r="M27" s="2713"/>
      <c r="N27" s="2713"/>
      <c r="O27" s="2770"/>
      <c r="P27" s="3746"/>
      <c r="Q27" s="1350" t="str">
        <f t="shared" si="8"/>
        <v>临街状况</v>
      </c>
      <c r="R27" s="704" t="s">
        <v>14</v>
      </c>
      <c r="S27" s="705">
        <f t="shared" ref="S27:S40" si="10">F27</f>
        <v>100</v>
      </c>
      <c r="T27" s="704" t="s">
        <v>14</v>
      </c>
      <c r="U27" s="705">
        <f t="shared" ref="U27:U40" si="11">H27</f>
        <v>100</v>
      </c>
      <c r="V27" s="704" t="s">
        <v>14</v>
      </c>
      <c r="W27" s="705">
        <f t="shared" ref="W27:W40" si="12">J27</f>
        <v>100</v>
      </c>
      <c r="X27" s="1353"/>
      <c r="Y27" s="3746"/>
      <c r="Z27" s="1354" t="str">
        <f t="shared" ref="Z27:Z40" si="13">Q27</f>
        <v>临街状况</v>
      </c>
      <c r="AA27" s="1351">
        <f t="shared" si="3"/>
        <v>1</v>
      </c>
      <c r="AB27" s="1351">
        <f t="shared" si="4"/>
        <v>1</v>
      </c>
      <c r="AC27" s="1351">
        <f t="shared" si="5"/>
        <v>1</v>
      </c>
    </row>
    <row r="28" spans="1:29" ht="27">
      <c r="A28" s="379"/>
      <c r="B28" s="581" t="s">
        <v>1815</v>
      </c>
      <c r="C28" s="1988">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19"/>
      <c r="M28" s="2713"/>
      <c r="N28" s="2713"/>
      <c r="O28" s="2770"/>
      <c r="P28" s="3746"/>
      <c r="Q28" s="1350" t="str">
        <f t="shared" si="8"/>
        <v>毗邻道路的类型与等级</v>
      </c>
      <c r="R28" s="704" t="s">
        <v>14</v>
      </c>
      <c r="S28" s="705">
        <f t="shared" si="10"/>
        <v>100</v>
      </c>
      <c r="T28" s="704" t="s">
        <v>14</v>
      </c>
      <c r="U28" s="705">
        <f t="shared" si="11"/>
        <v>100</v>
      </c>
      <c r="V28" s="704" t="s">
        <v>14</v>
      </c>
      <c r="W28" s="705">
        <f t="shared" si="12"/>
        <v>100</v>
      </c>
      <c r="X28" s="1353"/>
      <c r="Y28" s="3746"/>
      <c r="Z28" s="1354" t="str">
        <f t="shared" si="13"/>
        <v>毗邻道路的类型与等级</v>
      </c>
      <c r="AA28" s="1351">
        <f t="shared" si="3"/>
        <v>1</v>
      </c>
      <c r="AB28" s="1351">
        <f t="shared" si="4"/>
        <v>1</v>
      </c>
      <c r="AC28" s="1351">
        <f t="shared" si="5"/>
        <v>1</v>
      </c>
    </row>
    <row r="29" spans="1:29" ht="15">
      <c r="A29" s="379"/>
      <c r="B29" s="580"/>
      <c r="C29" s="398"/>
      <c r="D29" s="399"/>
      <c r="E29" s="1902"/>
      <c r="F29" s="399"/>
      <c r="G29" s="1902"/>
      <c r="H29" s="399"/>
      <c r="I29" s="1902"/>
      <c r="J29" s="399"/>
      <c r="K29" s="562"/>
      <c r="L29" s="2719"/>
      <c r="M29" s="2713"/>
      <c r="N29" s="2713"/>
      <c r="O29" s="2770"/>
      <c r="P29" s="3746"/>
      <c r="Q29" s="1350"/>
      <c r="R29" s="704"/>
      <c r="S29" s="705"/>
      <c r="T29" s="704"/>
      <c r="U29" s="705"/>
      <c r="V29" s="704"/>
      <c r="W29" s="705"/>
      <c r="X29" s="1353"/>
      <c r="Y29" s="3746"/>
      <c r="Z29" s="1354"/>
      <c r="AA29" s="1351">
        <v>1</v>
      </c>
      <c r="AB29" s="1351">
        <v>1</v>
      </c>
      <c r="AC29" s="1351">
        <v>1</v>
      </c>
    </row>
    <row r="30" spans="1:29" ht="15">
      <c r="A30" s="379"/>
      <c r="B30" s="602" t="s">
        <v>1873</v>
      </c>
      <c r="C30" s="1135">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19"/>
      <c r="M30" s="2713"/>
      <c r="N30" s="2713"/>
      <c r="O30" s="2770"/>
      <c r="P30" s="3746"/>
      <c r="Q30" s="1350" t="str">
        <f t="shared" si="8"/>
        <v>土地级别</v>
      </c>
      <c r="R30" s="704" t="s">
        <v>14</v>
      </c>
      <c r="S30" s="705">
        <f t="shared" si="10"/>
        <v>100</v>
      </c>
      <c r="T30" s="704" t="s">
        <v>14</v>
      </c>
      <c r="U30" s="705">
        <f t="shared" si="11"/>
        <v>100</v>
      </c>
      <c r="V30" s="704" t="s">
        <v>14</v>
      </c>
      <c r="W30" s="705">
        <f t="shared" si="12"/>
        <v>100</v>
      </c>
      <c r="X30" s="1353"/>
      <c r="Y30" s="3746"/>
      <c r="Z30" s="1354" t="str">
        <f t="shared" si="13"/>
        <v>土地级别</v>
      </c>
      <c r="AA30" s="1351">
        <f t="shared" si="3"/>
        <v>1</v>
      </c>
      <c r="AB30" s="1351">
        <f t="shared" si="4"/>
        <v>1</v>
      </c>
      <c r="AC30" s="1351">
        <f t="shared" si="5"/>
        <v>1</v>
      </c>
    </row>
    <row r="31" spans="1:29" ht="15">
      <c r="A31" s="358"/>
      <c r="B31" s="1963">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19"/>
      <c r="M31" s="2713"/>
      <c r="N31" s="2713"/>
      <c r="O31" s="2770"/>
      <c r="P31" s="3746"/>
      <c r="Q31" s="1350">
        <f t="shared" si="8"/>
        <v>111</v>
      </c>
      <c r="R31" s="704" t="s">
        <v>14</v>
      </c>
      <c r="S31" s="705">
        <f t="shared" si="10"/>
        <v>100</v>
      </c>
      <c r="T31" s="704" t="s">
        <v>14</v>
      </c>
      <c r="U31" s="705">
        <f t="shared" si="11"/>
        <v>100</v>
      </c>
      <c r="V31" s="704" t="s">
        <v>14</v>
      </c>
      <c r="W31" s="705">
        <f t="shared" si="12"/>
        <v>100</v>
      </c>
      <c r="X31" s="1353"/>
      <c r="Y31" s="3746"/>
      <c r="Z31" s="1354">
        <f t="shared" si="13"/>
        <v>111</v>
      </c>
      <c r="AA31" s="1351">
        <f t="shared" si="3"/>
        <v>1</v>
      </c>
      <c r="AB31" s="1351">
        <f t="shared" si="4"/>
        <v>1</v>
      </c>
      <c r="AC31" s="1351">
        <f t="shared" si="5"/>
        <v>1</v>
      </c>
    </row>
    <row r="32" spans="1:29" ht="15">
      <c r="A32" s="623"/>
      <c r="B32" s="1989">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19"/>
      <c r="M32" s="2713"/>
      <c r="N32" s="2713"/>
      <c r="O32" s="2770"/>
      <c r="P32" s="3761" t="s">
        <v>1696</v>
      </c>
      <c r="Q32" s="1350">
        <f t="shared" si="8"/>
        <v>111</v>
      </c>
      <c r="R32" s="704" t="s">
        <v>14</v>
      </c>
      <c r="S32" s="705">
        <f t="shared" si="10"/>
        <v>100</v>
      </c>
      <c r="T32" s="704" t="s">
        <v>14</v>
      </c>
      <c r="U32" s="705">
        <f t="shared" si="11"/>
        <v>100</v>
      </c>
      <c r="V32" s="704" t="s">
        <v>14</v>
      </c>
      <c r="W32" s="705">
        <f t="shared" si="12"/>
        <v>100</v>
      </c>
      <c r="X32" s="1353"/>
      <c r="Y32" s="3750" t="s">
        <v>1696</v>
      </c>
      <c r="Z32" s="1354">
        <f t="shared" si="13"/>
        <v>111</v>
      </c>
      <c r="AA32" s="1351">
        <f t="shared" si="3"/>
        <v>1</v>
      </c>
      <c r="AB32" s="1351">
        <f t="shared" si="4"/>
        <v>1</v>
      </c>
      <c r="AC32" s="1351">
        <f t="shared" si="5"/>
        <v>1</v>
      </c>
    </row>
    <row r="33" spans="1:31" s="422" customFormat="1" ht="15.75" thickBot="1">
      <c r="A33" s="624"/>
      <c r="B33" s="1990">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18"/>
      <c r="M33" s="2720"/>
      <c r="N33" s="2720"/>
      <c r="O33" s="2771"/>
      <c r="P33" s="3750"/>
      <c r="Q33" s="1350">
        <f t="shared" si="8"/>
        <v>111</v>
      </c>
      <c r="R33" s="707" t="s">
        <v>14</v>
      </c>
      <c r="S33" s="708">
        <f t="shared" si="10"/>
        <v>100</v>
      </c>
      <c r="T33" s="707" t="s">
        <v>14</v>
      </c>
      <c r="U33" s="708">
        <f t="shared" si="11"/>
        <v>100</v>
      </c>
      <c r="V33" s="707" t="s">
        <v>14</v>
      </c>
      <c r="W33" s="708">
        <f t="shared" si="12"/>
        <v>100</v>
      </c>
      <c r="X33" s="709"/>
      <c r="Y33" s="3750"/>
      <c r="Z33" s="710">
        <f t="shared" si="13"/>
        <v>111</v>
      </c>
      <c r="AA33" s="1351">
        <f t="shared" si="3"/>
        <v>1</v>
      </c>
      <c r="AB33" s="1351">
        <f t="shared" si="4"/>
        <v>1</v>
      </c>
      <c r="AC33" s="1351">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19"/>
      <c r="M34" s="2713"/>
      <c r="N34" s="2713"/>
      <c r="O34" s="2770"/>
      <c r="P34" s="3750"/>
      <c r="Q34" s="1350" t="str">
        <f>B34</f>
        <v>宗地面积</v>
      </c>
      <c r="R34" s="704" t="s">
        <v>14</v>
      </c>
      <c r="S34" s="705" t="e">
        <f t="shared" si="10"/>
        <v>#N/A</v>
      </c>
      <c r="T34" s="704" t="s">
        <v>14</v>
      </c>
      <c r="U34" s="705" t="e">
        <f t="shared" si="11"/>
        <v>#N/A</v>
      </c>
      <c r="V34" s="704" t="s">
        <v>14</v>
      </c>
      <c r="W34" s="705" t="e">
        <f t="shared" si="12"/>
        <v>#N/A</v>
      </c>
      <c r="X34" s="1353"/>
      <c r="Y34" s="3750"/>
      <c r="Z34" s="1354" t="str">
        <f t="shared" si="13"/>
        <v>宗地面积</v>
      </c>
      <c r="AA34" s="1351" t="e">
        <f t="shared" si="3"/>
        <v>#N/A</v>
      </c>
      <c r="AB34" s="1351" t="e">
        <f t="shared" si="4"/>
        <v>#N/A</v>
      </c>
      <c r="AC34" s="1351" t="e">
        <f t="shared" si="5"/>
        <v>#N/A</v>
      </c>
    </row>
    <row r="35" spans="1:31" ht="15">
      <c r="A35" s="423"/>
      <c r="B35" s="375" t="s">
        <v>1875</v>
      </c>
      <c r="C35" s="1904"/>
      <c r="D35" s="386">
        <v>100</v>
      </c>
      <c r="E35" s="1904"/>
      <c r="F35" s="386">
        <f>SUMIF(110:110,E35,111:111)-SUMIF(110:110,C35,111:111)+100</f>
        <v>100</v>
      </c>
      <c r="G35" s="1904"/>
      <c r="H35" s="386">
        <f>SUMIF(110:110,G35,111:111)-SUMIF(110:110,C35,111:111)+100</f>
        <v>100</v>
      </c>
      <c r="I35" s="1904"/>
      <c r="J35" s="386">
        <f>SUMIF(110:110,I35,111:111)-SUMIF(110:110,C35,111:111)+100</f>
        <v>100</v>
      </c>
      <c r="K35" s="561"/>
      <c r="L35" s="2719"/>
      <c r="M35" s="2713"/>
      <c r="N35" s="2713"/>
      <c r="O35" s="2770"/>
      <c r="P35" s="3750"/>
      <c r="Q35" s="1350" t="str">
        <f t="shared" ref="Q35:Q40" si="14">B35</f>
        <v>宗地形状</v>
      </c>
      <c r="R35" s="704" t="s">
        <v>14</v>
      </c>
      <c r="S35" s="705">
        <f t="shared" si="10"/>
        <v>100</v>
      </c>
      <c r="T35" s="704" t="s">
        <v>14</v>
      </c>
      <c r="U35" s="705">
        <f t="shared" si="11"/>
        <v>100</v>
      </c>
      <c r="V35" s="704" t="s">
        <v>14</v>
      </c>
      <c r="W35" s="705">
        <f t="shared" si="12"/>
        <v>100</v>
      </c>
      <c r="X35" s="1353"/>
      <c r="Y35" s="3750"/>
      <c r="Z35" s="1354" t="str">
        <f t="shared" si="13"/>
        <v>宗地形状</v>
      </c>
      <c r="AA35" s="1351">
        <f t="shared" si="3"/>
        <v>1</v>
      </c>
      <c r="AB35" s="1351">
        <f t="shared" si="4"/>
        <v>1</v>
      </c>
      <c r="AC35" s="1351">
        <f t="shared" si="5"/>
        <v>1</v>
      </c>
    </row>
    <row r="36" spans="1:31" s="108" customFormat="1" ht="15">
      <c r="A36" s="424"/>
      <c r="B36" s="375" t="s">
        <v>1877</v>
      </c>
      <c r="C36" s="1977"/>
      <c r="D36" s="127">
        <v>100</v>
      </c>
      <c r="E36" s="1977"/>
      <c r="F36" s="386">
        <f>SUMIF(112:112,E36,113:113)-SUMIF(112:112,C36,113:113)+100</f>
        <v>100</v>
      </c>
      <c r="G36" s="1977"/>
      <c r="H36" s="386">
        <f>SUMIF(112:112,G36,113:113)-SUMIF(112:112,C36,113:113)+100</f>
        <v>100</v>
      </c>
      <c r="I36" s="1977"/>
      <c r="J36" s="386">
        <f>SUMIF(112:112,I36,113:113)-SUMIF(112:112,C36,113:113)+100</f>
        <v>100</v>
      </c>
      <c r="K36" s="561"/>
      <c r="L36" s="2714"/>
      <c r="M36" s="2715"/>
      <c r="N36" s="2715"/>
      <c r="O36" s="2768"/>
      <c r="P36" s="3750"/>
      <c r="Q36" s="1350" t="str">
        <f t="shared" si="14"/>
        <v>宗地开发程度</v>
      </c>
      <c r="R36" s="700" t="s">
        <v>14</v>
      </c>
      <c r="S36" s="701">
        <f t="shared" si="10"/>
        <v>100</v>
      </c>
      <c r="T36" s="700" t="s">
        <v>14</v>
      </c>
      <c r="U36" s="701">
        <f t="shared" si="11"/>
        <v>100</v>
      </c>
      <c r="V36" s="700" t="s">
        <v>14</v>
      </c>
      <c r="W36" s="701">
        <f t="shared" si="12"/>
        <v>100</v>
      </c>
      <c r="X36" s="702"/>
      <c r="Y36" s="3750"/>
      <c r="Z36" s="52" t="str">
        <f t="shared" si="13"/>
        <v>宗地开发程度</v>
      </c>
      <c r="AA36" s="703">
        <f t="shared" si="3"/>
        <v>1</v>
      </c>
      <c r="AB36" s="703">
        <f t="shared" si="4"/>
        <v>1</v>
      </c>
      <c r="AC36" s="703">
        <f t="shared" si="5"/>
        <v>1</v>
      </c>
    </row>
    <row r="37" spans="1:31" ht="15">
      <c r="A37" s="423"/>
      <c r="B37" s="375" t="s">
        <v>1878</v>
      </c>
      <c r="C37" s="1904"/>
      <c r="D37" s="386">
        <v>100</v>
      </c>
      <c r="E37" s="1904"/>
      <c r="F37" s="386">
        <f>SUMIF(114:114,E37,115:115)-SUMIF(114:114,C37,115:115)+100</f>
        <v>100</v>
      </c>
      <c r="G37" s="1904"/>
      <c r="H37" s="386">
        <f>SUMIF(114:114,G37,115:115)-SUMIF(114:114,C37,115:115)+100</f>
        <v>100</v>
      </c>
      <c r="I37" s="1904"/>
      <c r="J37" s="386">
        <f>SUMIF(114:114,I37,115:115)-SUMIF(114:114,C37,115:115)+100</f>
        <v>100</v>
      </c>
      <c r="K37" s="561"/>
      <c r="L37" s="2719"/>
      <c r="M37" s="2713"/>
      <c r="N37" s="2713"/>
      <c r="O37" s="2770"/>
      <c r="P37" s="3750" t="s">
        <v>1696</v>
      </c>
      <c r="Q37" s="1350" t="str">
        <f t="shared" si="14"/>
        <v>工程地质条件</v>
      </c>
      <c r="R37" s="704" t="s">
        <v>14</v>
      </c>
      <c r="S37" s="705">
        <f t="shared" si="10"/>
        <v>100</v>
      </c>
      <c r="T37" s="704" t="s">
        <v>14</v>
      </c>
      <c r="U37" s="705">
        <f t="shared" si="11"/>
        <v>100</v>
      </c>
      <c r="V37" s="704" t="s">
        <v>14</v>
      </c>
      <c r="W37" s="705">
        <f t="shared" si="12"/>
        <v>100</v>
      </c>
      <c r="X37" s="1353"/>
      <c r="Y37" s="3750" t="s">
        <v>1696</v>
      </c>
      <c r="Z37" s="1354" t="str">
        <f t="shared" si="13"/>
        <v>工程地质条件</v>
      </c>
      <c r="AA37" s="1351">
        <f t="shared" si="3"/>
        <v>1</v>
      </c>
      <c r="AB37" s="1351">
        <f t="shared" si="4"/>
        <v>1</v>
      </c>
      <c r="AC37" s="1351">
        <f t="shared" si="5"/>
        <v>1</v>
      </c>
    </row>
    <row r="38" spans="1:31" ht="15">
      <c r="A38" s="423"/>
      <c r="B38" s="1133">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19"/>
      <c r="M38" s="2713"/>
      <c r="N38" s="2713"/>
      <c r="O38" s="2770"/>
      <c r="P38" s="3750"/>
      <c r="Q38" s="1350">
        <f t="shared" si="14"/>
        <v>111</v>
      </c>
      <c r="R38" s="704" t="s">
        <v>14</v>
      </c>
      <c r="S38" s="705">
        <f t="shared" si="10"/>
        <v>100</v>
      </c>
      <c r="T38" s="704" t="s">
        <v>14</v>
      </c>
      <c r="U38" s="705">
        <f t="shared" si="11"/>
        <v>100</v>
      </c>
      <c r="V38" s="704" t="s">
        <v>14</v>
      </c>
      <c r="W38" s="705">
        <f t="shared" si="12"/>
        <v>100</v>
      </c>
      <c r="X38" s="1353"/>
      <c r="Y38" s="3750"/>
      <c r="Z38" s="1354">
        <f t="shared" si="13"/>
        <v>111</v>
      </c>
      <c r="AA38" s="1351">
        <f t="shared" si="3"/>
        <v>1</v>
      </c>
      <c r="AB38" s="1351">
        <f t="shared" si="4"/>
        <v>1</v>
      </c>
      <c r="AC38" s="1351">
        <f t="shared" si="5"/>
        <v>1</v>
      </c>
    </row>
    <row r="39" spans="1:31" ht="15">
      <c r="A39" s="423"/>
      <c r="B39" s="1133">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19"/>
      <c r="M39" s="2713"/>
      <c r="N39" s="2713"/>
      <c r="O39" s="2770"/>
      <c r="P39" s="3750"/>
      <c r="Q39" s="1350">
        <f t="shared" si="14"/>
        <v>111</v>
      </c>
      <c r="R39" s="704" t="s">
        <v>14</v>
      </c>
      <c r="S39" s="705">
        <f t="shared" si="10"/>
        <v>100</v>
      </c>
      <c r="T39" s="704" t="s">
        <v>14</v>
      </c>
      <c r="U39" s="705">
        <f t="shared" si="11"/>
        <v>100</v>
      </c>
      <c r="V39" s="704" t="s">
        <v>14</v>
      </c>
      <c r="W39" s="705">
        <f t="shared" si="12"/>
        <v>100</v>
      </c>
      <c r="X39" s="1353"/>
      <c r="Y39" s="3750"/>
      <c r="Z39" s="1354">
        <f t="shared" si="13"/>
        <v>111</v>
      </c>
      <c r="AA39" s="1351">
        <f t="shared" si="3"/>
        <v>1</v>
      </c>
      <c r="AB39" s="1351">
        <f t="shared" si="4"/>
        <v>1</v>
      </c>
      <c r="AC39" s="1351">
        <f t="shared" si="5"/>
        <v>1</v>
      </c>
    </row>
    <row r="40" spans="1:31" s="422" customFormat="1" ht="15.75" thickBot="1">
      <c r="A40" s="419"/>
      <c r="B40" s="1133">
        <v>111</v>
      </c>
      <c r="C40" s="1978"/>
      <c r="D40" s="128">
        <v>100</v>
      </c>
      <c r="E40" s="622"/>
      <c r="F40" s="389">
        <f>SUMIF(120:120,E40,121:121)-SUMIF(120:120,C40,121:121)+100</f>
        <v>100</v>
      </c>
      <c r="G40" s="622"/>
      <c r="H40" s="389">
        <f>SUMIF(120:120,G40,121:121)-SUMIF(120:120,C40,121:121)+100</f>
        <v>100</v>
      </c>
      <c r="I40" s="498"/>
      <c r="J40" s="389">
        <f>SUMIF(120:120,I40,121:121)-SUMIF(120:120,C40,121:121)+100</f>
        <v>100</v>
      </c>
      <c r="K40" s="629"/>
      <c r="L40" s="2718"/>
      <c r="M40" s="2720"/>
      <c r="N40" s="2720"/>
      <c r="O40" s="2771"/>
      <c r="P40" s="3750"/>
      <c r="Q40" s="1350">
        <f t="shared" si="14"/>
        <v>111</v>
      </c>
      <c r="R40" s="707" t="s">
        <v>14</v>
      </c>
      <c r="S40" s="708">
        <f t="shared" si="10"/>
        <v>100</v>
      </c>
      <c r="T40" s="707" t="s">
        <v>14</v>
      </c>
      <c r="U40" s="708">
        <f t="shared" si="11"/>
        <v>100</v>
      </c>
      <c r="V40" s="707" t="s">
        <v>14</v>
      </c>
      <c r="W40" s="708">
        <f t="shared" si="12"/>
        <v>100</v>
      </c>
      <c r="X40" s="709"/>
      <c r="Y40" s="3750"/>
      <c r="Z40" s="710">
        <f t="shared" si="13"/>
        <v>111</v>
      </c>
      <c r="AA40" s="1351">
        <f t="shared" si="3"/>
        <v>1</v>
      </c>
      <c r="AB40" s="1351">
        <f t="shared" si="4"/>
        <v>1</v>
      </c>
      <c r="AC40" s="1351">
        <f t="shared" si="5"/>
        <v>1</v>
      </c>
    </row>
    <row r="41" spans="1:31" ht="15">
      <c r="A41" s="430" t="s">
        <v>1844</v>
      </c>
      <c r="B41" s="1979" t="s">
        <v>1921</v>
      </c>
      <c r="C41" s="630" t="s">
        <v>0</v>
      </c>
      <c r="D41" s="432"/>
      <c r="E41" s="433"/>
      <c r="F41" s="434"/>
      <c r="G41" s="435"/>
      <c r="H41" s="436"/>
      <c r="I41" s="433"/>
      <c r="J41" s="436"/>
      <c r="K41" s="713"/>
      <c r="L41" s="2721"/>
      <c r="M41" s="2713"/>
      <c r="N41" s="2713"/>
      <c r="O41" s="2722"/>
      <c r="P41" s="3752" t="str">
        <f>A41</f>
        <v>成交单价</v>
      </c>
      <c r="Q41" s="3752"/>
      <c r="R41" s="3713">
        <f>E41</f>
        <v>0</v>
      </c>
      <c r="S41" s="3713"/>
      <c r="T41" s="3713">
        <f>G41</f>
        <v>0</v>
      </c>
      <c r="U41" s="3713"/>
      <c r="V41" s="3713">
        <f>I41</f>
        <v>0</v>
      </c>
      <c r="W41" s="3713"/>
      <c r="X41" s="689"/>
      <c r="Y41" s="711"/>
      <c r="Z41" s="689"/>
      <c r="AA41" s="689"/>
      <c r="AB41" s="689"/>
      <c r="AC41" s="689"/>
    </row>
    <row r="42" spans="1:31" ht="15.75" thickBot="1">
      <c r="A42" s="437" t="s">
        <v>1793</v>
      </c>
      <c r="B42" s="631"/>
      <c r="C42" s="440" t="e">
        <f>R43</f>
        <v>#DIV/0!</v>
      </c>
      <c r="D42" s="2314" t="s">
        <v>2136</v>
      </c>
      <c r="E42" s="440" t="e">
        <f>R42</f>
        <v>#DIV/0!</v>
      </c>
      <c r="F42" s="2315"/>
      <c r="G42" s="439" t="e">
        <f>T42</f>
        <v>#DIV/0!</v>
      </c>
      <c r="H42" s="2315"/>
      <c r="I42" s="440" t="e">
        <f>V42</f>
        <v>#DIV/0!</v>
      </c>
      <c r="J42" s="2315"/>
      <c r="K42" s="2317">
        <f>F42+H42+J42</f>
        <v>0</v>
      </c>
      <c r="L42" s="2721"/>
      <c r="M42" s="2713"/>
      <c r="N42" s="2713"/>
      <c r="O42" s="2722"/>
      <c r="P42" s="3752" t="str">
        <f>A42</f>
        <v>比较价值（元/平方米）</v>
      </c>
      <c r="Q42" s="3752"/>
      <c r="R42" s="3762" t="e">
        <f>ROUND(PRODUCT(R41,AA7:AA40),0)</f>
        <v>#DIV/0!</v>
      </c>
      <c r="S42" s="3762"/>
      <c r="T42" s="3762" t="e">
        <f>ROUND(PRODUCT(T41,AB7:AB40),0)</f>
        <v>#DIV/0!</v>
      </c>
      <c r="U42" s="3762"/>
      <c r="V42" s="3762" t="e">
        <f>ROUND(PRODUCT(V41,AC7:AC40),0)</f>
        <v>#DIV/0!</v>
      </c>
      <c r="W42" s="3762"/>
      <c r="X42" s="689"/>
      <c r="Y42" s="689"/>
      <c r="Z42" s="689"/>
      <c r="AA42" s="689"/>
      <c r="AB42" s="689"/>
      <c r="AC42" s="689"/>
    </row>
    <row r="43" spans="1:31" ht="15.75" thickBot="1">
      <c r="A43" s="441" t="s">
        <v>1794</v>
      </c>
      <c r="B43" s="442"/>
      <c r="C43" s="443" t="e">
        <f>R43</f>
        <v>#DIV/0!</v>
      </c>
      <c r="D43" s="443"/>
      <c r="E43" s="443"/>
      <c r="F43" s="443"/>
      <c r="G43" s="443"/>
      <c r="H43" s="443"/>
      <c r="I43" s="443"/>
      <c r="J43" s="443"/>
      <c r="K43" s="714"/>
      <c r="L43" s="2721"/>
      <c r="M43" s="2713"/>
      <c r="N43" s="2713"/>
      <c r="O43" s="2722"/>
      <c r="P43" s="3754" t="str">
        <f>A43</f>
        <v>估价对象XX用房的比较价值（楼面单价，元/平方米）</v>
      </c>
      <c r="Q43" s="3755"/>
      <c r="R43" s="3763" t="e">
        <f>ROUND(IF(D42="简单平均",AVERAGE(R42:W42),R42*F42+T42*H42+V42*J42),0)</f>
        <v>#DIV/0!</v>
      </c>
      <c r="S43" s="3763"/>
      <c r="T43" s="3763"/>
      <c r="U43" s="3763"/>
      <c r="V43" s="3763"/>
      <c r="W43" s="3763"/>
      <c r="X43" s="689"/>
      <c r="Y43" s="689"/>
      <c r="Z43" s="689"/>
      <c r="AA43" s="689"/>
      <c r="AB43" s="689"/>
      <c r="AC43" s="689"/>
    </row>
    <row r="44" spans="1:31">
      <c r="A44" s="2722"/>
      <c r="B44" s="2722"/>
      <c r="C44" s="2722"/>
      <c r="D44" s="2722"/>
      <c r="E44" s="2722"/>
      <c r="F44" s="2722"/>
      <c r="G44" s="2726"/>
      <c r="H44" s="2722"/>
      <c r="I44" s="2722"/>
      <c r="J44" s="2722"/>
      <c r="K44" s="2727"/>
      <c r="L44" s="2723"/>
      <c r="M44" s="2713"/>
      <c r="N44" s="2713"/>
      <c r="O44" s="2722"/>
      <c r="P44" s="2722"/>
      <c r="Q44" s="2722"/>
      <c r="R44" s="2722"/>
      <c r="S44" s="2722"/>
      <c r="T44" s="2722"/>
      <c r="U44" s="2722"/>
      <c r="V44" s="2722"/>
      <c r="W44" s="2722"/>
      <c r="X44" s="2722"/>
      <c r="Y44" s="2722"/>
      <c r="Z44" s="2722"/>
      <c r="AA44" s="2722"/>
      <c r="AB44" s="2722"/>
      <c r="AC44" s="2722"/>
      <c r="AD44" s="2722"/>
      <c r="AE44" s="2722"/>
    </row>
    <row r="45" spans="1:31">
      <c r="A45" s="2722"/>
      <c r="B45" s="2722"/>
      <c r="C45" s="2722"/>
      <c r="D45" s="2722"/>
      <c r="E45" s="2722"/>
      <c r="F45" s="2722"/>
      <c r="G45" s="2722"/>
      <c r="H45" s="2722"/>
      <c r="I45" s="2722"/>
      <c r="J45" s="2722"/>
      <c r="K45" s="2727"/>
      <c r="L45" s="2723"/>
      <c r="M45" s="2713"/>
      <c r="N45" s="2713"/>
      <c r="O45" s="2722"/>
      <c r="P45" s="2722"/>
      <c r="Q45" s="2722"/>
      <c r="R45" s="2722"/>
      <c r="S45" s="2722"/>
      <c r="T45" s="2722"/>
      <c r="U45" s="2722"/>
      <c r="V45" s="2722"/>
      <c r="W45" s="2722"/>
      <c r="X45" s="2722"/>
      <c r="Y45" s="2722"/>
      <c r="Z45" s="2722"/>
      <c r="AA45" s="2722"/>
      <c r="AB45" s="2722"/>
      <c r="AC45" s="2722"/>
      <c r="AD45" s="2722"/>
      <c r="AE45" s="2722"/>
    </row>
    <row r="46" spans="1:31" ht="13.5" customHeight="1">
      <c r="A46" s="2722"/>
      <c r="B46" s="2722"/>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7"/>
      <c r="L46" s="2723"/>
      <c r="M46" s="2713"/>
      <c r="N46" s="2713"/>
      <c r="O46" s="2722"/>
      <c r="P46" s="2722"/>
      <c r="Q46" s="2722"/>
      <c r="R46" s="2722"/>
      <c r="S46" s="2722"/>
      <c r="T46" s="2722"/>
      <c r="U46" s="2722"/>
      <c r="V46" s="2722"/>
      <c r="W46" s="2722"/>
      <c r="X46" s="2722"/>
      <c r="Y46" s="2722"/>
      <c r="Z46" s="2722"/>
      <c r="AA46" s="2722"/>
      <c r="AB46" s="2722"/>
      <c r="AC46" s="2722"/>
      <c r="AD46" s="2722"/>
      <c r="AE46" s="2722"/>
    </row>
    <row r="47" spans="1:31" ht="13.5" customHeight="1">
      <c r="A47" s="2722"/>
      <c r="B47" s="2722"/>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7"/>
      <c r="L47" s="2723"/>
      <c r="M47" s="2722"/>
      <c r="N47" s="2722"/>
      <c r="O47" s="2722"/>
      <c r="P47" s="2722"/>
      <c r="Q47" s="2722"/>
      <c r="R47" s="2722"/>
      <c r="S47" s="2722"/>
      <c r="T47" s="2722"/>
      <c r="U47" s="2722"/>
      <c r="V47" s="2722"/>
      <c r="W47" s="2722"/>
      <c r="X47" s="2722"/>
      <c r="Y47" s="2722"/>
      <c r="Z47" s="2722"/>
      <c r="AA47" s="2722"/>
      <c r="AB47" s="2722"/>
      <c r="AC47" s="2722"/>
      <c r="AD47" s="2722"/>
      <c r="AE47" s="2722"/>
    </row>
    <row r="48" spans="1:31" s="451" customFormat="1" ht="13.5" customHeight="1">
      <c r="A48" s="2725"/>
      <c r="B48" s="2725"/>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0"/>
      <c r="L48" s="2724"/>
      <c r="M48" s="2725"/>
      <c r="N48" s="2725"/>
      <c r="O48" s="2725"/>
      <c r="P48" s="2725"/>
      <c r="Q48" s="2725"/>
      <c r="R48" s="2725"/>
      <c r="S48" s="2725"/>
      <c r="T48" s="2725"/>
      <c r="U48" s="2725"/>
      <c r="V48" s="2725"/>
      <c r="W48" s="2725"/>
      <c r="X48" s="2725"/>
      <c r="Y48" s="2725"/>
      <c r="Z48" s="2725"/>
      <c r="AA48" s="2725"/>
      <c r="AB48" s="2725"/>
      <c r="AC48" s="2725"/>
      <c r="AD48" s="2725"/>
      <c r="AE48" s="2725"/>
    </row>
    <row r="49" spans="1:31" s="451" customFormat="1" ht="15" thickBot="1">
      <c r="A49" s="2725"/>
      <c r="B49" s="2728"/>
      <c r="C49" s="692"/>
      <c r="D49" s="690"/>
      <c r="E49" s="690"/>
      <c r="F49" s="690"/>
      <c r="G49" s="690"/>
      <c r="H49" s="690"/>
      <c r="I49" s="690"/>
      <c r="J49" s="690"/>
      <c r="K49" s="2730"/>
      <c r="L49" s="2724"/>
      <c r="M49" s="2725"/>
      <c r="N49" s="2725"/>
      <c r="O49" s="2725"/>
      <c r="P49" s="2725"/>
      <c r="Q49" s="2725"/>
      <c r="R49" s="2725"/>
      <c r="S49" s="2725"/>
      <c r="T49" s="2725"/>
      <c r="U49" s="2725"/>
      <c r="V49" s="2725"/>
      <c r="W49" s="2725"/>
      <c r="X49" s="2725"/>
      <c r="Y49" s="2725"/>
      <c r="Z49" s="2725"/>
      <c r="AA49" s="2725"/>
      <c r="AB49" s="2725"/>
      <c r="AC49" s="2725"/>
      <c r="AD49" s="2725"/>
      <c r="AE49" s="2725"/>
    </row>
    <row r="50" spans="1:31" ht="27">
      <c r="A50" s="632" t="s">
        <v>1880</v>
      </c>
      <c r="B50" s="633" t="s">
        <v>1881</v>
      </c>
      <c r="C50" s="1980" t="s">
        <v>1882</v>
      </c>
      <c r="D50" s="1981" t="s">
        <v>1883</v>
      </c>
      <c r="E50" s="634" t="s">
        <v>1884</v>
      </c>
      <c r="F50" s="635" t="s">
        <v>1885</v>
      </c>
      <c r="G50" s="3730" t="s">
        <v>1886</v>
      </c>
      <c r="H50" s="3764"/>
      <c r="I50" s="1354" t="s">
        <v>1922</v>
      </c>
      <c r="J50" s="1354">
        <f>项目基本情况!F35</f>
        <v>0</v>
      </c>
      <c r="K50" s="1983" t="s">
        <v>1888</v>
      </c>
      <c r="L50" s="2723"/>
      <c r="M50" s="2722"/>
      <c r="N50" s="2722"/>
      <c r="O50" s="2722"/>
      <c r="P50" s="2722"/>
      <c r="Q50" s="2722"/>
      <c r="R50" s="2722"/>
      <c r="S50" s="2722"/>
      <c r="T50" s="2722"/>
      <c r="U50" s="2722"/>
      <c r="V50" s="2722"/>
      <c r="W50" s="2722"/>
      <c r="X50" s="2722"/>
      <c r="Y50" s="2722"/>
      <c r="Z50" s="2722"/>
      <c r="AA50" s="2722"/>
      <c r="AB50" s="2722"/>
      <c r="AC50" s="2722"/>
      <c r="AD50" s="2722"/>
      <c r="AE50" s="2722"/>
    </row>
    <row r="51" spans="1:31" s="640" customFormat="1">
      <c r="A51" s="636" t="s">
        <v>1889</v>
      </c>
      <c r="B51" s="637" t="e">
        <f>C43</f>
        <v>#DIV/0!</v>
      </c>
      <c r="C51" s="638">
        <v>1</v>
      </c>
      <c r="D51" s="943">
        <v>1</v>
      </c>
      <c r="E51" s="638">
        <f>'数据-汇总表'!E8+'数据-汇总表'!E9</f>
        <v>17193.62</v>
      </c>
      <c r="F51" s="639" t="e">
        <f t="shared" ref="F51:F60" si="15">ROUND(B51*E51/10000,0)</f>
        <v>#DIV/0!</v>
      </c>
      <c r="G51" s="3729"/>
      <c r="H51" s="3752"/>
      <c r="I51" s="772">
        <v>1</v>
      </c>
      <c r="J51" s="772">
        <v>1</v>
      </c>
      <c r="K51" s="2725"/>
      <c r="L51" s="2778"/>
      <c r="M51" s="2778"/>
      <c r="N51" s="2778"/>
      <c r="O51" s="2778"/>
      <c r="P51" s="2778"/>
      <c r="Q51" s="2778"/>
      <c r="R51" s="2778"/>
      <c r="S51" s="2778"/>
      <c r="T51" s="2778"/>
      <c r="U51" s="2778"/>
      <c r="V51" s="2778"/>
      <c r="W51" s="2778"/>
      <c r="X51" s="2778"/>
      <c r="Y51" s="2778"/>
      <c r="Z51" s="2778"/>
      <c r="AA51" s="2778"/>
      <c r="AB51" s="2778"/>
      <c r="AC51" s="2778"/>
      <c r="AD51" s="2778"/>
      <c r="AE51" s="2778"/>
    </row>
    <row r="52" spans="1:31" s="640" customFormat="1">
      <c r="A52" s="641" t="s">
        <v>1890</v>
      </c>
      <c r="B52" s="218" t="e">
        <f>ROUND($C$43*C52*D52,0)</f>
        <v>#DIV/0!</v>
      </c>
      <c r="C52" s="171">
        <f t="shared" ref="C52:C60" si="16">IF($C$50="北京市系数",I52,J52)</f>
        <v>0.5</v>
      </c>
      <c r="D52" s="944">
        <v>0.25</v>
      </c>
      <c r="E52" s="642"/>
      <c r="F52" s="639" t="e">
        <f t="shared" si="15"/>
        <v>#DIV/0!</v>
      </c>
      <c r="G52" s="3002" t="s">
        <v>1891</v>
      </c>
      <c r="H52" s="886" t="str">
        <f>项目基本情况!B37</f>
        <v>十级</v>
      </c>
      <c r="I52" s="772">
        <f>SUMIF(修正!A57:A68,H52,修正!B57:B68)</f>
        <v>0.5</v>
      </c>
      <c r="J52" s="773"/>
      <c r="K52" s="2722"/>
      <c r="L52" s="2778"/>
      <c r="M52" s="2778"/>
      <c r="N52" s="2778"/>
      <c r="O52" s="2778"/>
      <c r="P52" s="2778"/>
      <c r="Q52" s="2778"/>
      <c r="R52" s="2778"/>
      <c r="S52" s="2778"/>
      <c r="T52" s="2778"/>
      <c r="U52" s="2778"/>
      <c r="V52" s="2778"/>
      <c r="W52" s="2778"/>
      <c r="X52" s="2778"/>
      <c r="Y52" s="2778"/>
      <c r="Z52" s="2778"/>
      <c r="AA52" s="2778"/>
      <c r="AB52" s="2778"/>
      <c r="AC52" s="2778"/>
      <c r="AD52" s="2778"/>
      <c r="AE52" s="2778"/>
    </row>
    <row r="53" spans="1:31" s="640" customFormat="1">
      <c r="A53" s="641" t="s">
        <v>1892</v>
      </c>
      <c r="B53" s="218" t="e">
        <f t="shared" ref="B53:B60" si="17">ROUND($C$43*C53*D53,0)</f>
        <v>#DIV/0!</v>
      </c>
      <c r="C53" s="171">
        <f t="shared" si="16"/>
        <v>0.2</v>
      </c>
      <c r="D53" s="944">
        <v>0.25</v>
      </c>
      <c r="E53" s="642"/>
      <c r="F53" s="639" t="e">
        <f t="shared" si="15"/>
        <v>#DIV/0!</v>
      </c>
      <c r="G53" s="3003"/>
      <c r="H53" s="886" t="str">
        <f>项目基本情况!B37</f>
        <v>十级</v>
      </c>
      <c r="I53" s="772">
        <f>SUMIF(修正!A57:A68,H53,修正!C57:C68)</f>
        <v>0.2</v>
      </c>
      <c r="J53" s="773"/>
      <c r="K53" s="2725"/>
      <c r="L53" s="2778"/>
      <c r="M53" s="2778"/>
      <c r="N53" s="2778"/>
      <c r="O53" s="2778"/>
      <c r="P53" s="2778"/>
      <c r="Q53" s="2778"/>
      <c r="R53" s="2778"/>
      <c r="S53" s="2778"/>
      <c r="T53" s="2778"/>
      <c r="U53" s="2778"/>
      <c r="V53" s="2778"/>
      <c r="W53" s="2778"/>
      <c r="X53" s="2778"/>
      <c r="Y53" s="2778"/>
      <c r="Z53" s="2778"/>
      <c r="AA53" s="2778"/>
      <c r="AB53" s="2778"/>
      <c r="AC53" s="2778"/>
      <c r="AD53" s="2778"/>
      <c r="AE53" s="2778"/>
    </row>
    <row r="54" spans="1:31" s="640" customFormat="1">
      <c r="A54" s="641" t="s">
        <v>1893</v>
      </c>
      <c r="B54" s="218" t="e">
        <f t="shared" si="17"/>
        <v>#DIV/0!</v>
      </c>
      <c r="C54" s="171">
        <f t="shared" si="16"/>
        <v>0.2</v>
      </c>
      <c r="D54" s="944">
        <v>0.25</v>
      </c>
      <c r="E54" s="642"/>
      <c r="F54" s="639" t="e">
        <f t="shared" si="15"/>
        <v>#DIV/0!</v>
      </c>
      <c r="G54" s="3003"/>
      <c r="H54" s="886" t="str">
        <f>项目基本情况!B37</f>
        <v>十级</v>
      </c>
      <c r="I54" s="772">
        <f>SUMIF(修正!A57:A68,H54,修正!D57:D68)</f>
        <v>0.2</v>
      </c>
      <c r="J54" s="773"/>
      <c r="K54" s="2722"/>
      <c r="L54" s="2778"/>
      <c r="M54" s="2778"/>
      <c r="N54" s="2778"/>
      <c r="O54" s="2778"/>
      <c r="P54" s="2778"/>
      <c r="Q54" s="2778"/>
      <c r="R54" s="2778"/>
      <c r="S54" s="2778"/>
      <c r="T54" s="2778"/>
      <c r="U54" s="2778"/>
      <c r="V54" s="2778"/>
      <c r="W54" s="2778"/>
      <c r="X54" s="2778"/>
      <c r="Y54" s="2778"/>
      <c r="Z54" s="2778"/>
      <c r="AA54" s="2778"/>
      <c r="AB54" s="2778"/>
      <c r="AC54" s="2778"/>
      <c r="AD54" s="2778"/>
      <c r="AE54" s="2778"/>
    </row>
    <row r="55" spans="1:31" s="640" customFormat="1" hidden="1">
      <c r="A55" s="641"/>
      <c r="B55" s="218"/>
      <c r="C55" s="171"/>
      <c r="D55" s="944"/>
      <c r="E55" s="642"/>
      <c r="F55" s="639"/>
      <c r="G55" s="3004"/>
      <c r="H55" s="886"/>
      <c r="I55" s="772"/>
      <c r="J55" s="773"/>
      <c r="K55" s="2725"/>
      <c r="L55" s="2778"/>
      <c r="M55" s="2778"/>
      <c r="N55" s="2778"/>
      <c r="O55" s="2778"/>
      <c r="P55" s="2778"/>
      <c r="Q55" s="2778"/>
      <c r="R55" s="2778"/>
      <c r="S55" s="2778"/>
      <c r="T55" s="2778"/>
      <c r="U55" s="2778"/>
      <c r="V55" s="2778"/>
      <c r="W55" s="2778"/>
      <c r="X55" s="2778"/>
      <c r="Y55" s="2778"/>
      <c r="Z55" s="2778"/>
      <c r="AA55" s="2778"/>
      <c r="AB55" s="2778"/>
      <c r="AC55" s="2778"/>
      <c r="AD55" s="2778"/>
      <c r="AE55" s="2778"/>
    </row>
    <row r="56" spans="1:31" s="640" customFormat="1">
      <c r="A56" s="641" t="s">
        <v>1894</v>
      </c>
      <c r="B56" s="218" t="e">
        <f t="shared" si="17"/>
        <v>#DIV/0!</v>
      </c>
      <c r="C56" s="171">
        <f t="shared" si="16"/>
        <v>0</v>
      </c>
      <c r="D56" s="944">
        <v>0.25</v>
      </c>
      <c r="E56" s="217">
        <f>'数据-汇总表'!E11</f>
        <v>0</v>
      </c>
      <c r="F56" s="639" t="e">
        <f t="shared" si="15"/>
        <v>#DIV/0!</v>
      </c>
      <c r="G56" s="1984" t="s">
        <v>1895</v>
      </c>
      <c r="H56" s="886">
        <f>项目基本情况!C37</f>
        <v>0</v>
      </c>
      <c r="I56" s="772">
        <f>SUMIF(修正!A57:A68,H56,修正!E57:E68)</f>
        <v>0</v>
      </c>
      <c r="J56" s="773"/>
      <c r="K56" s="2722"/>
      <c r="L56" s="2778"/>
      <c r="M56" s="2778"/>
      <c r="N56" s="2778"/>
      <c r="O56" s="2778"/>
      <c r="P56" s="2778"/>
      <c r="Q56" s="2778"/>
      <c r="R56" s="2778"/>
      <c r="S56" s="2778"/>
      <c r="T56" s="2778"/>
      <c r="U56" s="2778"/>
      <c r="V56" s="2778"/>
      <c r="W56" s="2778"/>
      <c r="X56" s="2778"/>
      <c r="Y56" s="2778"/>
      <c r="Z56" s="2778"/>
      <c r="AA56" s="2778"/>
      <c r="AB56" s="2778"/>
      <c r="AC56" s="2778"/>
      <c r="AD56" s="2778"/>
      <c r="AE56" s="2778"/>
    </row>
    <row r="57" spans="1:31" s="640" customFormat="1">
      <c r="A57" s="641" t="s">
        <v>1896</v>
      </c>
      <c r="B57" s="218" t="e">
        <f t="shared" si="17"/>
        <v>#DIV/0!</v>
      </c>
      <c r="C57" s="171">
        <f t="shared" si="16"/>
        <v>0</v>
      </c>
      <c r="D57" s="944">
        <v>0.25</v>
      </c>
      <c r="E57" s="217">
        <f>'数据-汇总表'!E12</f>
        <v>0</v>
      </c>
      <c r="F57" s="639" t="e">
        <f t="shared" si="15"/>
        <v>#DIV/0!</v>
      </c>
      <c r="G57" s="891" t="s">
        <v>1897</v>
      </c>
      <c r="H57" s="886">
        <f>IF(G57="商业",项目基本情况!B37,IF(G57="办公",项目基本情况!C37,IF(G57="住宅",项目基本情况!D37,项目基本情况!E37)))</f>
        <v>0</v>
      </c>
      <c r="I57" s="772">
        <f>SUMIF(修正!A57:A68,H57,修正!F57:F68)</f>
        <v>0</v>
      </c>
      <c r="J57" s="773"/>
      <c r="K57" s="2725"/>
      <c r="L57" s="2778"/>
      <c r="M57" s="2778"/>
      <c r="N57" s="2778"/>
      <c r="O57" s="2778"/>
      <c r="P57" s="2778"/>
      <c r="Q57" s="2778"/>
      <c r="R57" s="2778"/>
      <c r="S57" s="2778"/>
      <c r="T57" s="2778"/>
      <c r="U57" s="2778"/>
      <c r="V57" s="2778"/>
      <c r="W57" s="2778"/>
      <c r="X57" s="2778"/>
      <c r="Y57" s="2778"/>
      <c r="Z57" s="2778"/>
      <c r="AA57" s="2778"/>
      <c r="AB57" s="2778"/>
      <c r="AC57" s="2778"/>
      <c r="AD57" s="2778"/>
      <c r="AE57" s="2778"/>
    </row>
    <row r="58" spans="1:31" s="640" customFormat="1">
      <c r="A58" s="641" t="s">
        <v>1898</v>
      </c>
      <c r="B58" s="218" t="e">
        <f t="shared" si="17"/>
        <v>#DIV/0!</v>
      </c>
      <c r="C58" s="171">
        <f t="shared" si="16"/>
        <v>0</v>
      </c>
      <c r="D58" s="944">
        <v>0.25</v>
      </c>
      <c r="E58" s="217">
        <f>'数据-汇总表'!E13</f>
        <v>0</v>
      </c>
      <c r="F58" s="639" t="e">
        <f t="shared" si="15"/>
        <v>#DIV/0!</v>
      </c>
      <c r="G58" s="891" t="s">
        <v>1899</v>
      </c>
      <c r="H58" s="886">
        <f>IF(G58="商业",项目基本情况!B37,IF(G58="办公",项目基本情况!C37,IF(G58="住宅",项目基本情况!D37,项目基本情况!E37)))</f>
        <v>0</v>
      </c>
      <c r="I58" s="772">
        <f>SUMIF(修正!A57:A68,H58,修正!G57:G68)</f>
        <v>0</v>
      </c>
      <c r="J58" s="773"/>
      <c r="K58" s="2722"/>
      <c r="L58" s="2778"/>
      <c r="M58" s="2778"/>
      <c r="N58" s="2778"/>
      <c r="O58" s="2778"/>
      <c r="P58" s="2778"/>
      <c r="Q58" s="2778"/>
      <c r="R58" s="2778"/>
      <c r="S58" s="2778"/>
      <c r="T58" s="2778"/>
      <c r="U58" s="2778"/>
      <c r="V58" s="2778"/>
      <c r="W58" s="2778"/>
      <c r="X58" s="2778"/>
      <c r="Y58" s="2778"/>
      <c r="Z58" s="2778"/>
      <c r="AA58" s="2778"/>
      <c r="AB58" s="2778"/>
      <c r="AC58" s="2778"/>
      <c r="AD58" s="2778"/>
      <c r="AE58" s="2778"/>
    </row>
    <row r="59" spans="1:31" s="640" customFormat="1">
      <c r="A59" s="641" t="s">
        <v>1900</v>
      </c>
      <c r="B59" s="218" t="e">
        <f t="shared" si="17"/>
        <v>#DIV/0!</v>
      </c>
      <c r="C59" s="171">
        <f t="shared" si="16"/>
        <v>0.1</v>
      </c>
      <c r="D59" s="944">
        <v>0.25</v>
      </c>
      <c r="E59" s="217">
        <f>'数据-汇总表'!E14</f>
        <v>2869.28</v>
      </c>
      <c r="F59" s="639" t="e">
        <f t="shared" si="15"/>
        <v>#DIV/0!</v>
      </c>
      <c r="G59" s="1984" t="s">
        <v>1891</v>
      </c>
      <c r="H59" s="886" t="str">
        <f>项目基本情况!B37</f>
        <v>十级</v>
      </c>
      <c r="I59" s="772">
        <f>SUMIF(修正!A57:A68,H59,修正!G57:G68)</f>
        <v>0.1</v>
      </c>
      <c r="J59" s="773"/>
      <c r="K59" s="2725"/>
      <c r="L59" s="2778"/>
      <c r="M59" s="2778"/>
      <c r="N59" s="2778"/>
      <c r="O59" s="2778"/>
      <c r="P59" s="2778"/>
      <c r="Q59" s="2778"/>
      <c r="R59" s="2778"/>
      <c r="S59" s="2778"/>
      <c r="T59" s="2778"/>
      <c r="U59" s="2778"/>
      <c r="V59" s="2778"/>
      <c r="W59" s="2778"/>
      <c r="X59" s="2778"/>
      <c r="Y59" s="2778"/>
      <c r="Z59" s="2778"/>
      <c r="AA59" s="2778"/>
      <c r="AB59" s="2778"/>
      <c r="AC59" s="2778"/>
      <c r="AD59" s="2778"/>
      <c r="AE59" s="2778"/>
    </row>
    <row r="60" spans="1:31" s="640" customFormat="1" ht="15" thickBot="1">
      <c r="A60" s="641" t="s">
        <v>1901</v>
      </c>
      <c r="B60" s="218" t="e">
        <f t="shared" si="17"/>
        <v>#DIV/0!</v>
      </c>
      <c r="C60" s="171">
        <f t="shared" si="16"/>
        <v>0</v>
      </c>
      <c r="D60" s="944">
        <v>0.25</v>
      </c>
      <c r="E60" s="217">
        <f>'数据-汇总表'!E15</f>
        <v>0</v>
      </c>
      <c r="F60" s="639" t="e">
        <f t="shared" si="15"/>
        <v>#DIV/0!</v>
      </c>
      <c r="G60" s="1985" t="s">
        <v>1895</v>
      </c>
      <c r="H60" s="896">
        <f>项目基本情况!C37</f>
        <v>0</v>
      </c>
      <c r="I60" s="772">
        <f>SUMIF(修正!A57:A68,H60,修正!G57:G68)</f>
        <v>0</v>
      </c>
      <c r="J60" s="773"/>
      <c r="K60" s="2722"/>
      <c r="L60" s="2778"/>
      <c r="M60" s="2778"/>
      <c r="N60" s="2778"/>
      <c r="O60" s="2778"/>
      <c r="P60" s="2778"/>
      <c r="Q60" s="2778"/>
      <c r="R60" s="2778"/>
      <c r="S60" s="2778"/>
      <c r="T60" s="2778"/>
      <c r="U60" s="2778"/>
      <c r="V60" s="2778"/>
      <c r="W60" s="2778"/>
      <c r="X60" s="2778"/>
      <c r="Y60" s="2778"/>
      <c r="Z60" s="2778"/>
      <c r="AA60" s="2778"/>
      <c r="AB60" s="2778"/>
      <c r="AC60" s="2778"/>
      <c r="AD60" s="2778"/>
      <c r="AE60" s="2778"/>
    </row>
    <row r="61" spans="1:31" s="640" customFormat="1" ht="15" thickBot="1">
      <c r="A61" s="643" t="s">
        <v>1902</v>
      </c>
      <c r="B61" s="644" t="s">
        <v>22</v>
      </c>
      <c r="C61" s="644" t="s">
        <v>23</v>
      </c>
      <c r="D61" s="644" t="s">
        <v>392</v>
      </c>
      <c r="E61" s="644">
        <f>IF(B41="楼面地价",SUM(E51:E60),'数据-汇总表'!D3)</f>
        <v>10405.33</v>
      </c>
      <c r="F61" s="645" t="e">
        <f>IF(B41="楼面地价",SUM(F51:F60),ROUND(C43*E61/10000,0))</f>
        <v>#DIV/0!</v>
      </c>
      <c r="G61" s="938"/>
      <c r="H61" s="938"/>
      <c r="I61" s="938"/>
      <c r="J61" s="938"/>
      <c r="K61" s="2727"/>
      <c r="L61" s="2778"/>
      <c r="M61" s="2778"/>
      <c r="N61" s="2778"/>
      <c r="O61" s="2778"/>
      <c r="P61" s="2778"/>
      <c r="Q61" s="2778"/>
      <c r="R61" s="2778"/>
      <c r="S61" s="2778"/>
      <c r="T61" s="2778"/>
      <c r="U61" s="2778"/>
      <c r="V61" s="2778"/>
      <c r="W61" s="2778"/>
      <c r="X61" s="2778"/>
      <c r="Y61" s="2778"/>
      <c r="Z61" s="2778"/>
      <c r="AA61" s="2778"/>
      <c r="AB61" s="2778"/>
      <c r="AC61" s="2778"/>
      <c r="AD61" s="2778"/>
      <c r="AE61" s="2778"/>
    </row>
    <row r="62" spans="1:31">
      <c r="A62" s="926"/>
      <c r="B62" s="928"/>
      <c r="C62" s="930"/>
      <c r="D62" s="926"/>
      <c r="E62" s="926"/>
      <c r="F62" s="926"/>
      <c r="G62" s="926"/>
      <c r="H62" s="926"/>
      <c r="I62" s="926"/>
      <c r="J62" s="926"/>
      <c r="K62" s="887"/>
      <c r="L62" s="888"/>
      <c r="M62" s="926"/>
      <c r="N62" s="926"/>
      <c r="O62" s="926"/>
      <c r="P62" s="2722"/>
      <c r="Q62" s="2722"/>
      <c r="R62" s="2722"/>
      <c r="S62" s="2722"/>
      <c r="T62" s="2722"/>
      <c r="U62" s="2722"/>
      <c r="V62" s="2722"/>
      <c r="W62" s="2722"/>
      <c r="X62" s="2722"/>
      <c r="Y62" s="2722"/>
      <c r="Z62" s="2722"/>
      <c r="AA62" s="2722"/>
      <c r="AB62" s="2722"/>
      <c r="AC62" s="2722"/>
      <c r="AD62" s="2722"/>
      <c r="AE62" s="2722"/>
    </row>
    <row r="63" spans="1:31">
      <c r="A63" s="926"/>
      <c r="B63" s="928"/>
      <c r="C63" s="691" t="str">
        <f>YEAR(C7)&amp;"-"&amp;MONTH(C7)&amp;"-1"</f>
        <v>2023-5-1</v>
      </c>
      <c r="D63" s="691">
        <f>EDATE(C63,-3)</f>
        <v>44958</v>
      </c>
      <c r="E63" s="691">
        <f>EDATE(D63,-3)</f>
        <v>44866</v>
      </c>
      <c r="F63" s="691">
        <f t="shared" ref="F63:O63" si="18">EDATE(E63,-3)</f>
        <v>44774</v>
      </c>
      <c r="G63" s="691">
        <f t="shared" si="18"/>
        <v>44682</v>
      </c>
      <c r="H63" s="691">
        <f t="shared" si="18"/>
        <v>44593</v>
      </c>
      <c r="I63" s="691">
        <f t="shared" si="18"/>
        <v>44501</v>
      </c>
      <c r="J63" s="691">
        <f t="shared" si="18"/>
        <v>44409</v>
      </c>
      <c r="K63" s="691">
        <f t="shared" si="18"/>
        <v>44317</v>
      </c>
      <c r="L63" s="691">
        <f t="shared" si="18"/>
        <v>44228</v>
      </c>
      <c r="M63" s="691">
        <f t="shared" si="18"/>
        <v>44136</v>
      </c>
      <c r="N63" s="691">
        <f t="shared" si="18"/>
        <v>44044</v>
      </c>
      <c r="O63" s="691">
        <f t="shared" si="18"/>
        <v>43952</v>
      </c>
      <c r="P63" s="2722"/>
      <c r="Q63" s="2722"/>
      <c r="R63" s="2722"/>
      <c r="S63" s="2722"/>
      <c r="T63" s="2722"/>
      <c r="U63" s="2722"/>
      <c r="V63" s="2722"/>
      <c r="W63" s="2722"/>
      <c r="X63" s="2722"/>
      <c r="Y63" s="2722"/>
      <c r="Z63" s="2722"/>
      <c r="AA63" s="2722"/>
      <c r="AB63" s="2722"/>
      <c r="AC63" s="2722"/>
      <c r="AD63" s="2722"/>
      <c r="AE63" s="2722"/>
    </row>
    <row r="64" spans="1:31" ht="21.75" thickBot="1">
      <c r="A64" s="693" t="s">
        <v>1798</v>
      </c>
      <c r="B64" s="689"/>
      <c r="C64" s="694"/>
      <c r="D64" s="694"/>
      <c r="E64" s="694"/>
      <c r="F64" s="695"/>
      <c r="G64" s="695"/>
      <c r="H64" s="694"/>
      <c r="I64" s="694"/>
      <c r="J64" s="694"/>
      <c r="K64" s="696"/>
      <c r="L64" s="697"/>
      <c r="M64" s="694"/>
      <c r="N64" s="694"/>
      <c r="O64" s="939"/>
      <c r="P64" s="2765"/>
      <c r="Q64" s="2736"/>
      <c r="R64" s="2722"/>
      <c r="S64" s="2722"/>
      <c r="T64" s="2722"/>
      <c r="U64" s="2722"/>
      <c r="V64" s="2722"/>
      <c r="W64" s="2722"/>
      <c r="X64" s="2722"/>
      <c r="Y64" s="2722"/>
      <c r="Z64" s="2722"/>
      <c r="AA64" s="2722"/>
      <c r="AB64" s="2722"/>
      <c r="AC64" s="2722"/>
      <c r="AD64" s="2722"/>
      <c r="AE64" s="2722"/>
    </row>
    <row r="65" spans="1:31" s="457" customFormat="1" ht="15">
      <c r="A65" s="1986" t="s">
        <v>1903</v>
      </c>
      <c r="B65" s="1108"/>
      <c r="C65" s="1180" t="str">
        <f>YEAR(C63)&amp;"-"&amp;ROUNDUP(MONTH(C63)/3,0)</f>
        <v>2023-2</v>
      </c>
      <c r="D65" s="1180" t="str">
        <f t="shared" ref="D65:O65" si="19">YEAR(D63)&amp;"-"&amp;ROUNDUP(MONTH(D63)/3,0)</f>
        <v>2023-1</v>
      </c>
      <c r="E65" s="1180" t="str">
        <f t="shared" si="19"/>
        <v>2022-4</v>
      </c>
      <c r="F65" s="1180" t="str">
        <f t="shared" si="19"/>
        <v>2022-3</v>
      </c>
      <c r="G65" s="1180" t="str">
        <f t="shared" si="19"/>
        <v>2022-2</v>
      </c>
      <c r="H65" s="1180" t="str">
        <f t="shared" si="19"/>
        <v>2022-1</v>
      </c>
      <c r="I65" s="1180" t="str">
        <f t="shared" si="19"/>
        <v>2021-4</v>
      </c>
      <c r="J65" s="1180" t="str">
        <f t="shared" si="19"/>
        <v>2021-3</v>
      </c>
      <c r="K65" s="1180" t="str">
        <f t="shared" si="19"/>
        <v>2021-2</v>
      </c>
      <c r="L65" s="1180" t="str">
        <f t="shared" si="19"/>
        <v>2021-1</v>
      </c>
      <c r="M65" s="1180" t="str">
        <f t="shared" si="19"/>
        <v>2020-4</v>
      </c>
      <c r="N65" s="1180" t="str">
        <f t="shared" si="19"/>
        <v>2020-3</v>
      </c>
      <c r="O65" s="1180" t="str">
        <f t="shared" si="19"/>
        <v>2020-2</v>
      </c>
      <c r="P65" s="2772"/>
      <c r="Q65" s="2737"/>
      <c r="R65" s="2737"/>
      <c r="S65" s="2737"/>
      <c r="T65" s="2737"/>
      <c r="U65" s="2737"/>
      <c r="V65" s="2737"/>
      <c r="W65" s="2737"/>
      <c r="X65" s="2737"/>
      <c r="Y65" s="2737"/>
      <c r="Z65" s="2737"/>
      <c r="AA65" s="2737"/>
      <c r="AB65" s="2737"/>
      <c r="AC65" s="2737"/>
      <c r="AD65" s="2737"/>
      <c r="AE65" s="2737"/>
    </row>
    <row r="66" spans="1:31" s="108" customFormat="1" ht="30.75" customHeight="1">
      <c r="A66" s="1991" t="s">
        <v>1923</v>
      </c>
      <c r="B66" s="288" t="str">
        <f>"北京市平均增长率"&amp;TEXT(基准地价修正!P28,"0.00%")</f>
        <v>北京市平均增长率0.00%</v>
      </c>
      <c r="C66" s="552">
        <v>100</v>
      </c>
      <c r="D66" s="544"/>
      <c r="E66" s="544"/>
      <c r="F66" s="544"/>
      <c r="G66" s="544"/>
      <c r="H66" s="544"/>
      <c r="I66" s="544"/>
      <c r="J66" s="544"/>
      <c r="K66" s="544"/>
      <c r="L66" s="544"/>
      <c r="M66" s="1177"/>
      <c r="N66" s="1177"/>
      <c r="O66" s="1178"/>
      <c r="P66" s="2736"/>
      <c r="Q66" s="2658"/>
      <c r="R66" s="2658"/>
      <c r="S66" s="2658"/>
      <c r="T66" s="2658"/>
      <c r="U66" s="2658"/>
      <c r="V66" s="2658"/>
      <c r="W66" s="2658"/>
      <c r="X66" s="2658"/>
      <c r="Y66" s="2658"/>
      <c r="Z66" s="2658"/>
      <c r="AA66" s="2658"/>
      <c r="AB66" s="2658"/>
      <c r="AC66" s="2658"/>
      <c r="AD66" s="2658"/>
      <c r="AE66" s="2658"/>
    </row>
    <row r="67" spans="1:31" s="108" customFormat="1" ht="15.75" thickBot="1">
      <c r="A67" s="464" t="s">
        <v>1716</v>
      </c>
      <c r="B67" s="465"/>
      <c r="C67" s="466"/>
      <c r="D67" s="467"/>
      <c r="E67" s="467"/>
      <c r="F67" s="467"/>
      <c r="G67" s="467"/>
      <c r="H67" s="467"/>
      <c r="I67" s="467"/>
      <c r="J67" s="467"/>
      <c r="K67" s="467"/>
      <c r="L67" s="467"/>
      <c r="M67" s="468"/>
      <c r="N67" s="468"/>
      <c r="O67" s="469"/>
      <c r="P67" s="2736"/>
      <c r="Q67" s="2736"/>
      <c r="R67" s="2658"/>
      <c r="S67" s="2658"/>
      <c r="T67" s="2658"/>
      <c r="U67" s="2658"/>
      <c r="V67" s="2658"/>
      <c r="W67" s="2658"/>
      <c r="X67" s="2658"/>
      <c r="Y67" s="2658"/>
      <c r="Z67" s="2658"/>
      <c r="AA67" s="2658"/>
      <c r="AB67" s="2658"/>
      <c r="AC67" s="2658"/>
      <c r="AD67" s="2658"/>
      <c r="AE67" s="2658"/>
    </row>
    <row r="68" spans="1:31" s="108" customFormat="1" ht="15">
      <c r="A68" s="470" t="s">
        <v>1681</v>
      </c>
      <c r="B68" s="459"/>
      <c r="C68" s="471" t="s">
        <v>1776</v>
      </c>
      <c r="D68" s="472"/>
      <c r="E68" s="472"/>
      <c r="F68" s="472"/>
      <c r="G68" s="472"/>
      <c r="H68" s="472"/>
      <c r="I68" s="472"/>
      <c r="J68" s="472"/>
      <c r="K68" s="472"/>
      <c r="L68" s="473"/>
      <c r="M68" s="474"/>
      <c r="N68" s="2748"/>
      <c r="O68" s="2748"/>
      <c r="P68" s="2773"/>
      <c r="Q68" s="2736"/>
      <c r="R68" s="2658"/>
      <c r="S68" s="2658"/>
      <c r="T68" s="2658"/>
      <c r="U68" s="2658"/>
      <c r="V68" s="2658"/>
      <c r="W68" s="2658"/>
      <c r="X68" s="2658"/>
      <c r="Y68" s="2658"/>
      <c r="Z68" s="2658"/>
      <c r="AA68" s="2658"/>
      <c r="AB68" s="2658"/>
      <c r="AC68" s="2658"/>
      <c r="AD68" s="2658"/>
      <c r="AE68" s="2658"/>
    </row>
    <row r="69" spans="1:31" s="108" customFormat="1" ht="15.75" thickBot="1">
      <c r="A69" s="470"/>
      <c r="B69" s="459"/>
      <c r="C69" s="587">
        <v>100</v>
      </c>
      <c r="D69" s="461"/>
      <c r="E69" s="461"/>
      <c r="F69" s="461"/>
      <c r="G69" s="461"/>
      <c r="H69" s="461"/>
      <c r="I69" s="461"/>
      <c r="J69" s="461"/>
      <c r="K69" s="461"/>
      <c r="L69" s="461"/>
      <c r="M69" s="463"/>
      <c r="N69" s="2748"/>
      <c r="O69" s="2748"/>
      <c r="P69" s="2736"/>
      <c r="Q69" s="2736"/>
      <c r="R69" s="2658"/>
      <c r="S69" s="2658"/>
      <c r="T69" s="2658"/>
      <c r="U69" s="2658"/>
      <c r="V69" s="2658"/>
      <c r="W69" s="2658"/>
      <c r="X69" s="2658"/>
      <c r="Y69" s="2658"/>
      <c r="Z69" s="2658"/>
      <c r="AA69" s="2658"/>
      <c r="AB69" s="2658"/>
      <c r="AC69" s="2658"/>
      <c r="AD69" s="2658"/>
      <c r="AE69" s="2658"/>
    </row>
    <row r="70" spans="1:31">
      <c r="A70" s="476" t="s">
        <v>1719</v>
      </c>
      <c r="B70" s="477" t="s">
        <v>1685</v>
      </c>
      <c r="C70" s="479"/>
      <c r="D70" s="479"/>
      <c r="E70" s="479"/>
      <c r="F70" s="479"/>
      <c r="G70" s="479"/>
      <c r="H70" s="479"/>
      <c r="I70" s="479"/>
      <c r="J70" s="479"/>
      <c r="K70" s="480"/>
      <c r="L70" s="481"/>
      <c r="M70" s="482"/>
      <c r="N70" s="2749"/>
      <c r="O70" s="2749"/>
      <c r="P70" s="2774"/>
      <c r="Q70" s="2736"/>
      <c r="R70" s="2722"/>
      <c r="S70" s="2722"/>
      <c r="T70" s="2722"/>
      <c r="U70" s="2722"/>
      <c r="V70" s="2722"/>
      <c r="W70" s="2722"/>
      <c r="X70" s="2722"/>
      <c r="Y70" s="2722"/>
      <c r="Z70" s="2722"/>
      <c r="AA70" s="2722"/>
      <c r="AB70" s="2722"/>
      <c r="AC70" s="2722"/>
      <c r="AD70" s="2722"/>
      <c r="AE70" s="2722"/>
    </row>
    <row r="71" spans="1:31" ht="15.75" thickBot="1">
      <c r="A71" s="483"/>
      <c r="B71" s="484"/>
      <c r="C71" s="485"/>
      <c r="D71" s="485"/>
      <c r="E71" s="485"/>
      <c r="F71" s="485"/>
      <c r="G71" s="485"/>
      <c r="H71" s="485"/>
      <c r="I71" s="485"/>
      <c r="J71" s="485"/>
      <c r="K71" s="485"/>
      <c r="L71" s="485"/>
      <c r="M71" s="486"/>
      <c r="N71" s="2750"/>
      <c r="O71" s="2750"/>
      <c r="P71" s="2774"/>
      <c r="Q71" s="2736"/>
      <c r="R71" s="2722"/>
      <c r="S71" s="2722"/>
      <c r="T71" s="2722"/>
      <c r="U71" s="2722"/>
      <c r="V71" s="2722"/>
      <c r="W71" s="2722"/>
      <c r="X71" s="2722"/>
      <c r="Y71" s="2722"/>
      <c r="Z71" s="2722"/>
      <c r="AA71" s="2722"/>
      <c r="AB71" s="2722"/>
      <c r="AC71" s="2722"/>
      <c r="AD71" s="2722"/>
      <c r="AE71" s="2722"/>
    </row>
    <row r="72" spans="1:31" ht="27.75" thickTop="1">
      <c r="A72" s="483"/>
      <c r="B72" s="487" t="s">
        <v>1688</v>
      </c>
      <c r="C72" s="488"/>
      <c r="D72" s="488"/>
      <c r="E72" s="488"/>
      <c r="F72" s="488"/>
      <c r="G72" s="488"/>
      <c r="H72" s="488"/>
      <c r="I72" s="488"/>
      <c r="J72" s="488"/>
      <c r="K72" s="489"/>
      <c r="L72" s="490"/>
      <c r="M72" s="491"/>
      <c r="N72" s="2749"/>
      <c r="O72" s="2749"/>
      <c r="P72" s="2774"/>
      <c r="Q72" s="2736"/>
      <c r="R72" s="2722"/>
      <c r="S72" s="2722"/>
      <c r="T72" s="2722"/>
      <c r="U72" s="2722"/>
      <c r="V72" s="2722"/>
      <c r="W72" s="2722"/>
      <c r="X72" s="2722"/>
      <c r="Y72" s="2722"/>
      <c r="Z72" s="2722"/>
      <c r="AA72" s="2722"/>
      <c r="AB72" s="2722"/>
      <c r="AC72" s="2722"/>
      <c r="AD72" s="2722"/>
      <c r="AE72" s="2722"/>
    </row>
    <row r="73" spans="1:31" ht="15.75" thickBot="1">
      <c r="A73" s="483"/>
      <c r="B73" s="492"/>
      <c r="C73" s="493"/>
      <c r="D73" s="493"/>
      <c r="E73" s="493"/>
      <c r="F73" s="493"/>
      <c r="G73" s="493"/>
      <c r="H73" s="493"/>
      <c r="I73" s="493"/>
      <c r="J73" s="493"/>
      <c r="K73" s="493"/>
      <c r="L73" s="493"/>
      <c r="M73" s="494"/>
      <c r="N73" s="2750"/>
      <c r="O73" s="2750"/>
      <c r="P73" s="2774"/>
      <c r="Q73" s="2736"/>
      <c r="R73" s="2722"/>
      <c r="S73" s="2722"/>
      <c r="T73" s="2722"/>
      <c r="U73" s="2722"/>
      <c r="V73" s="2722"/>
      <c r="W73" s="2722"/>
      <c r="X73" s="2722"/>
      <c r="Y73" s="2722"/>
      <c r="Z73" s="2722"/>
      <c r="AA73" s="2722"/>
      <c r="AB73" s="2722"/>
      <c r="AC73" s="2722"/>
      <c r="AD73" s="2722"/>
      <c r="AE73" s="2722"/>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0"/>
      <c r="O74" s="2750"/>
      <c r="P74" s="2774"/>
      <c r="Q74" s="2736"/>
      <c r="R74" s="2722"/>
      <c r="S74" s="2722"/>
      <c r="T74" s="2722"/>
      <c r="U74" s="2722"/>
      <c r="V74" s="2722"/>
      <c r="W74" s="2722"/>
      <c r="X74" s="2722"/>
      <c r="Y74" s="2722"/>
      <c r="Z74" s="2722"/>
      <c r="AA74" s="2722"/>
      <c r="AB74" s="2722"/>
      <c r="AC74" s="2722"/>
      <c r="AD74" s="2722"/>
      <c r="AE74" s="2722"/>
    </row>
    <row r="75" spans="1:31" ht="15">
      <c r="A75" s="483"/>
      <c r="B75" s="497"/>
      <c r="C75" s="498"/>
      <c r="D75" s="498"/>
      <c r="E75" s="498"/>
      <c r="F75" s="498"/>
      <c r="G75" s="498"/>
      <c r="H75" s="498"/>
      <c r="I75" s="498"/>
      <c r="J75" s="498"/>
      <c r="K75" s="499"/>
      <c r="L75" s="500"/>
      <c r="M75" s="501"/>
      <c r="N75" s="2749"/>
      <c r="O75" s="2749"/>
      <c r="P75" s="2774"/>
      <c r="Q75" s="2736"/>
      <c r="R75" s="2722"/>
      <c r="S75" s="2722"/>
      <c r="T75" s="2722"/>
      <c r="U75" s="2722"/>
      <c r="V75" s="2722"/>
      <c r="W75" s="2722"/>
      <c r="X75" s="2722"/>
      <c r="Y75" s="2722"/>
      <c r="Z75" s="2722"/>
      <c r="AA75" s="2722"/>
      <c r="AB75" s="2722"/>
      <c r="AC75" s="2722"/>
      <c r="AD75" s="2722"/>
      <c r="AE75" s="2722"/>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0"/>
      <c r="O76" s="2750"/>
      <c r="P76" s="2774"/>
      <c r="Q76" s="2736"/>
      <c r="R76" s="2722"/>
      <c r="S76" s="2722"/>
      <c r="T76" s="2722"/>
      <c r="U76" s="2722"/>
      <c r="V76" s="2722"/>
      <c r="W76" s="2722"/>
      <c r="X76" s="2722"/>
      <c r="Y76" s="2722"/>
      <c r="Z76" s="2722"/>
      <c r="AA76" s="2722"/>
      <c r="AB76" s="2722"/>
      <c r="AC76" s="2722"/>
      <c r="AD76" s="2722"/>
      <c r="AE76" s="2722"/>
    </row>
    <row r="77" spans="1:31" s="422" customFormat="1" ht="15.75" thickTop="1">
      <c r="A77" s="502"/>
      <c r="B77" s="487">
        <f>B12</f>
        <v>111</v>
      </c>
      <c r="C77" s="503"/>
      <c r="D77" s="503"/>
      <c r="E77" s="503"/>
      <c r="F77" s="503"/>
      <c r="G77" s="503"/>
      <c r="H77" s="504"/>
      <c r="I77" s="504"/>
      <c r="J77" s="504"/>
      <c r="K77" s="504"/>
      <c r="L77" s="505"/>
      <c r="M77" s="506"/>
      <c r="N77" s="2751"/>
      <c r="O77" s="2751"/>
      <c r="P77" s="2775"/>
      <c r="Q77" s="2742"/>
      <c r="R77" s="2743"/>
      <c r="S77" s="2743"/>
      <c r="T77" s="2743"/>
      <c r="U77" s="2743"/>
      <c r="V77" s="2743"/>
      <c r="W77" s="2743"/>
      <c r="X77" s="2743"/>
      <c r="Y77" s="2743"/>
      <c r="Z77" s="2743"/>
      <c r="AA77" s="2743"/>
      <c r="AB77" s="2743"/>
      <c r="AC77" s="2743"/>
      <c r="AD77" s="2743"/>
      <c r="AE77" s="2743"/>
    </row>
    <row r="78" spans="1:31" s="422" customFormat="1" ht="15.75" thickBot="1">
      <c r="A78" s="502"/>
      <c r="B78" s="492"/>
      <c r="C78" s="509"/>
      <c r="D78" s="485"/>
      <c r="E78" s="485"/>
      <c r="F78" s="485"/>
      <c r="G78" s="485"/>
      <c r="H78" s="485"/>
      <c r="I78" s="485"/>
      <c r="J78" s="485"/>
      <c r="K78" s="485"/>
      <c r="L78" s="485"/>
      <c r="M78" s="486"/>
      <c r="N78" s="2750"/>
      <c r="O78" s="2750"/>
      <c r="P78" s="2775"/>
      <c r="Q78" s="2742"/>
      <c r="R78" s="2743"/>
      <c r="S78" s="2743"/>
      <c r="T78" s="2743"/>
      <c r="U78" s="2743"/>
      <c r="V78" s="2743"/>
      <c r="W78" s="2743"/>
      <c r="X78" s="2743"/>
      <c r="Y78" s="2743"/>
      <c r="Z78" s="2743"/>
      <c r="AA78" s="2743"/>
      <c r="AB78" s="2743"/>
      <c r="AC78" s="2743"/>
      <c r="AD78" s="2743"/>
      <c r="AE78" s="2743"/>
    </row>
    <row r="79" spans="1:31" s="422" customFormat="1" ht="15.75" thickTop="1">
      <c r="A79" s="502"/>
      <c r="B79" s="487">
        <f>B13</f>
        <v>111</v>
      </c>
      <c r="C79" s="503"/>
      <c r="D79" s="503"/>
      <c r="E79" s="503"/>
      <c r="F79" s="503"/>
      <c r="G79" s="503"/>
      <c r="H79" s="504"/>
      <c r="I79" s="504"/>
      <c r="J79" s="504"/>
      <c r="K79" s="504"/>
      <c r="L79" s="505"/>
      <c r="M79" s="506"/>
      <c r="N79" s="2751"/>
      <c r="O79" s="2751"/>
      <c r="P79" s="2720"/>
      <c r="Q79" s="2745"/>
      <c r="R79" s="2743"/>
      <c r="S79" s="2743"/>
      <c r="T79" s="2743"/>
      <c r="U79" s="2743"/>
      <c r="V79" s="2743"/>
      <c r="W79" s="2743"/>
      <c r="X79" s="2743"/>
      <c r="Y79" s="2743"/>
      <c r="Z79" s="2743"/>
      <c r="AA79" s="2743"/>
      <c r="AB79" s="2743"/>
      <c r="AC79" s="2743"/>
      <c r="AD79" s="2743"/>
      <c r="AE79" s="2743"/>
    </row>
    <row r="80" spans="1:31" s="422" customFormat="1" ht="15.75" thickBot="1">
      <c r="A80" s="502"/>
      <c r="B80" s="492"/>
      <c r="C80" s="509"/>
      <c r="D80" s="509"/>
      <c r="E80" s="509"/>
      <c r="F80" s="509"/>
      <c r="G80" s="509"/>
      <c r="H80" s="511"/>
      <c r="I80" s="511"/>
      <c r="J80" s="511"/>
      <c r="K80" s="511"/>
      <c r="L80" s="511"/>
      <c r="M80" s="512"/>
      <c r="N80" s="2751"/>
      <c r="O80" s="2751"/>
      <c r="P80" s="2775"/>
      <c r="Q80" s="2742"/>
      <c r="R80" s="2743"/>
      <c r="S80" s="2743"/>
      <c r="T80" s="2743"/>
      <c r="U80" s="2743"/>
      <c r="V80" s="2743"/>
      <c r="W80" s="2743"/>
      <c r="X80" s="2743"/>
      <c r="Y80" s="2743"/>
      <c r="Z80" s="2743"/>
      <c r="AA80" s="2743"/>
      <c r="AB80" s="2743"/>
      <c r="AC80" s="2743"/>
      <c r="AD80" s="2743"/>
      <c r="AE80" s="2743"/>
    </row>
    <row r="81" spans="1:31" s="422" customFormat="1" ht="15.75" thickTop="1">
      <c r="A81" s="502"/>
      <c r="B81" s="495">
        <f>B14</f>
        <v>111</v>
      </c>
      <c r="C81" s="472"/>
      <c r="D81" s="472"/>
      <c r="E81" s="472"/>
      <c r="F81" s="472"/>
      <c r="G81" s="472"/>
      <c r="H81" s="513"/>
      <c r="I81" s="513"/>
      <c r="J81" s="513"/>
      <c r="K81" s="513"/>
      <c r="L81" s="514"/>
      <c r="M81" s="515"/>
      <c r="N81" s="2751"/>
      <c r="O81" s="2751"/>
      <c r="P81" s="2780"/>
      <c r="Q81" s="2742"/>
      <c r="R81" s="2743"/>
      <c r="S81" s="2743"/>
      <c r="T81" s="2743"/>
      <c r="U81" s="2743"/>
      <c r="V81" s="2743"/>
      <c r="W81" s="2743"/>
      <c r="X81" s="2743"/>
      <c r="Y81" s="2743"/>
      <c r="Z81" s="2743"/>
      <c r="AA81" s="2743"/>
      <c r="AB81" s="2743"/>
      <c r="AC81" s="2743"/>
      <c r="AD81" s="2743"/>
      <c r="AE81" s="2743"/>
    </row>
    <row r="82" spans="1:31" s="422" customFormat="1" ht="15.75" thickBot="1">
      <c r="A82" s="517"/>
      <c r="B82" s="518"/>
      <c r="C82" s="519"/>
      <c r="D82" s="519"/>
      <c r="E82" s="519"/>
      <c r="F82" s="519"/>
      <c r="G82" s="519"/>
      <c r="H82" s="520"/>
      <c r="I82" s="520"/>
      <c r="J82" s="520"/>
      <c r="K82" s="520"/>
      <c r="L82" s="520"/>
      <c r="M82" s="521"/>
      <c r="N82" s="2751"/>
      <c r="O82" s="2751"/>
      <c r="P82" s="2775"/>
      <c r="Q82" s="2742"/>
      <c r="R82" s="2743"/>
      <c r="S82" s="2743"/>
      <c r="T82" s="2743"/>
      <c r="U82" s="2743"/>
      <c r="V82" s="2743"/>
      <c r="W82" s="2743"/>
      <c r="X82" s="2743"/>
      <c r="Y82" s="2743"/>
      <c r="Z82" s="2743"/>
      <c r="AA82" s="2743"/>
      <c r="AB82" s="2743"/>
      <c r="AC82" s="2743"/>
      <c r="AD82" s="2743"/>
      <c r="AE82" s="2743"/>
    </row>
    <row r="83" spans="1:31">
      <c r="A83" s="476" t="s">
        <v>1690</v>
      </c>
      <c r="B83" s="477" t="s">
        <v>1829</v>
      </c>
      <c r="C83" s="522" t="s">
        <v>1721</v>
      </c>
      <c r="D83" s="522" t="s">
        <v>1722</v>
      </c>
      <c r="E83" s="522" t="s">
        <v>1723</v>
      </c>
      <c r="F83" s="522" t="s">
        <v>1724</v>
      </c>
      <c r="G83" s="522" t="s">
        <v>1725</v>
      </c>
      <c r="H83" s="478"/>
      <c r="I83" s="478"/>
      <c r="J83" s="478"/>
      <c r="K83" s="523"/>
      <c r="L83" s="524"/>
      <c r="M83" s="525"/>
      <c r="N83" s="2749"/>
      <c r="O83" s="2749"/>
      <c r="P83" s="2776"/>
      <c r="Q83" s="2736"/>
      <c r="R83" s="2722"/>
      <c r="S83" s="2722"/>
      <c r="T83" s="2722"/>
      <c r="U83" s="2722"/>
      <c r="V83" s="2722"/>
      <c r="W83" s="2722"/>
      <c r="X83" s="2722"/>
      <c r="Y83" s="2722"/>
      <c r="Z83" s="2722"/>
      <c r="AA83" s="2722"/>
      <c r="AB83" s="2722"/>
      <c r="AC83" s="2722"/>
      <c r="AD83" s="2722"/>
      <c r="AE83" s="2722"/>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0"/>
      <c r="O84" s="2750"/>
      <c r="P84" s="2774"/>
      <c r="Q84" s="2736"/>
      <c r="R84" s="2722"/>
      <c r="S84" s="2722"/>
      <c r="T84" s="2722"/>
      <c r="U84" s="2722"/>
      <c r="V84" s="2722"/>
      <c r="W84" s="2722"/>
      <c r="X84" s="2722"/>
      <c r="Y84" s="2722"/>
      <c r="Z84" s="2722"/>
      <c r="AA84" s="2722"/>
      <c r="AB84" s="2722"/>
      <c r="AC84" s="2722"/>
      <c r="AD84" s="2722"/>
      <c r="AE84" s="2722"/>
    </row>
    <row r="85" spans="1:31" ht="15.75" thickTop="1">
      <c r="A85" s="483"/>
      <c r="B85" s="487" t="s">
        <v>1726</v>
      </c>
      <c r="C85" s="527" t="s">
        <v>1721</v>
      </c>
      <c r="D85" s="527" t="s">
        <v>1722</v>
      </c>
      <c r="E85" s="527" t="s">
        <v>1723</v>
      </c>
      <c r="F85" s="527" t="s">
        <v>1724</v>
      </c>
      <c r="G85" s="527" t="s">
        <v>1725</v>
      </c>
      <c r="H85" s="488"/>
      <c r="I85" s="488"/>
      <c r="J85" s="488"/>
      <c r="K85" s="489"/>
      <c r="L85" s="490"/>
      <c r="M85" s="491"/>
      <c r="N85" s="2749"/>
      <c r="O85" s="2749"/>
      <c r="P85" s="2774"/>
      <c r="Q85" s="2736"/>
      <c r="R85" s="2722"/>
      <c r="S85" s="2722"/>
      <c r="T85" s="2722"/>
      <c r="U85" s="2722"/>
      <c r="V85" s="2722"/>
      <c r="W85" s="2722"/>
      <c r="X85" s="2722"/>
      <c r="Y85" s="2722"/>
      <c r="Z85" s="2722"/>
      <c r="AA85" s="2722"/>
      <c r="AB85" s="2722"/>
      <c r="AC85" s="2722"/>
      <c r="AD85" s="2722"/>
      <c r="AE85" s="2722"/>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0"/>
      <c r="O86" s="2750"/>
      <c r="P86" s="2774"/>
      <c r="Q86" s="2736"/>
      <c r="R86" s="2722"/>
      <c r="S86" s="2722"/>
      <c r="T86" s="2722"/>
      <c r="U86" s="2722"/>
      <c r="V86" s="2722"/>
      <c r="W86" s="2722"/>
      <c r="X86" s="2722"/>
      <c r="Y86" s="2722"/>
      <c r="Z86" s="2722"/>
      <c r="AA86" s="2722"/>
      <c r="AB86" s="2722"/>
      <c r="AC86" s="2722"/>
      <c r="AD86" s="2722"/>
      <c r="AE86" s="2722"/>
    </row>
    <row r="87" spans="1:31" s="108" customFormat="1" ht="15.75" thickTop="1">
      <c r="A87" s="528"/>
      <c r="B87" s="487" t="s">
        <v>1906</v>
      </c>
      <c r="C87" s="522" t="s">
        <v>1721</v>
      </c>
      <c r="D87" s="522" t="s">
        <v>1722</v>
      </c>
      <c r="E87" s="522" t="s">
        <v>1723</v>
      </c>
      <c r="F87" s="522" t="s">
        <v>1724</v>
      </c>
      <c r="G87" s="522" t="s">
        <v>1725</v>
      </c>
      <c r="H87" s="527"/>
      <c r="I87" s="527"/>
      <c r="J87" s="527"/>
      <c r="K87" s="527"/>
      <c r="L87" s="646"/>
      <c r="M87" s="570"/>
      <c r="N87" s="2748"/>
      <c r="O87" s="2748"/>
      <c r="P87" s="2774"/>
      <c r="Q87" s="2736"/>
      <c r="R87" s="2658"/>
      <c r="S87" s="2658"/>
      <c r="T87" s="2658"/>
      <c r="U87" s="2658"/>
      <c r="V87" s="2658"/>
      <c r="W87" s="2658"/>
      <c r="X87" s="2658"/>
      <c r="Y87" s="2658"/>
      <c r="Z87" s="2658"/>
      <c r="AA87" s="2658"/>
      <c r="AB87" s="2658"/>
      <c r="AC87" s="2658"/>
      <c r="AD87" s="2658"/>
      <c r="AE87" s="2658"/>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0"/>
      <c r="O88" s="2750"/>
      <c r="P88" s="2774"/>
      <c r="Q88" s="2736"/>
      <c r="R88" s="2658"/>
      <c r="S88" s="2658"/>
      <c r="T88" s="2658"/>
      <c r="U88" s="2658"/>
      <c r="V88" s="2658"/>
      <c r="W88" s="2658"/>
      <c r="X88" s="2658"/>
      <c r="Y88" s="2658"/>
      <c r="Z88" s="2658"/>
      <c r="AA88" s="2658"/>
      <c r="AB88" s="2658"/>
      <c r="AC88" s="2658"/>
      <c r="AD88" s="2658"/>
      <c r="AE88" s="2658"/>
    </row>
    <row r="89" spans="1:31" s="108" customFormat="1" ht="27.75" thickTop="1">
      <c r="A89" s="528"/>
      <c r="B89" s="487" t="s">
        <v>1907</v>
      </c>
      <c r="C89" s="522" t="s">
        <v>1721</v>
      </c>
      <c r="D89" s="522" t="s">
        <v>1722</v>
      </c>
      <c r="E89" s="522" t="s">
        <v>1723</v>
      </c>
      <c r="F89" s="522" t="s">
        <v>1724</v>
      </c>
      <c r="G89" s="522" t="s">
        <v>1725</v>
      </c>
      <c r="H89" s="527"/>
      <c r="I89" s="527"/>
      <c r="J89" s="527"/>
      <c r="K89" s="527"/>
      <c r="L89" s="527"/>
      <c r="M89" s="570"/>
      <c r="N89" s="2748"/>
      <c r="O89" s="2748"/>
      <c r="P89" s="2774"/>
      <c r="Q89" s="2736"/>
      <c r="R89" s="2658"/>
      <c r="S89" s="2658"/>
      <c r="T89" s="2658"/>
      <c r="U89" s="2658"/>
      <c r="V89" s="2658"/>
      <c r="W89" s="2658"/>
      <c r="X89" s="2658"/>
      <c r="Y89" s="2658"/>
      <c r="Z89" s="2658"/>
      <c r="AA89" s="2658"/>
      <c r="AB89" s="2658"/>
      <c r="AC89" s="2658"/>
      <c r="AD89" s="2658"/>
      <c r="AE89" s="2658"/>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0"/>
      <c r="O90" s="2750"/>
      <c r="P90" s="2774"/>
      <c r="Q90" s="2736"/>
      <c r="R90" s="2658"/>
      <c r="S90" s="2658"/>
      <c r="T90" s="2658"/>
      <c r="U90" s="2658"/>
      <c r="V90" s="2658"/>
      <c r="W90" s="2658"/>
      <c r="X90" s="2658"/>
      <c r="Y90" s="2658"/>
      <c r="Z90" s="2658"/>
      <c r="AA90" s="2658"/>
      <c r="AB90" s="2658"/>
      <c r="AC90" s="2658"/>
      <c r="AD90" s="2658"/>
      <c r="AE90" s="2658"/>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1"/>
      <c r="O91" s="2751"/>
      <c r="P91" s="2775"/>
      <c r="Q91" s="2742"/>
      <c r="R91" s="2743"/>
      <c r="S91" s="2743"/>
      <c r="T91" s="2743"/>
      <c r="U91" s="2743"/>
      <c r="V91" s="2743"/>
      <c r="W91" s="2743"/>
      <c r="X91" s="2743"/>
      <c r="Y91" s="2743"/>
      <c r="Z91" s="2743"/>
      <c r="AA91" s="2743"/>
      <c r="AB91" s="2743"/>
      <c r="AC91" s="2743"/>
      <c r="AD91" s="2743"/>
      <c r="AE91" s="2743"/>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1"/>
      <c r="O92" s="2751"/>
      <c r="P92" s="2775"/>
      <c r="Q92" s="2742"/>
      <c r="R92" s="2743"/>
      <c r="S92" s="2743"/>
      <c r="T92" s="2743"/>
      <c r="U92" s="2743"/>
      <c r="V92" s="2743"/>
      <c r="W92" s="2743"/>
      <c r="X92" s="2743"/>
      <c r="Y92" s="2743"/>
      <c r="Z92" s="2743"/>
      <c r="AA92" s="2743"/>
      <c r="AB92" s="2743"/>
      <c r="AC92" s="2743"/>
      <c r="AD92" s="2743"/>
      <c r="AE92" s="2743"/>
    </row>
    <row r="93" spans="1:31" s="422" customFormat="1" ht="15.75" thickTop="1">
      <c r="A93" s="502"/>
      <c r="B93" s="495" t="s">
        <v>1924</v>
      </c>
      <c r="C93" s="608" t="s">
        <v>1799</v>
      </c>
      <c r="D93" s="608" t="s">
        <v>1800</v>
      </c>
      <c r="E93" s="608" t="s">
        <v>1801</v>
      </c>
      <c r="F93" s="608" t="s">
        <v>1802</v>
      </c>
      <c r="G93" s="608" t="s">
        <v>1803</v>
      </c>
      <c r="H93" s="549"/>
      <c r="I93" s="549"/>
      <c r="J93" s="549"/>
      <c r="K93" s="549"/>
      <c r="L93" s="549"/>
      <c r="M93" s="551"/>
      <c r="N93" s="2751"/>
      <c r="O93" s="2751"/>
      <c r="P93" s="2775"/>
      <c r="Q93" s="2742"/>
      <c r="R93" s="2743"/>
      <c r="S93" s="2743"/>
      <c r="T93" s="2743"/>
      <c r="U93" s="2743"/>
      <c r="V93" s="2743"/>
      <c r="W93" s="2743"/>
      <c r="X93" s="2743"/>
      <c r="Y93" s="2743"/>
      <c r="Z93" s="2743"/>
      <c r="AA93" s="2743"/>
      <c r="AB93" s="2743"/>
      <c r="AC93" s="2743"/>
      <c r="AD93" s="2743"/>
      <c r="AE93" s="2743"/>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1"/>
      <c r="N94" s="2751"/>
      <c r="O94" s="2751"/>
      <c r="P94" s="2775"/>
      <c r="Q94" s="2742"/>
      <c r="R94" s="2743"/>
      <c r="S94" s="2743"/>
      <c r="T94" s="2743"/>
      <c r="U94" s="2743"/>
      <c r="V94" s="2743"/>
      <c r="W94" s="2743"/>
      <c r="X94" s="2743"/>
      <c r="Y94" s="2743"/>
      <c r="Z94" s="2743"/>
      <c r="AA94" s="2743"/>
      <c r="AB94" s="2743"/>
      <c r="AC94" s="2743"/>
      <c r="AD94" s="2743"/>
      <c r="AE94" s="2743"/>
    </row>
    <row r="95" spans="1:31" ht="15.75" thickTop="1">
      <c r="A95" s="483"/>
      <c r="B95" s="487" t="str">
        <f>B27</f>
        <v>临街状况</v>
      </c>
      <c r="C95" s="488" t="s">
        <v>1908</v>
      </c>
      <c r="D95" s="488" t="s">
        <v>1909</v>
      </c>
      <c r="E95" s="488" t="s">
        <v>1910</v>
      </c>
      <c r="F95" s="488" t="s">
        <v>1911</v>
      </c>
      <c r="G95" s="488"/>
      <c r="H95" s="488"/>
      <c r="I95" s="488"/>
      <c r="J95" s="488"/>
      <c r="K95" s="489"/>
      <c r="L95" s="490"/>
      <c r="M95" s="491"/>
      <c r="N95" s="2749"/>
      <c r="O95" s="2749"/>
      <c r="P95" s="2774"/>
      <c r="Q95" s="2736"/>
      <c r="R95" s="2722"/>
      <c r="S95" s="2722"/>
      <c r="T95" s="2722"/>
      <c r="U95" s="2722"/>
      <c r="V95" s="2722"/>
      <c r="W95" s="2722"/>
      <c r="X95" s="2722"/>
      <c r="Y95" s="2722"/>
      <c r="Z95" s="2722"/>
      <c r="AA95" s="2722"/>
      <c r="AB95" s="2722"/>
      <c r="AC95" s="2722"/>
      <c r="AD95" s="2722"/>
      <c r="AE95" s="2722"/>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0"/>
      <c r="O96" s="2750"/>
      <c r="P96" s="2774"/>
      <c r="Q96" s="2736"/>
      <c r="R96" s="2722"/>
      <c r="S96" s="2722"/>
      <c r="T96" s="2722"/>
      <c r="U96" s="2722"/>
      <c r="V96" s="2722"/>
      <c r="W96" s="2722"/>
      <c r="X96" s="2722"/>
      <c r="Y96" s="2722"/>
      <c r="Z96" s="2722"/>
      <c r="AA96" s="2722"/>
      <c r="AB96" s="2722"/>
      <c r="AC96" s="2722"/>
      <c r="AD96" s="2722"/>
      <c r="AE96" s="2722"/>
    </row>
    <row r="97" spans="1:31" ht="27.75" thickTop="1">
      <c r="A97" s="483"/>
      <c r="B97" s="487" t="s">
        <v>1815</v>
      </c>
      <c r="C97" s="503"/>
      <c r="D97" s="503"/>
      <c r="E97" s="503"/>
      <c r="F97" s="503"/>
      <c r="G97" s="503"/>
      <c r="H97" s="532"/>
      <c r="I97" s="532"/>
      <c r="J97" s="532"/>
      <c r="K97" s="533"/>
      <c r="L97" s="534"/>
      <c r="M97" s="535"/>
      <c r="N97" s="2749"/>
      <c r="O97" s="2749"/>
      <c r="P97" s="2774"/>
      <c r="Q97" s="2736"/>
      <c r="R97" s="2722"/>
      <c r="S97" s="2722"/>
      <c r="T97" s="2722"/>
      <c r="U97" s="2722"/>
      <c r="V97" s="2722"/>
      <c r="W97" s="2722"/>
      <c r="X97" s="2722"/>
      <c r="Y97" s="2722"/>
      <c r="Z97" s="2722"/>
      <c r="AA97" s="2722"/>
      <c r="AB97" s="2722"/>
      <c r="AC97" s="2722"/>
      <c r="AD97" s="2722"/>
      <c r="AE97" s="2722"/>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0"/>
      <c r="O98" s="2750"/>
      <c r="P98" s="2774"/>
      <c r="Q98" s="2736"/>
      <c r="R98" s="2722"/>
      <c r="S98" s="2722"/>
      <c r="T98" s="2722"/>
      <c r="U98" s="2722"/>
      <c r="V98" s="2722"/>
      <c r="W98" s="2722"/>
      <c r="X98" s="2722"/>
      <c r="Y98" s="2722"/>
      <c r="Z98" s="2722"/>
      <c r="AA98" s="2722"/>
      <c r="AB98" s="2722"/>
      <c r="AC98" s="2722"/>
      <c r="AD98" s="2722"/>
      <c r="AE98" s="2722"/>
    </row>
    <row r="99" spans="1:31" ht="15.75" thickTop="1">
      <c r="A99" s="483"/>
      <c r="B99" s="487" t="s">
        <v>1873</v>
      </c>
      <c r="C99" s="532"/>
      <c r="D99" s="532"/>
      <c r="E99" s="532"/>
      <c r="F99" s="532"/>
      <c r="G99" s="532"/>
      <c r="H99" s="532"/>
      <c r="I99" s="532"/>
      <c r="J99" s="532"/>
      <c r="K99" s="533"/>
      <c r="L99" s="534"/>
      <c r="M99" s="535"/>
      <c r="N99" s="2749"/>
      <c r="O99" s="2749"/>
      <c r="P99" s="2774"/>
      <c r="Q99" s="2736"/>
      <c r="R99" s="2722"/>
      <c r="S99" s="2722"/>
      <c r="T99" s="2722"/>
      <c r="U99" s="2722"/>
      <c r="V99" s="2722"/>
      <c r="W99" s="2722"/>
      <c r="X99" s="2722"/>
      <c r="Y99" s="2722"/>
      <c r="Z99" s="2722"/>
      <c r="AA99" s="2722"/>
      <c r="AB99" s="2722"/>
      <c r="AC99" s="2722"/>
      <c r="AD99" s="2722"/>
      <c r="AE99" s="2722"/>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0"/>
      <c r="O100" s="2750"/>
      <c r="P100" s="2774"/>
      <c r="Q100" s="2736"/>
      <c r="R100" s="2722"/>
      <c r="S100" s="2722"/>
      <c r="T100" s="2722"/>
      <c r="U100" s="2722"/>
      <c r="V100" s="2722"/>
      <c r="W100" s="2722"/>
      <c r="X100" s="2722"/>
      <c r="Y100" s="2722"/>
      <c r="Z100" s="2722"/>
      <c r="AA100" s="2722"/>
      <c r="AB100" s="2722"/>
      <c r="AC100" s="2722"/>
      <c r="AD100" s="2722"/>
      <c r="AE100" s="2722"/>
    </row>
    <row r="101" spans="1:31" ht="15.75" thickTop="1">
      <c r="A101" s="483"/>
      <c r="B101" s="495">
        <f>B31</f>
        <v>111</v>
      </c>
      <c r="C101" s="503"/>
      <c r="D101" s="503"/>
      <c r="E101" s="503"/>
      <c r="F101" s="503"/>
      <c r="G101" s="536"/>
      <c r="H101" s="536"/>
      <c r="I101" s="536"/>
      <c r="J101" s="536"/>
      <c r="K101" s="537"/>
      <c r="L101" s="538"/>
      <c r="M101" s="539"/>
      <c r="N101" s="2749"/>
      <c r="O101" s="2749"/>
      <c r="P101" s="2774"/>
      <c r="Q101" s="2736"/>
      <c r="R101" s="2722"/>
      <c r="S101" s="2722"/>
      <c r="T101" s="2722"/>
      <c r="U101" s="2722"/>
      <c r="V101" s="2722"/>
      <c r="W101" s="2722"/>
      <c r="X101" s="2722"/>
      <c r="Y101" s="2722"/>
      <c r="Z101" s="2722"/>
      <c r="AA101" s="2722"/>
      <c r="AB101" s="2722"/>
      <c r="AC101" s="2722"/>
      <c r="AD101" s="2722"/>
      <c r="AE101" s="2722"/>
    </row>
    <row r="102" spans="1:31" ht="15.75" thickBot="1">
      <c r="A102" s="483"/>
      <c r="B102" s="518"/>
      <c r="C102" s="509"/>
      <c r="D102" s="485"/>
      <c r="E102" s="485"/>
      <c r="F102" s="485"/>
      <c r="G102" s="540"/>
      <c r="H102" s="540"/>
      <c r="I102" s="540"/>
      <c r="J102" s="540"/>
      <c r="K102" s="540"/>
      <c r="L102" s="540"/>
      <c r="M102" s="541"/>
      <c r="N102" s="2750"/>
      <c r="O102" s="2750"/>
      <c r="P102" s="2774"/>
      <c r="Q102" s="2736"/>
      <c r="R102" s="2722"/>
      <c r="S102" s="2722"/>
      <c r="T102" s="2722"/>
      <c r="U102" s="2722"/>
      <c r="V102" s="2722"/>
      <c r="W102" s="2722"/>
      <c r="X102" s="2722"/>
      <c r="Y102" s="2722"/>
      <c r="Z102" s="2722"/>
      <c r="AA102" s="2722"/>
      <c r="AB102" s="2722"/>
      <c r="AC102" s="2722"/>
      <c r="AD102" s="2722"/>
      <c r="AE102" s="2722"/>
    </row>
    <row r="103" spans="1:31" ht="15" thickTop="1">
      <c r="A103" s="623"/>
      <c r="B103" s="487">
        <f>B32</f>
        <v>111</v>
      </c>
      <c r="C103" s="503"/>
      <c r="D103" s="503"/>
      <c r="E103" s="503"/>
      <c r="F103" s="503"/>
      <c r="G103" s="532"/>
      <c r="H103" s="532"/>
      <c r="I103" s="532"/>
      <c r="J103" s="532"/>
      <c r="K103" s="533"/>
      <c r="L103" s="534"/>
      <c r="M103" s="535"/>
      <c r="N103" s="2749"/>
      <c r="O103" s="2749"/>
      <c r="P103" s="2774"/>
      <c r="Q103" s="2736"/>
      <c r="R103" s="2722"/>
      <c r="S103" s="2722"/>
      <c r="T103" s="2722"/>
      <c r="U103" s="2722"/>
      <c r="V103" s="2722"/>
      <c r="W103" s="2722"/>
      <c r="X103" s="2722"/>
      <c r="Y103" s="2722"/>
      <c r="Z103" s="2722"/>
      <c r="AA103" s="2722"/>
      <c r="AB103" s="2722"/>
      <c r="AC103" s="2722"/>
      <c r="AD103" s="2722"/>
      <c r="AE103" s="2722"/>
    </row>
    <row r="104" spans="1:31" ht="15.75" thickBot="1">
      <c r="A104" s="483"/>
      <c r="B104" s="492"/>
      <c r="C104" s="509"/>
      <c r="D104" s="509"/>
      <c r="E104" s="509"/>
      <c r="F104" s="509"/>
      <c r="G104" s="485"/>
      <c r="H104" s="485"/>
      <c r="I104" s="485"/>
      <c r="J104" s="485"/>
      <c r="K104" s="485"/>
      <c r="L104" s="485"/>
      <c r="M104" s="486"/>
      <c r="N104" s="2750"/>
      <c r="O104" s="2750"/>
      <c r="P104" s="2774"/>
      <c r="Q104" s="2736"/>
      <c r="R104" s="2722"/>
      <c r="S104" s="2722"/>
      <c r="T104" s="2722"/>
      <c r="U104" s="2722"/>
      <c r="V104" s="2722"/>
      <c r="W104" s="2722"/>
      <c r="X104" s="2722"/>
      <c r="Y104" s="2722"/>
      <c r="Z104" s="2722"/>
      <c r="AA104" s="2722"/>
      <c r="AB104" s="2722"/>
      <c r="AC104" s="2722"/>
      <c r="AD104" s="2722"/>
      <c r="AE104" s="2722"/>
    </row>
    <row r="105" spans="1:31" s="422" customFormat="1" ht="15" thickTop="1">
      <c r="A105" s="542"/>
      <c r="B105" s="543">
        <f>B33</f>
        <v>111</v>
      </c>
      <c r="C105" s="472"/>
      <c r="D105" s="472"/>
      <c r="E105" s="472"/>
      <c r="F105" s="472"/>
      <c r="G105" s="544"/>
      <c r="H105" s="544"/>
      <c r="I105" s="544"/>
      <c r="J105" s="545"/>
      <c r="K105" s="545"/>
      <c r="L105" s="546"/>
      <c r="M105" s="547"/>
      <c r="N105" s="2751"/>
      <c r="O105" s="2751"/>
      <c r="P105" s="2775"/>
      <c r="Q105" s="2742"/>
      <c r="R105" s="2743"/>
      <c r="S105" s="2743"/>
      <c r="T105" s="2743"/>
      <c r="U105" s="2743"/>
      <c r="V105" s="2743"/>
      <c r="W105" s="2743"/>
      <c r="X105" s="2743"/>
      <c r="Y105" s="2743"/>
      <c r="Z105" s="2743"/>
      <c r="AA105" s="2743"/>
      <c r="AB105" s="2743"/>
      <c r="AC105" s="2743"/>
      <c r="AD105" s="2743"/>
      <c r="AE105" s="2743"/>
    </row>
    <row r="106" spans="1:31" s="422" customFormat="1" ht="15.75" thickBot="1">
      <c r="A106" s="502"/>
      <c r="B106" s="495"/>
      <c r="C106" s="519"/>
      <c r="D106" s="519"/>
      <c r="E106" s="519"/>
      <c r="F106" s="519"/>
      <c r="G106" s="625"/>
      <c r="H106" s="625"/>
      <c r="I106" s="625"/>
      <c r="J106" s="625"/>
      <c r="K106" s="625"/>
      <c r="L106" s="625"/>
      <c r="M106" s="647"/>
      <c r="N106" s="2750"/>
      <c r="O106" s="2750"/>
      <c r="P106" s="2775"/>
      <c r="Q106" s="2742"/>
      <c r="R106" s="2743"/>
      <c r="S106" s="2743"/>
      <c r="T106" s="2743"/>
      <c r="U106" s="2743"/>
      <c r="V106" s="2743"/>
      <c r="W106" s="2743"/>
      <c r="X106" s="2743"/>
      <c r="Y106" s="2743"/>
      <c r="Z106" s="2743"/>
      <c r="AA106" s="2743"/>
      <c r="AB106" s="2743"/>
      <c r="AC106" s="2743"/>
      <c r="AD106" s="2743"/>
      <c r="AE106" s="2743"/>
    </row>
    <row r="107" spans="1:31">
      <c r="A107" s="476" t="s">
        <v>1694</v>
      </c>
      <c r="B107" s="477" t="s">
        <v>1912</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1" t="str">
        <f t="shared" si="25"/>
        <v>(含)-</v>
      </c>
      <c r="L107" s="1331" t="str">
        <f t="shared" si="25"/>
        <v>(含)-</v>
      </c>
      <c r="M107" s="1332" t="str">
        <f>M108&amp;"(含)"&amp;"-"&amp;P108</f>
        <v>(含)-</v>
      </c>
      <c r="N107" s="2749"/>
      <c r="O107" s="2749"/>
      <c r="P107" s="2774"/>
      <c r="Q107" s="2736"/>
      <c r="R107" s="2722"/>
      <c r="S107" s="2722"/>
      <c r="T107" s="2722"/>
      <c r="U107" s="2722"/>
      <c r="V107" s="2722"/>
      <c r="W107" s="2722"/>
      <c r="X107" s="2722"/>
      <c r="Y107" s="2722"/>
      <c r="Z107" s="2722"/>
      <c r="AA107" s="2722"/>
      <c r="AB107" s="2722"/>
      <c r="AC107" s="2722"/>
      <c r="AD107" s="2722"/>
      <c r="AE107" s="2722"/>
    </row>
    <row r="108" spans="1:31" ht="15">
      <c r="A108" s="483"/>
      <c r="B108" s="495"/>
      <c r="C108" s="544"/>
      <c r="D108" s="544"/>
      <c r="E108" s="544"/>
      <c r="F108" s="544"/>
      <c r="G108" s="544"/>
      <c r="H108" s="544"/>
      <c r="I108" s="544"/>
      <c r="J108" s="545"/>
      <c r="K108" s="545"/>
      <c r="L108" s="546"/>
      <c r="M108" s="547"/>
      <c r="N108" s="2749"/>
      <c r="O108" s="2749"/>
      <c r="P108" s="2774"/>
      <c r="Q108" s="2736"/>
      <c r="R108" s="2722"/>
      <c r="S108" s="2722"/>
      <c r="T108" s="2722"/>
      <c r="U108" s="2722"/>
      <c r="V108" s="2722"/>
      <c r="W108" s="2722"/>
      <c r="X108" s="2722"/>
      <c r="Y108" s="2722"/>
      <c r="Z108" s="2722"/>
      <c r="AA108" s="2722"/>
      <c r="AB108" s="2722"/>
      <c r="AC108" s="2722"/>
      <c r="AD108" s="2722"/>
      <c r="AE108" s="2722"/>
    </row>
    <row r="109" spans="1:31" ht="15.75" thickBot="1">
      <c r="A109" s="483"/>
      <c r="B109" s="492"/>
      <c r="C109" s="519"/>
      <c r="D109" s="540"/>
      <c r="E109" s="540"/>
      <c r="F109" s="540"/>
      <c r="G109" s="540"/>
      <c r="H109" s="540"/>
      <c r="I109" s="540"/>
      <c r="J109" s="540"/>
      <c r="K109" s="540"/>
      <c r="L109" s="540"/>
      <c r="M109" s="541"/>
      <c r="N109" s="2750"/>
      <c r="O109" s="2750"/>
      <c r="P109" s="2774"/>
      <c r="Q109" s="2736"/>
      <c r="R109" s="2722"/>
      <c r="S109" s="2722"/>
      <c r="T109" s="2722"/>
      <c r="U109" s="2722"/>
      <c r="V109" s="2722"/>
      <c r="W109" s="2722"/>
      <c r="X109" s="2722"/>
      <c r="Y109" s="2722"/>
      <c r="Z109" s="2722"/>
      <c r="AA109" s="2722"/>
      <c r="AB109" s="2722"/>
      <c r="AC109" s="2722"/>
      <c r="AD109" s="2722"/>
      <c r="AE109" s="2722"/>
    </row>
    <row r="110" spans="1:31" ht="15" thickTop="1">
      <c r="A110" s="548"/>
      <c r="B110" s="487" t="s">
        <v>1913</v>
      </c>
      <c r="C110" s="532"/>
      <c r="D110" s="532"/>
      <c r="E110" s="532"/>
      <c r="F110" s="532"/>
      <c r="G110" s="532"/>
      <c r="H110" s="532"/>
      <c r="I110" s="532"/>
      <c r="J110" s="532"/>
      <c r="K110" s="533"/>
      <c r="L110" s="534"/>
      <c r="M110" s="535"/>
      <c r="N110" s="2749"/>
      <c r="O110" s="2749"/>
      <c r="P110" s="2774"/>
      <c r="Q110" s="2736"/>
      <c r="R110" s="2722"/>
      <c r="S110" s="2722"/>
      <c r="T110" s="2722"/>
      <c r="U110" s="2722"/>
      <c r="V110" s="2722"/>
      <c r="W110" s="2722"/>
      <c r="X110" s="2722"/>
      <c r="Y110" s="2722"/>
      <c r="Z110" s="2722"/>
      <c r="AA110" s="2722"/>
      <c r="AB110" s="2722"/>
      <c r="AC110" s="2722"/>
      <c r="AD110" s="2722"/>
      <c r="AE110" s="2722"/>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0"/>
      <c r="O111" s="2750"/>
      <c r="P111" s="2774"/>
      <c r="Q111" s="2736"/>
      <c r="R111" s="2722"/>
      <c r="S111" s="2722"/>
      <c r="T111" s="2722"/>
      <c r="U111" s="2722"/>
      <c r="V111" s="2722"/>
      <c r="W111" s="2722"/>
      <c r="X111" s="2722"/>
      <c r="Y111" s="2722"/>
      <c r="Z111" s="2722"/>
      <c r="AA111" s="2722"/>
      <c r="AB111" s="2722"/>
      <c r="AC111" s="2722"/>
      <c r="AD111" s="2722"/>
      <c r="AE111" s="2722"/>
    </row>
    <row r="112" spans="1:31" s="422" customFormat="1" ht="15" thickTop="1">
      <c r="A112" s="542"/>
      <c r="B112" s="487" t="s">
        <v>1915</v>
      </c>
      <c r="C112" s="503"/>
      <c r="D112" s="503"/>
      <c r="E112" s="503"/>
      <c r="F112" s="503"/>
      <c r="G112" s="503"/>
      <c r="H112" s="532"/>
      <c r="I112" s="532"/>
      <c r="J112" s="532"/>
      <c r="K112" s="533"/>
      <c r="L112" s="534"/>
      <c r="M112" s="535"/>
      <c r="N112" s="2751"/>
      <c r="O112" s="2751"/>
      <c r="P112" s="2775"/>
      <c r="Q112" s="2742"/>
      <c r="R112" s="2743"/>
      <c r="S112" s="2743"/>
      <c r="T112" s="2743"/>
      <c r="U112" s="2743"/>
      <c r="V112" s="2743"/>
      <c r="W112" s="2743"/>
      <c r="X112" s="2743"/>
      <c r="Y112" s="2743"/>
      <c r="Z112" s="2743"/>
      <c r="AA112" s="2743"/>
      <c r="AB112" s="2743"/>
      <c r="AC112" s="2743"/>
      <c r="AD112" s="2743"/>
      <c r="AE112" s="2743"/>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1"/>
      <c r="O113" s="2751"/>
      <c r="P113" s="2775"/>
      <c r="Q113" s="2742"/>
      <c r="R113" s="2743"/>
      <c r="S113" s="2743"/>
      <c r="T113" s="2743"/>
      <c r="U113" s="2743"/>
      <c r="V113" s="2743"/>
      <c r="W113" s="2743"/>
      <c r="X113" s="2743"/>
      <c r="Y113" s="2743"/>
      <c r="Z113" s="2743"/>
      <c r="AA113" s="2743"/>
      <c r="AB113" s="2743"/>
      <c r="AC113" s="2743"/>
      <c r="AD113" s="2743"/>
      <c r="AE113" s="2743"/>
    </row>
    <row r="114" spans="1:31" ht="15" thickTop="1">
      <c r="A114" s="548"/>
      <c r="B114" s="487" t="s">
        <v>1916</v>
      </c>
      <c r="C114" s="503"/>
      <c r="D114" s="503"/>
      <c r="E114" s="532"/>
      <c r="F114" s="532"/>
      <c r="G114" s="532"/>
      <c r="H114" s="532"/>
      <c r="I114" s="532"/>
      <c r="J114" s="532"/>
      <c r="K114" s="533"/>
      <c r="L114" s="534"/>
      <c r="M114" s="535"/>
      <c r="N114" s="2749"/>
      <c r="O114" s="2749"/>
      <c r="P114" s="2774"/>
      <c r="Q114" s="2736"/>
      <c r="R114" s="2722"/>
      <c r="S114" s="2722"/>
      <c r="T114" s="2722"/>
      <c r="U114" s="2722"/>
      <c r="V114" s="2722"/>
      <c r="W114" s="2722"/>
      <c r="X114" s="2722"/>
      <c r="Y114" s="2722"/>
      <c r="Z114" s="2722"/>
      <c r="AA114" s="2722"/>
      <c r="AB114" s="2722"/>
      <c r="AC114" s="2722"/>
      <c r="AD114" s="2722"/>
      <c r="AE114" s="2722"/>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0"/>
      <c r="O115" s="2750"/>
      <c r="P115" s="2774"/>
      <c r="Q115" s="2736"/>
      <c r="R115" s="2722"/>
      <c r="S115" s="2722"/>
      <c r="T115" s="2722"/>
      <c r="U115" s="2722"/>
      <c r="V115" s="2722"/>
      <c r="W115" s="2722"/>
      <c r="X115" s="2722"/>
      <c r="Y115" s="2722"/>
      <c r="Z115" s="2722"/>
      <c r="AA115" s="2722"/>
      <c r="AB115" s="2722"/>
      <c r="AC115" s="2722"/>
      <c r="AD115" s="2722"/>
      <c r="AE115" s="2722"/>
    </row>
    <row r="116" spans="1:31" ht="15" thickTop="1">
      <c r="A116" s="548"/>
      <c r="B116" s="487">
        <f>B38</f>
        <v>111</v>
      </c>
      <c r="C116" s="503"/>
      <c r="D116" s="503"/>
      <c r="E116" s="503"/>
      <c r="F116" s="503"/>
      <c r="G116" s="503"/>
      <c r="H116" s="532"/>
      <c r="I116" s="532"/>
      <c r="J116" s="532"/>
      <c r="K116" s="533"/>
      <c r="L116" s="534"/>
      <c r="M116" s="535"/>
      <c r="N116" s="2749"/>
      <c r="O116" s="2749"/>
      <c r="P116" s="2774"/>
      <c r="Q116" s="2736"/>
      <c r="R116" s="2722"/>
      <c r="S116" s="2722"/>
      <c r="T116" s="2722"/>
      <c r="U116" s="2722"/>
      <c r="V116" s="2722"/>
      <c r="W116" s="2722"/>
      <c r="X116" s="2722"/>
      <c r="Y116" s="2722"/>
      <c r="Z116" s="2722"/>
      <c r="AA116" s="2722"/>
      <c r="AB116" s="2722"/>
      <c r="AC116" s="2722"/>
      <c r="AD116" s="2722"/>
      <c r="AE116" s="2722"/>
    </row>
    <row r="117" spans="1:31" ht="15.75" thickBot="1">
      <c r="A117" s="483"/>
      <c r="B117" s="492"/>
      <c r="C117" s="509"/>
      <c r="D117" s="485"/>
      <c r="E117" s="485"/>
      <c r="F117" s="485"/>
      <c r="G117" s="485"/>
      <c r="H117" s="485"/>
      <c r="I117" s="485"/>
      <c r="J117" s="485"/>
      <c r="K117" s="485"/>
      <c r="L117" s="485"/>
      <c r="M117" s="486"/>
      <c r="N117" s="2750"/>
      <c r="O117" s="2750"/>
      <c r="P117" s="2774"/>
      <c r="Q117" s="2736"/>
      <c r="R117" s="2722"/>
      <c r="S117" s="2722"/>
      <c r="T117" s="2722"/>
      <c r="U117" s="2722"/>
      <c r="V117" s="2722"/>
      <c r="W117" s="2722"/>
      <c r="X117" s="2722"/>
      <c r="Y117" s="2722"/>
      <c r="Z117" s="2722"/>
      <c r="AA117" s="2722"/>
      <c r="AB117" s="2722"/>
      <c r="AC117" s="2722"/>
      <c r="AD117" s="2722"/>
      <c r="AE117" s="2722"/>
    </row>
    <row r="118" spans="1:31" ht="15" thickTop="1">
      <c r="A118" s="548"/>
      <c r="B118" s="487">
        <f>B39</f>
        <v>111</v>
      </c>
      <c r="C118" s="503"/>
      <c r="D118" s="503"/>
      <c r="E118" s="503"/>
      <c r="F118" s="503"/>
      <c r="G118" s="532"/>
      <c r="H118" s="532"/>
      <c r="I118" s="532"/>
      <c r="J118" s="532"/>
      <c r="K118" s="533"/>
      <c r="L118" s="534"/>
      <c r="M118" s="535"/>
      <c r="N118" s="2749"/>
      <c r="O118" s="2749"/>
      <c r="P118" s="2774"/>
      <c r="Q118" s="2736"/>
      <c r="R118" s="2722"/>
      <c r="S118" s="2722"/>
      <c r="T118" s="2722"/>
      <c r="U118" s="2722"/>
      <c r="V118" s="2722"/>
      <c r="W118" s="2722"/>
      <c r="X118" s="2722"/>
      <c r="Y118" s="2722"/>
      <c r="Z118" s="2722"/>
      <c r="AA118" s="2722"/>
      <c r="AB118" s="2722"/>
      <c r="AC118" s="2722"/>
      <c r="AD118" s="2722"/>
      <c r="AE118" s="2722"/>
    </row>
    <row r="119" spans="1:31" ht="15.75" thickBot="1">
      <c r="A119" s="483"/>
      <c r="B119" s="492"/>
      <c r="C119" s="509"/>
      <c r="D119" s="509"/>
      <c r="E119" s="509"/>
      <c r="F119" s="509"/>
      <c r="G119" s="485"/>
      <c r="H119" s="485"/>
      <c r="I119" s="485"/>
      <c r="J119" s="485"/>
      <c r="K119" s="485"/>
      <c r="L119" s="485"/>
      <c r="M119" s="486"/>
      <c r="N119" s="2750"/>
      <c r="O119" s="2750"/>
      <c r="P119" s="2774"/>
      <c r="Q119" s="2736"/>
      <c r="R119" s="2722"/>
      <c r="S119" s="2722"/>
      <c r="T119" s="2722"/>
      <c r="U119" s="2722"/>
      <c r="V119" s="2722"/>
      <c r="W119" s="2722"/>
      <c r="X119" s="2722"/>
      <c r="Y119" s="2722"/>
      <c r="Z119" s="2722"/>
      <c r="AA119" s="2722"/>
      <c r="AB119" s="2722"/>
      <c r="AC119" s="2722"/>
      <c r="AD119" s="2722"/>
      <c r="AE119" s="2722"/>
    </row>
    <row r="120" spans="1:31" s="422" customFormat="1" ht="15" thickTop="1">
      <c r="A120" s="542"/>
      <c r="B120" s="487">
        <f>B40</f>
        <v>111</v>
      </c>
      <c r="C120" s="472"/>
      <c r="D120" s="472"/>
      <c r="E120" s="472"/>
      <c r="F120" s="472"/>
      <c r="G120" s="504"/>
      <c r="H120" s="504"/>
      <c r="I120" s="504"/>
      <c r="J120" s="504"/>
      <c r="K120" s="504"/>
      <c r="L120" s="505"/>
      <c r="M120" s="506"/>
      <c r="N120" s="2751"/>
      <c r="O120" s="2751"/>
      <c r="P120" s="2775"/>
      <c r="Q120" s="2742"/>
      <c r="R120" s="2743"/>
      <c r="S120" s="2743"/>
      <c r="T120" s="2743"/>
      <c r="U120" s="2743"/>
      <c r="V120" s="2743"/>
      <c r="W120" s="2743"/>
      <c r="X120" s="2743"/>
      <c r="Y120" s="2743"/>
      <c r="Z120" s="2743"/>
      <c r="AA120" s="2743"/>
      <c r="AB120" s="2743"/>
      <c r="AC120" s="2743"/>
      <c r="AD120" s="2743"/>
      <c r="AE120" s="2743"/>
    </row>
    <row r="121" spans="1:31" s="422" customFormat="1" ht="15.75" thickBot="1">
      <c r="A121" s="517"/>
      <c r="B121" s="648"/>
      <c r="C121" s="519"/>
      <c r="D121" s="519"/>
      <c r="E121" s="519"/>
      <c r="F121" s="519"/>
      <c r="G121" s="540"/>
      <c r="H121" s="540"/>
      <c r="I121" s="540"/>
      <c r="J121" s="540"/>
      <c r="K121" s="540"/>
      <c r="L121" s="540"/>
      <c r="M121" s="541"/>
      <c r="N121" s="2751"/>
      <c r="O121" s="2751"/>
      <c r="P121" s="2775"/>
      <c r="Q121" s="2742"/>
      <c r="R121" s="2743"/>
      <c r="S121" s="2743"/>
      <c r="T121" s="2743"/>
      <c r="U121" s="2743"/>
      <c r="V121" s="2743"/>
      <c r="W121" s="2743"/>
      <c r="X121" s="2743"/>
      <c r="Y121" s="2743"/>
      <c r="Z121" s="2743"/>
      <c r="AA121" s="2743"/>
      <c r="AB121" s="2743"/>
      <c r="AC121" s="2743"/>
      <c r="AD121" s="2743"/>
      <c r="AE121" s="2743"/>
    </row>
    <row r="122" spans="1:31">
      <c r="N122" s="2722"/>
      <c r="O122" s="2722"/>
      <c r="P122" s="2722"/>
      <c r="Q122" s="2722"/>
      <c r="R122" s="2722"/>
      <c r="S122" s="2722"/>
      <c r="T122" s="2722"/>
      <c r="U122" s="2722"/>
      <c r="V122" s="2722"/>
      <c r="W122" s="2722"/>
      <c r="X122" s="2722"/>
      <c r="Y122" s="2722"/>
      <c r="Z122" s="2722"/>
      <c r="AA122" s="2722"/>
      <c r="AB122" s="2722"/>
      <c r="AC122" s="2722"/>
      <c r="AD122" s="2722"/>
      <c r="AE122" s="2722"/>
    </row>
    <row r="123" spans="1:31">
      <c r="P123" s="2722"/>
      <c r="Q123" s="2722"/>
      <c r="R123" s="2722"/>
      <c r="S123" s="2722"/>
      <c r="T123" s="2722"/>
      <c r="U123" s="2722"/>
      <c r="V123" s="2722"/>
      <c r="W123" s="2722"/>
      <c r="X123" s="2722"/>
      <c r="Y123" s="2722"/>
      <c r="Z123" s="2722"/>
      <c r="AA123" s="2722"/>
      <c r="AB123" s="2722"/>
      <c r="AC123" s="2722"/>
      <c r="AD123" s="2722"/>
      <c r="AE123" s="2722"/>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37" priority="18" stopIfTrue="1" operator="containsText" text="超过">
      <formula>NOT(ISERROR(SEARCH("超过",F46)))</formula>
    </cfRule>
  </conditionalFormatting>
  <conditionalFormatting sqref="J48">
    <cfRule type="containsText" dxfId="36" priority="17" stopIfTrue="1" operator="containsText" text="超过">
      <formula>NOT(ISERROR(SEARCH("超过",J48)))</formula>
    </cfRule>
  </conditionalFormatting>
  <conditionalFormatting sqref="H48">
    <cfRule type="containsText" dxfId="35" priority="16" stopIfTrue="1" operator="containsText" text="超过">
      <formula>NOT(ISERROR(SEARCH("超过",H48)))</formula>
    </cfRule>
  </conditionalFormatting>
  <conditionalFormatting sqref="F48">
    <cfRule type="containsText" dxfId="34" priority="15" stopIfTrue="1" operator="containsText" text="超过">
      <formula>NOT(ISERROR(SEARCH("超过",F48)))</formula>
    </cfRule>
  </conditionalFormatting>
  <conditionalFormatting sqref="F47 H47 J47">
    <cfRule type="containsText" dxfId="33" priority="14" stopIfTrue="1" operator="containsText" text="超过">
      <formula>NOT(ISERROR(SEARCH("超过",F47)))</formula>
    </cfRule>
  </conditionalFormatting>
  <conditionalFormatting sqref="E46">
    <cfRule type="expression" dxfId="32" priority="13" stopIfTrue="1">
      <formula>$F$46="超过30%"</formula>
    </cfRule>
  </conditionalFormatting>
  <conditionalFormatting sqref="G48">
    <cfRule type="expression" dxfId="31" priority="12" stopIfTrue="1">
      <formula>$H$48="超过30%"</formula>
    </cfRule>
  </conditionalFormatting>
  <conditionalFormatting sqref="E48">
    <cfRule type="expression" dxfId="30" priority="10" stopIfTrue="1">
      <formula>$F$48="超过30%"</formula>
    </cfRule>
  </conditionalFormatting>
  <conditionalFormatting sqref="G46">
    <cfRule type="expression" dxfId="29" priority="9" stopIfTrue="1">
      <formula>$H$46="超过30%"</formula>
    </cfRule>
  </conditionalFormatting>
  <conditionalFormatting sqref="G47">
    <cfRule type="expression" dxfId="28" priority="8" stopIfTrue="1">
      <formula>$H$47="超过20%"</formula>
    </cfRule>
  </conditionalFormatting>
  <conditionalFormatting sqref="I46">
    <cfRule type="expression" dxfId="27" priority="7" stopIfTrue="1">
      <formula>$J$46="超过30%"</formula>
    </cfRule>
  </conditionalFormatting>
  <conditionalFormatting sqref="I47">
    <cfRule type="expression" dxfId="26" priority="6" stopIfTrue="1">
      <formula>$J$47="超过20%"</formula>
    </cfRule>
  </conditionalFormatting>
  <conditionalFormatting sqref="I48">
    <cfRule type="expression" dxfId="25" priority="5" stopIfTrue="1">
      <formula>$J$48="超过30%"</formula>
    </cfRule>
  </conditionalFormatting>
  <conditionalFormatting sqref="E47">
    <cfRule type="expression" dxfId="24" priority="53" stopIfTrue="1">
      <formula>#REF!+$F$47="超过20%"</formula>
    </cfRule>
  </conditionalFormatting>
  <conditionalFormatting sqref="F42">
    <cfRule type="expression" dxfId="23" priority="4">
      <formula>$D$42="简单平均"</formula>
    </cfRule>
  </conditionalFormatting>
  <conditionalFormatting sqref="H42">
    <cfRule type="expression" dxfId="22" priority="3">
      <formula>$D$42="简单平均"</formula>
    </cfRule>
  </conditionalFormatting>
  <conditionalFormatting sqref="J42">
    <cfRule type="expression" dxfId="21" priority="2">
      <formula>$D$42="简单平均"</formula>
    </cfRule>
  </conditionalFormatting>
  <conditionalFormatting sqref="F7:F40 H7:H40 J7:J40">
    <cfRule type="cellIs" dxfId="20"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0" customWidth="1"/>
    <col min="2" max="2" width="37.25" style="1490" customWidth="1"/>
    <col min="3" max="3" width="11.375" style="1490" customWidth="1"/>
    <col min="4" max="4" width="31.75" style="1490" customWidth="1"/>
    <col min="5" max="5" width="0.5" style="1490" customWidth="1"/>
    <col min="6" max="7" width="13" style="1490" customWidth="1"/>
    <col min="8" max="16384" width="9" style="1490"/>
  </cols>
  <sheetData>
    <row r="1" spans="1:5" ht="18.75">
      <c r="A1" s="1488" t="s">
        <v>908</v>
      </c>
      <c r="B1" s="1489"/>
      <c r="C1" s="1489"/>
      <c r="D1" s="1489"/>
      <c r="E1" s="1489"/>
    </row>
    <row r="2" spans="1:5" ht="78" customHeight="1">
      <c r="A2" s="353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2"/>
      <c r="C2" s="3532"/>
      <c r="D2" s="3532"/>
      <c r="E2" s="3532"/>
    </row>
    <row r="3" spans="1:5" ht="18">
      <c r="A3" s="3533" t="str">
        <f>IF(项目基本情况!B9="房地产市场价值","估价结果一览表（市场价值不需“结果表-1”）","估价结果一览表")</f>
        <v>估价结果一览表</v>
      </c>
      <c r="B3" s="3533"/>
      <c r="C3" s="3533"/>
      <c r="D3" s="3533"/>
      <c r="E3" s="3533"/>
    </row>
    <row r="4" spans="1:5" ht="19.5" thickBot="1">
      <c r="A4" s="1491"/>
      <c r="B4" s="3531" t="s">
        <v>917</v>
      </c>
      <c r="C4" s="3531"/>
      <c r="D4" s="3531"/>
      <c r="E4" s="1491"/>
    </row>
    <row r="5" spans="1:5" ht="16.5" thickTop="1">
      <c r="A5" s="1489"/>
      <c r="B5" s="3529" t="s">
        <v>909</v>
      </c>
      <c r="C5" s="1492" t="s">
        <v>910</v>
      </c>
      <c r="D5" s="849">
        <f ca="1">结果表!H101</f>
        <v>24240</v>
      </c>
      <c r="E5" s="1489"/>
    </row>
    <row r="6" spans="1:5" ht="15.75">
      <c r="A6" s="1489"/>
      <c r="B6" s="3529"/>
      <c r="C6" s="1492" t="s">
        <v>911</v>
      </c>
      <c r="D6" s="849" t="str">
        <f ca="1">NUMBERSTRING(INT(D5*10000),2)&amp;"元整"</f>
        <v>贰亿肆仟贰佰肆拾万元整</v>
      </c>
      <c r="E6" s="1489"/>
    </row>
    <row r="7" spans="1:5" ht="15.75">
      <c r="A7" s="1489"/>
      <c r="B7" s="3534"/>
      <c r="C7" s="1493" t="s">
        <v>912</v>
      </c>
      <c r="D7" s="850">
        <f ca="1">结果表!H102</f>
        <v>12082</v>
      </c>
      <c r="E7" s="1489"/>
    </row>
    <row r="8" spans="1:5" ht="15.75">
      <c r="A8" s="1489"/>
      <c r="B8" s="3535" t="str">
        <f>结果表!E103</f>
        <v>2.估价师知悉的法定优先受偿款</v>
      </c>
      <c r="C8" s="1494" t="s">
        <v>913</v>
      </c>
      <c r="D8" s="850">
        <f>结果表!H103</f>
        <v>0</v>
      </c>
      <c r="E8" s="1489"/>
    </row>
    <row r="9" spans="1:5" ht="15.75">
      <c r="A9" s="1489"/>
      <c r="B9" s="3537"/>
      <c r="C9" s="1492" t="s">
        <v>911</v>
      </c>
      <c r="D9" s="849" t="str">
        <f>NUMBERSTRING(INT(D8*10000),2)&amp;"元整"</f>
        <v>零元整</v>
      </c>
      <c r="E9" s="1489"/>
    </row>
    <row r="10" spans="1:5" ht="15">
      <c r="A10" s="1489"/>
      <c r="B10" s="1495" t="s">
        <v>916</v>
      </c>
      <c r="C10" s="1496" t="s">
        <v>914</v>
      </c>
      <c r="D10" s="851">
        <f>结果表!H104</f>
        <v>0</v>
      </c>
      <c r="E10" s="1489"/>
    </row>
    <row r="11" spans="1:5" ht="15">
      <c r="A11" s="1489"/>
      <c r="B11" s="1495" t="s">
        <v>918</v>
      </c>
      <c r="C11" s="1496" t="s">
        <v>919</v>
      </c>
      <c r="D11" s="851">
        <f>结果表!H105</f>
        <v>0</v>
      </c>
      <c r="E11" s="1489"/>
    </row>
    <row r="12" spans="1:5" ht="15">
      <c r="A12" s="1489"/>
      <c r="B12" s="1495" t="s">
        <v>920</v>
      </c>
      <c r="C12" s="1496" t="s">
        <v>919</v>
      </c>
      <c r="D12" s="851">
        <f>结果表!H106</f>
        <v>0</v>
      </c>
      <c r="E12" s="1489"/>
    </row>
    <row r="13" spans="1:5" ht="15.75">
      <c r="A13" s="1489"/>
      <c r="B13" s="3528" t="str">
        <f>结果表!E107</f>
        <v>3.房地产抵押价值</v>
      </c>
      <c r="C13" s="1497" t="s">
        <v>910</v>
      </c>
      <c r="D13" s="852">
        <f ca="1">结果表!H107</f>
        <v>24240</v>
      </c>
      <c r="E13" s="1489"/>
    </row>
    <row r="14" spans="1:5" ht="15.75">
      <c r="A14" s="1489"/>
      <c r="B14" s="3529"/>
      <c r="C14" s="1492" t="s">
        <v>911</v>
      </c>
      <c r="D14" s="849" t="str">
        <f ca="1">NUMBERSTRING(INT(D13*10000),2)&amp;"元整"</f>
        <v>贰亿肆仟贰佰肆拾万元整</v>
      </c>
      <c r="E14" s="1489"/>
    </row>
    <row r="15" spans="1:5" ht="15">
      <c r="A15" s="1489"/>
      <c r="B15" s="3534"/>
      <c r="C15" s="1493" t="s">
        <v>921</v>
      </c>
      <c r="D15" s="858">
        <f ca="1">结果表!H108</f>
        <v>12082</v>
      </c>
      <c r="E15" s="1489"/>
    </row>
    <row r="16" spans="1:5" ht="15">
      <c r="A16" s="1489"/>
      <c r="B16" s="3535" t="str">
        <f>结果表!E109</f>
        <v>——</v>
      </c>
      <c r="C16" s="1497" t="s">
        <v>922</v>
      </c>
      <c r="D16" s="1498" t="str">
        <f>结果表!H109</f>
        <v>——</v>
      </c>
      <c r="E16" s="1489"/>
    </row>
    <row r="17" spans="1:5" ht="15.75">
      <c r="A17" s="1489"/>
      <c r="B17" s="3536"/>
      <c r="C17" s="1492" t="s">
        <v>923</v>
      </c>
      <c r="D17" s="849" t="e">
        <f>NUMBERSTRING(INT(D16*10000),2)&amp;"元整"</f>
        <v>#VALUE!</v>
      </c>
      <c r="E17" s="1489"/>
    </row>
    <row r="18" spans="1:5" ht="15">
      <c r="A18" s="1489"/>
      <c r="B18" s="3537"/>
      <c r="C18" s="1493" t="s">
        <v>912</v>
      </c>
      <c r="D18" s="858" t="str">
        <f>结果表!H110</f>
        <v>——</v>
      </c>
      <c r="E18" s="1489"/>
    </row>
    <row r="19" spans="1:5" ht="15.75">
      <c r="A19" s="1489"/>
      <c r="B19" s="3528" t="str">
        <f>结果表!E111</f>
        <v>——</v>
      </c>
      <c r="C19" s="1497" t="s">
        <v>910</v>
      </c>
      <c r="D19" s="850" t="str">
        <f>结果表!H111</f>
        <v>——</v>
      </c>
      <c r="E19" s="1489"/>
    </row>
    <row r="20" spans="1:5" ht="15.75">
      <c r="A20" s="1489"/>
      <c r="B20" s="3529"/>
      <c r="C20" s="1492" t="s">
        <v>923</v>
      </c>
      <c r="D20" s="849" t="e">
        <f>NUMBERSTRING(INT(D19*10000),2)&amp;"元整"</f>
        <v>#VALUE!</v>
      </c>
      <c r="E20" s="1489"/>
    </row>
    <row r="21" spans="1:5" ht="15.75" thickBot="1">
      <c r="A21" s="1489"/>
      <c r="B21" s="3530"/>
      <c r="C21" s="1499" t="s">
        <v>921</v>
      </c>
      <c r="D21" s="859" t="str">
        <f>结果表!H112</f>
        <v>——</v>
      </c>
      <c r="E21" s="1489"/>
    </row>
    <row r="22" spans="1:5" ht="15" thickTop="1">
      <c r="A22" s="1489"/>
      <c r="B22" s="1500" t="s">
        <v>924</v>
      </c>
      <c r="C22" s="1489"/>
      <c r="D22" s="1489"/>
      <c r="E22" s="1489"/>
    </row>
    <row r="23" spans="1:5">
      <c r="A23" s="1489"/>
      <c r="B23" s="1489"/>
      <c r="C23" s="1489"/>
      <c r="D23" s="1489"/>
      <c r="E23" s="1489"/>
    </row>
    <row r="24" spans="1:5" ht="18.75">
      <c r="A24" s="1501"/>
      <c r="B24" s="1502" t="s">
        <v>915</v>
      </c>
      <c r="C24" s="1501"/>
      <c r="D24" s="1501"/>
      <c r="E24" s="1501"/>
    </row>
    <row r="25" spans="1:5">
      <c r="A25" s="1501"/>
      <c r="B25" s="1501"/>
      <c r="C25" s="1501"/>
      <c r="D25" s="1501"/>
      <c r="E25" s="1501"/>
    </row>
    <row r="26" spans="1:5">
      <c r="A26" s="1501"/>
      <c r="B26" s="1501"/>
      <c r="C26" s="1501"/>
      <c r="D26" s="1501"/>
      <c r="E26" s="1501"/>
    </row>
    <row r="27" spans="1:5">
      <c r="A27" s="1501"/>
      <c r="B27" s="1501"/>
      <c r="C27" s="1501"/>
      <c r="D27" s="1501"/>
      <c r="E27" s="1501"/>
    </row>
    <row r="28" spans="1:5">
      <c r="A28" s="1501"/>
      <c r="B28" s="1501"/>
      <c r="C28" s="1501"/>
      <c r="D28" s="1501"/>
      <c r="E28" s="1501"/>
    </row>
    <row r="29" spans="1:5">
      <c r="A29" s="1501"/>
      <c r="B29" s="1501"/>
      <c r="C29" s="1501"/>
      <c r="D29" s="1501"/>
      <c r="E29" s="1501"/>
    </row>
    <row r="30" spans="1:5">
      <c r="A30" s="1501"/>
      <c r="B30" s="1501"/>
      <c r="C30" s="1501"/>
      <c r="D30" s="1501"/>
      <c r="E30" s="1501"/>
    </row>
    <row r="31" spans="1:5">
      <c r="A31" s="1501"/>
      <c r="B31" s="1501"/>
      <c r="C31" s="1501"/>
      <c r="D31" s="1501"/>
      <c r="E31" s="1501"/>
    </row>
    <row r="32" spans="1:5">
      <c r="A32" s="1501"/>
      <c r="B32" s="1501"/>
      <c r="C32" s="1501"/>
      <c r="D32" s="1501"/>
      <c r="E32" s="1501"/>
    </row>
    <row r="33" spans="1:5">
      <c r="A33" s="1501"/>
      <c r="B33" s="1501"/>
      <c r="C33" s="1501"/>
      <c r="D33" s="1501"/>
      <c r="E33" s="1501"/>
    </row>
    <row r="34" spans="1:5">
      <c r="A34" s="1501"/>
      <c r="B34" s="1501"/>
      <c r="C34" s="1501"/>
      <c r="D34" s="1501"/>
      <c r="E34" s="1501"/>
    </row>
    <row r="35" spans="1:5">
      <c r="A35" s="1501"/>
      <c r="B35" s="1501"/>
      <c r="C35" s="1501"/>
      <c r="D35" s="1501"/>
      <c r="E35" s="1501"/>
    </row>
    <row r="36" spans="1:5">
      <c r="A36" s="1501"/>
      <c r="B36" s="1501"/>
      <c r="C36" s="1501"/>
      <c r="D36" s="1501"/>
      <c r="E36" s="1501"/>
    </row>
    <row r="37" spans="1:5">
      <c r="A37" s="1501"/>
      <c r="B37" s="1501"/>
      <c r="C37" s="1501"/>
      <c r="D37" s="1501"/>
      <c r="E37" s="1501"/>
    </row>
    <row r="38" spans="1:5">
      <c r="A38" s="1501"/>
      <c r="B38" s="1501"/>
      <c r="C38" s="1501"/>
      <c r="D38" s="1501"/>
      <c r="E38" s="1501"/>
    </row>
    <row r="39" spans="1:5">
      <c r="A39" s="1501"/>
      <c r="B39" s="1501"/>
      <c r="C39" s="1501"/>
      <c r="D39" s="1501"/>
      <c r="E39" s="1501"/>
    </row>
    <row r="40" spans="1:5">
      <c r="A40" s="1501"/>
      <c r="B40" s="1501"/>
      <c r="C40" s="1501"/>
      <c r="D40" s="1501"/>
      <c r="E40" s="1501"/>
    </row>
    <row r="41" spans="1:5">
      <c r="A41" s="1501"/>
      <c r="B41" s="1501"/>
      <c r="C41" s="1501"/>
      <c r="D41" s="1501"/>
      <c r="E41" s="1501"/>
    </row>
    <row r="42" spans="1:5">
      <c r="A42" s="1501"/>
      <c r="B42" s="1501"/>
      <c r="C42" s="1501"/>
      <c r="D42" s="1501"/>
      <c r="E42" s="15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5" customWidth="1"/>
    <col min="2" max="2" width="12.5" style="1475" customWidth="1"/>
    <col min="3" max="3" width="12.125" style="1475" customWidth="1"/>
    <col min="4" max="4" width="14.125" style="1475" customWidth="1"/>
    <col min="5" max="5" width="12.5" style="1475" customWidth="1"/>
    <col min="6" max="16384" width="9" style="1475"/>
  </cols>
  <sheetData>
    <row r="1" spans="1:16" ht="21">
      <c r="A1" s="1865" t="s">
        <v>2080</v>
      </c>
      <c r="B1" s="2144"/>
      <c r="C1" s="2144"/>
      <c r="D1" s="2144"/>
      <c r="E1" s="2144"/>
      <c r="F1" s="2789"/>
      <c r="G1" s="2789"/>
      <c r="H1" s="2789"/>
      <c r="I1" s="2789"/>
      <c r="J1" s="2789"/>
      <c r="K1" s="2789"/>
      <c r="L1" s="2789"/>
      <c r="M1" s="2789"/>
      <c r="N1" s="2789"/>
      <c r="O1" s="2789"/>
      <c r="P1" s="2789"/>
    </row>
    <row r="2" spans="1:16" ht="15.75">
      <c r="A2" s="2142" t="s">
        <v>2072</v>
      </c>
      <c r="B2" s="2599">
        <f ca="1">SUMIF(B6:B13,"&lt;&gt;#ref!",B6:B13)</f>
        <v>5379</v>
      </c>
      <c r="C2" s="2142" t="s">
        <v>2073</v>
      </c>
      <c r="D2" s="2142" t="s">
        <v>2074</v>
      </c>
      <c r="E2" s="2609">
        <f ca="1">SUMIF(E6:E13,"&lt;&gt;#ref!",E6:E13)</f>
        <v>20062.899999999998</v>
      </c>
      <c r="F2" s="2789"/>
      <c r="G2" s="2789"/>
      <c r="H2" s="2789"/>
      <c r="I2" s="2789"/>
      <c r="J2" s="2789"/>
      <c r="K2" s="2789"/>
      <c r="L2" s="2789"/>
      <c r="M2" s="2789"/>
      <c r="N2" s="2789"/>
      <c r="O2" s="2789"/>
      <c r="P2" s="2789"/>
    </row>
    <row r="3" spans="1:16" ht="15.75">
      <c r="A3" s="2142" t="s">
        <v>2075</v>
      </c>
      <c r="B3" s="2599">
        <f ca="1">ROUND(B2*10000/E2,0)</f>
        <v>2681</v>
      </c>
      <c r="C3" s="2142" t="s">
        <v>2081</v>
      </c>
      <c r="D3" s="2789"/>
      <c r="E3" s="2789"/>
      <c r="F3" s="2789"/>
      <c r="G3" s="2789"/>
      <c r="H3" s="2789"/>
      <c r="I3" s="2789"/>
      <c r="J3" s="2789"/>
      <c r="K3" s="2789"/>
      <c r="L3" s="2789"/>
      <c r="M3" s="2789"/>
      <c r="N3" s="2789"/>
      <c r="O3" s="2789"/>
      <c r="P3" s="2789"/>
    </row>
    <row r="4" spans="1:16" ht="15.75">
      <c r="A4" s="2790"/>
      <c r="B4" s="2789"/>
      <c r="C4" s="2789"/>
      <c r="D4" s="2789"/>
      <c r="E4" s="2789"/>
      <c r="F4" s="2789"/>
      <c r="G4" s="2789"/>
      <c r="H4" s="2789"/>
      <c r="I4" s="2789"/>
      <c r="J4" s="2789"/>
      <c r="K4" s="2789"/>
      <c r="L4" s="2789"/>
      <c r="M4" s="2789"/>
      <c r="N4" s="2789"/>
      <c r="O4" s="2789"/>
      <c r="P4" s="2789"/>
    </row>
    <row r="5" spans="1:16" ht="28.5">
      <c r="A5" s="2605" t="s">
        <v>2076</v>
      </c>
      <c r="B5" s="2607" t="s">
        <v>2077</v>
      </c>
      <c r="C5" s="2143"/>
      <c r="D5" s="2789"/>
      <c r="E5" s="2608" t="s">
        <v>2078</v>
      </c>
      <c r="F5" s="2789"/>
      <c r="G5" s="2789"/>
      <c r="H5" s="2789"/>
      <c r="I5" s="2789"/>
      <c r="J5" s="2789"/>
      <c r="K5" s="2789"/>
      <c r="L5" s="2789"/>
      <c r="M5" s="2789"/>
      <c r="N5" s="2789"/>
      <c r="O5" s="2789"/>
      <c r="P5" s="2789"/>
    </row>
    <row r="6" spans="1:16" ht="15.75">
      <c r="A6" s="2606" t="s">
        <v>2079</v>
      </c>
      <c r="B6" s="2599">
        <f ca="1">SUMIF(INDIRECT("'"&amp;A6&amp;"'"&amp;"!A:A"),"总价",INDIRECT("'"&amp;A6&amp;"'"&amp;"!B:B"))</f>
        <v>5379</v>
      </c>
      <c r="C6" s="2142" t="s">
        <v>2073</v>
      </c>
      <c r="D6" s="2789"/>
      <c r="E6" s="2609">
        <f ca="1">SUMIF(INDIRECT("'"&amp;A6&amp;"'"&amp;"!C:C"),"建筑面积",INDIRECT("'"&amp;A6&amp;"'"&amp;"!D:D"))</f>
        <v>20062.899999999998</v>
      </c>
      <c r="F6" s="2789"/>
      <c r="G6" s="2789"/>
      <c r="H6" s="2789"/>
      <c r="I6" s="2789"/>
      <c r="J6" s="2789"/>
      <c r="K6" s="2789"/>
      <c r="L6" s="2789"/>
      <c r="M6" s="2789"/>
      <c r="N6" s="2789"/>
      <c r="O6" s="2789"/>
      <c r="P6" s="2789"/>
    </row>
    <row r="7" spans="1:16" ht="15.75">
      <c r="A7" s="2606"/>
      <c r="B7" s="2599" t="e">
        <f ca="1">SUMIF(INDIRECT("'"&amp;A7&amp;"'"&amp;"!A:A"),"总价",INDIRECT("'"&amp;A7&amp;"'"&amp;"!B:B"))</f>
        <v>#REF!</v>
      </c>
      <c r="C7" s="2142" t="s">
        <v>2073</v>
      </c>
      <c r="D7" s="2789"/>
      <c r="E7" s="2609" t="e">
        <f t="shared" ref="E7:E13" ca="1" si="0">SUMIF(INDIRECT("'"&amp;A7&amp;"'"&amp;"!C:C"),"建筑面积",INDIRECT("'"&amp;A7&amp;"'"&amp;"!D:D"))</f>
        <v>#REF!</v>
      </c>
      <c r="F7" s="2789"/>
      <c r="G7" s="2789"/>
      <c r="H7" s="2789"/>
      <c r="I7" s="2789"/>
      <c r="J7" s="2789"/>
      <c r="K7" s="2789"/>
      <c r="L7" s="2789"/>
      <c r="M7" s="2789"/>
      <c r="N7" s="2789"/>
      <c r="O7" s="2789"/>
      <c r="P7" s="2789"/>
    </row>
    <row r="8" spans="1:16" ht="15.75">
      <c r="A8" s="2606"/>
      <c r="B8" s="2599" t="e">
        <f t="shared" ref="B8:B13" ca="1" si="1">SUMIF(INDIRECT("'"&amp;A8&amp;"'"&amp;"!A:A"),"总价",INDIRECT("'"&amp;A8&amp;"'"&amp;"!B:B"))</f>
        <v>#REF!</v>
      </c>
      <c r="C8" s="2142" t="s">
        <v>2073</v>
      </c>
      <c r="D8" s="2789"/>
      <c r="E8" s="2609" t="e">
        <f t="shared" ca="1" si="0"/>
        <v>#REF!</v>
      </c>
      <c r="F8" s="2789"/>
      <c r="G8" s="2789"/>
      <c r="H8" s="2789"/>
      <c r="I8" s="2789"/>
      <c r="J8" s="2789"/>
      <c r="K8" s="2789"/>
      <c r="L8" s="2789"/>
      <c r="M8" s="2789"/>
      <c r="N8" s="2789"/>
      <c r="O8" s="2789"/>
      <c r="P8" s="2789"/>
    </row>
    <row r="9" spans="1:16" ht="15.75">
      <c r="A9" s="2606"/>
      <c r="B9" s="2599" t="e">
        <f t="shared" ca="1" si="1"/>
        <v>#REF!</v>
      </c>
      <c r="C9" s="2142" t="s">
        <v>2073</v>
      </c>
      <c r="D9" s="2789"/>
      <c r="E9" s="2609" t="e">
        <f t="shared" ca="1" si="0"/>
        <v>#REF!</v>
      </c>
      <c r="F9" s="2789"/>
      <c r="G9" s="2789"/>
      <c r="H9" s="2789"/>
      <c r="I9" s="2789"/>
      <c r="J9" s="2789"/>
      <c r="K9" s="2789"/>
      <c r="L9" s="2789"/>
      <c r="M9" s="2789"/>
      <c r="N9" s="2789"/>
      <c r="O9" s="2789"/>
      <c r="P9" s="2789"/>
    </row>
    <row r="10" spans="1:16" ht="15.75">
      <c r="A10" s="2606"/>
      <c r="B10" s="2599" t="e">
        <f t="shared" ca="1" si="1"/>
        <v>#REF!</v>
      </c>
      <c r="C10" s="2142" t="s">
        <v>2073</v>
      </c>
      <c r="D10" s="2789"/>
      <c r="E10" s="2609" t="e">
        <f t="shared" ca="1" si="0"/>
        <v>#REF!</v>
      </c>
      <c r="F10" s="2789"/>
      <c r="G10" s="2789"/>
      <c r="H10" s="2789"/>
      <c r="I10" s="2789"/>
      <c r="J10" s="2789"/>
      <c r="K10" s="2789"/>
      <c r="L10" s="2789"/>
      <c r="M10" s="2789"/>
      <c r="N10" s="2789"/>
      <c r="O10" s="2789"/>
      <c r="P10" s="2789"/>
    </row>
    <row r="11" spans="1:16" ht="15.75">
      <c r="A11" s="2606"/>
      <c r="B11" s="2599" t="e">
        <f t="shared" ca="1" si="1"/>
        <v>#REF!</v>
      </c>
      <c r="C11" s="2142" t="s">
        <v>2073</v>
      </c>
      <c r="D11" s="2789"/>
      <c r="E11" s="2609" t="e">
        <f t="shared" ca="1" si="0"/>
        <v>#REF!</v>
      </c>
      <c r="F11" s="2789"/>
      <c r="G11" s="2789"/>
      <c r="H11" s="2789"/>
      <c r="I11" s="2789"/>
      <c r="J11" s="2789"/>
      <c r="K11" s="2789"/>
      <c r="L11" s="2789"/>
      <c r="M11" s="2789"/>
      <c r="N11" s="2789"/>
      <c r="O11" s="2789"/>
      <c r="P11" s="2789"/>
    </row>
    <row r="12" spans="1:16" ht="15.75">
      <c r="A12" s="2606"/>
      <c r="B12" s="2599" t="e">
        <f t="shared" ca="1" si="1"/>
        <v>#REF!</v>
      </c>
      <c r="C12" s="2142" t="s">
        <v>2073</v>
      </c>
      <c r="D12" s="2789"/>
      <c r="E12" s="2609" t="e">
        <f t="shared" ca="1" si="0"/>
        <v>#REF!</v>
      </c>
      <c r="F12" s="2789"/>
      <c r="G12" s="2789"/>
      <c r="H12" s="2789"/>
      <c r="I12" s="2789"/>
      <c r="J12" s="2789"/>
      <c r="K12" s="2789"/>
      <c r="L12" s="2789"/>
      <c r="M12" s="2789"/>
      <c r="N12" s="2789"/>
      <c r="O12" s="2789"/>
      <c r="P12" s="2789"/>
    </row>
    <row r="13" spans="1:16" ht="15.75">
      <c r="A13" s="2606"/>
      <c r="B13" s="2599" t="e">
        <f t="shared" ca="1" si="1"/>
        <v>#REF!</v>
      </c>
      <c r="C13" s="2142" t="s">
        <v>2073</v>
      </c>
      <c r="D13" s="2789"/>
      <c r="E13" s="2609" t="e">
        <f t="shared" ca="1" si="0"/>
        <v>#REF!</v>
      </c>
      <c r="F13" s="2789"/>
      <c r="G13" s="2789"/>
      <c r="H13" s="2789"/>
      <c r="I13" s="2789"/>
      <c r="J13" s="2789"/>
      <c r="K13" s="2789"/>
      <c r="L13" s="2789"/>
      <c r="M13" s="2789"/>
      <c r="N13" s="2789"/>
      <c r="O13" s="2789"/>
      <c r="P13" s="2789"/>
    </row>
    <row r="14" spans="1:16">
      <c r="A14" s="2789"/>
      <c r="B14" s="2789"/>
      <c r="C14" s="2789"/>
      <c r="D14" s="2789"/>
      <c r="E14" s="2789"/>
      <c r="F14" s="2789"/>
      <c r="G14" s="2789"/>
      <c r="H14" s="2789"/>
      <c r="I14" s="2789"/>
      <c r="J14" s="2789"/>
      <c r="K14" s="2789"/>
      <c r="L14" s="2789"/>
      <c r="M14" s="2789"/>
      <c r="N14" s="2789"/>
      <c r="O14" s="2789"/>
      <c r="P14" s="2789"/>
    </row>
    <row r="15" spans="1:16">
      <c r="A15" s="2789"/>
      <c r="B15" s="2789"/>
      <c r="C15" s="2789"/>
      <c r="D15" s="2789"/>
      <c r="E15" s="2789"/>
      <c r="F15" s="2789"/>
      <c r="G15" s="2789"/>
      <c r="H15" s="2789"/>
      <c r="I15" s="2789"/>
      <c r="J15" s="2789"/>
      <c r="K15" s="2789"/>
      <c r="L15" s="2789"/>
      <c r="M15" s="2789"/>
      <c r="N15" s="2789"/>
      <c r="O15" s="2789"/>
      <c r="P15" s="2789"/>
    </row>
    <row r="16" spans="1:16">
      <c r="A16" s="2789"/>
      <c r="B16" s="2789"/>
      <c r="C16" s="2789"/>
      <c r="D16" s="2789"/>
      <c r="E16" s="2789"/>
      <c r="F16" s="2789"/>
      <c r="G16" s="2789"/>
      <c r="H16" s="2789"/>
      <c r="I16" s="2789"/>
      <c r="J16" s="2789"/>
      <c r="K16" s="2789"/>
      <c r="L16" s="2789"/>
      <c r="M16" s="2789"/>
      <c r="N16" s="2789"/>
      <c r="O16" s="2789"/>
      <c r="P16" s="2789"/>
    </row>
    <row r="17" spans="1:16">
      <c r="A17" s="2789"/>
      <c r="B17" s="2789"/>
      <c r="C17" s="2789"/>
      <c r="D17" s="2789"/>
      <c r="E17" s="2789"/>
      <c r="F17" s="2789"/>
      <c r="G17" s="2789"/>
      <c r="H17" s="2789"/>
      <c r="I17" s="2789"/>
      <c r="J17" s="2789"/>
      <c r="K17" s="2789"/>
      <c r="L17" s="2789"/>
      <c r="M17" s="2789"/>
      <c r="N17" s="2789"/>
      <c r="O17" s="2789"/>
      <c r="P17" s="2789"/>
    </row>
    <row r="18" spans="1:16">
      <c r="A18" s="2789"/>
      <c r="B18" s="2789"/>
      <c r="C18" s="2789"/>
      <c r="D18" s="2789"/>
      <c r="E18" s="2789"/>
      <c r="F18" s="2789"/>
      <c r="G18" s="2789"/>
      <c r="H18" s="2789"/>
      <c r="I18" s="2789"/>
      <c r="J18" s="2789"/>
      <c r="K18" s="2789"/>
      <c r="L18" s="2789"/>
      <c r="M18" s="2789"/>
      <c r="N18" s="2789"/>
      <c r="O18" s="2789"/>
      <c r="P18" s="2789"/>
    </row>
    <row r="19" spans="1:16">
      <c r="A19" s="2789"/>
      <c r="B19" s="2789"/>
      <c r="C19" s="2789"/>
      <c r="D19" s="2789"/>
      <c r="E19" s="2789"/>
      <c r="F19" s="2789"/>
      <c r="G19" s="2789"/>
      <c r="H19" s="2789"/>
      <c r="I19" s="2789"/>
      <c r="J19" s="2789"/>
      <c r="K19" s="2789"/>
      <c r="L19" s="2789"/>
      <c r="M19" s="2789"/>
      <c r="N19" s="2789"/>
      <c r="O19" s="2789"/>
      <c r="P19" s="2789"/>
    </row>
    <row r="20" spans="1:16">
      <c r="A20" s="2789"/>
      <c r="B20" s="2789"/>
      <c r="C20" s="2789"/>
      <c r="D20" s="2789"/>
      <c r="E20" s="2789"/>
      <c r="F20" s="2789"/>
      <c r="G20" s="2789"/>
      <c r="H20" s="2789"/>
      <c r="I20" s="2789"/>
      <c r="J20" s="2789"/>
      <c r="K20" s="2789"/>
      <c r="L20" s="2789"/>
      <c r="M20" s="2789"/>
      <c r="N20" s="2789"/>
      <c r="O20" s="2789"/>
      <c r="P20" s="2789"/>
    </row>
    <row r="21" spans="1:16">
      <c r="A21" s="2789"/>
      <c r="B21" s="2789"/>
      <c r="C21" s="2789"/>
      <c r="D21" s="2789"/>
      <c r="E21" s="2789"/>
      <c r="F21" s="2789"/>
      <c r="G21" s="2789"/>
      <c r="H21" s="2789"/>
      <c r="I21" s="2789"/>
      <c r="J21" s="2789"/>
      <c r="K21" s="2789"/>
      <c r="L21" s="2789"/>
      <c r="M21" s="2789"/>
      <c r="N21" s="2789"/>
      <c r="O21" s="2789"/>
      <c r="P21" s="2789"/>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0" customWidth="1"/>
    <col min="14" max="14" width="10" style="3070" customWidth="1"/>
    <col min="15" max="16" width="8.25" style="3070"/>
    <col min="17" max="17" width="34.125" style="3070" customWidth="1"/>
    <col min="18" max="18" width="8.25" style="3070" customWidth="1"/>
    <col min="19" max="19" width="8.25" style="3070"/>
    <col min="20" max="20" width="11.625" style="3070" customWidth="1"/>
    <col min="21" max="16384" width="8.25" style="3070"/>
  </cols>
  <sheetData>
    <row r="1" spans="1:13" ht="19.5" customHeight="1" thickBot="1">
      <c r="A1" s="3067" t="s">
        <v>2595</v>
      </c>
      <c r="B1" s="3068" t="s">
        <v>2596</v>
      </c>
      <c r="C1" s="3068" t="s">
        <v>2597</v>
      </c>
      <c r="D1" s="3068" t="s">
        <v>2598</v>
      </c>
      <c r="E1" s="3068" t="s">
        <v>2599</v>
      </c>
      <c r="F1" s="3068" t="s">
        <v>2600</v>
      </c>
      <c r="G1" s="3068" t="s">
        <v>2601</v>
      </c>
      <c r="H1" s="3068" t="s">
        <v>2602</v>
      </c>
      <c r="I1" s="3068" t="s">
        <v>2603</v>
      </c>
      <c r="J1" s="3068" t="s">
        <v>2604</v>
      </c>
      <c r="K1" s="3068" t="s">
        <v>2605</v>
      </c>
      <c r="L1" s="3068" t="s">
        <v>2606</v>
      </c>
      <c r="M1" s="3069" t="s">
        <v>2607</v>
      </c>
    </row>
    <row r="2" spans="1:13" ht="19.5" customHeight="1">
      <c r="A2" s="3071" t="s">
        <v>2608</v>
      </c>
      <c r="B2" s="3072">
        <v>3.5</v>
      </c>
      <c r="C2" s="3072">
        <v>3.5</v>
      </c>
      <c r="D2" s="3073">
        <v>2.5</v>
      </c>
      <c r="E2" s="3073">
        <v>2.5</v>
      </c>
      <c r="F2" s="3073">
        <v>2.5</v>
      </c>
      <c r="G2" s="3073">
        <v>2.5</v>
      </c>
      <c r="H2" s="3073">
        <v>2.5</v>
      </c>
      <c r="I2" s="3072">
        <v>2</v>
      </c>
      <c r="J2" s="3072">
        <v>2</v>
      </c>
      <c r="K2" s="3072">
        <v>2</v>
      </c>
      <c r="L2" s="3072">
        <v>2</v>
      </c>
      <c r="M2" s="3074">
        <v>2</v>
      </c>
    </row>
    <row r="3" spans="1:13" ht="19.5" customHeight="1">
      <c r="A3" s="3016" t="s">
        <v>2609</v>
      </c>
      <c r="B3" s="3019">
        <v>3.5</v>
      </c>
      <c r="C3" s="3019">
        <v>3.5</v>
      </c>
      <c r="D3" s="3075">
        <v>2.5</v>
      </c>
      <c r="E3" s="3075">
        <v>2.5</v>
      </c>
      <c r="F3" s="3075">
        <v>2.5</v>
      </c>
      <c r="G3" s="3075">
        <v>2.5</v>
      </c>
      <c r="H3" s="3075">
        <v>2.5</v>
      </c>
      <c r="I3" s="3019">
        <v>2</v>
      </c>
      <c r="J3" s="3019">
        <v>2</v>
      </c>
      <c r="K3" s="3019">
        <v>2</v>
      </c>
      <c r="L3" s="3019">
        <v>2</v>
      </c>
      <c r="M3" s="3023">
        <v>2</v>
      </c>
    </row>
    <row r="4" spans="1:13" ht="19.5" customHeight="1">
      <c r="A4" s="3016" t="s">
        <v>2610</v>
      </c>
      <c r="B4" s="3075">
        <v>2.5</v>
      </c>
      <c r="C4" s="3075">
        <v>2.5</v>
      </c>
      <c r="D4" s="3075">
        <v>2.5</v>
      </c>
      <c r="E4" s="3075">
        <v>2.5</v>
      </c>
      <c r="F4" s="3075">
        <v>2.5</v>
      </c>
      <c r="G4" s="3075">
        <v>2.5</v>
      </c>
      <c r="H4" s="3075">
        <v>2.5</v>
      </c>
      <c r="I4" s="3019">
        <v>1.5</v>
      </c>
      <c r="J4" s="3019">
        <v>1.5</v>
      </c>
      <c r="K4" s="3019">
        <v>1.5</v>
      </c>
      <c r="L4" s="3019">
        <v>1.5</v>
      </c>
      <c r="M4" s="3023">
        <v>1.5</v>
      </c>
    </row>
    <row r="5" spans="1:13" ht="19.5" customHeight="1">
      <c r="A5" s="3076" t="s">
        <v>2611</v>
      </c>
      <c r="B5" s="3019">
        <v>1.5</v>
      </c>
      <c r="C5" s="3019">
        <v>1.5</v>
      </c>
      <c r="D5" s="3019">
        <v>1.5</v>
      </c>
      <c r="E5" s="3019">
        <v>1.5</v>
      </c>
      <c r="F5" s="3019">
        <v>1.5</v>
      </c>
      <c r="G5" s="3019">
        <v>1.2</v>
      </c>
      <c r="H5" s="3019">
        <v>1.2</v>
      </c>
      <c r="I5" s="3019">
        <v>1</v>
      </c>
      <c r="J5" s="3019">
        <v>1</v>
      </c>
      <c r="K5" s="3019">
        <v>1</v>
      </c>
      <c r="L5" s="3019">
        <v>1</v>
      </c>
      <c r="M5" s="3023">
        <v>1</v>
      </c>
    </row>
    <row r="6" spans="1:13" ht="19.5" customHeight="1">
      <c r="A6" s="3077" t="s">
        <v>2612</v>
      </c>
      <c r="B6" s="3078">
        <v>2.5</v>
      </c>
      <c r="C6" s="3078">
        <v>2.5</v>
      </c>
      <c r="D6" s="3078">
        <v>2</v>
      </c>
      <c r="E6" s="3078">
        <v>2</v>
      </c>
      <c r="F6" s="3078">
        <v>2</v>
      </c>
      <c r="G6" s="3078">
        <v>2</v>
      </c>
      <c r="H6" s="3078">
        <v>2</v>
      </c>
      <c r="I6" s="3079">
        <v>1.5</v>
      </c>
      <c r="J6" s="3079">
        <v>1.5</v>
      </c>
      <c r="K6" s="3079">
        <v>1.5</v>
      </c>
      <c r="L6" s="3079">
        <v>1.5</v>
      </c>
      <c r="M6" s="3080">
        <v>1.5</v>
      </c>
    </row>
    <row r="7" spans="1:13" ht="19.5" customHeight="1" thickBot="1">
      <c r="A7" s="3081" t="s">
        <v>2613</v>
      </c>
      <c r="B7" s="3082">
        <v>2.5</v>
      </c>
      <c r="C7" s="3082">
        <v>2.5</v>
      </c>
      <c r="D7" s="3082">
        <v>2</v>
      </c>
      <c r="E7" s="3082">
        <v>2</v>
      </c>
      <c r="F7" s="3082">
        <v>2</v>
      </c>
      <c r="G7" s="3082">
        <v>2</v>
      </c>
      <c r="H7" s="3082">
        <v>2</v>
      </c>
      <c r="I7" s="3028">
        <v>1.5</v>
      </c>
      <c r="J7" s="3028">
        <v>1.5</v>
      </c>
      <c r="K7" s="3028">
        <v>1.5</v>
      </c>
      <c r="L7" s="3028">
        <v>1.5</v>
      </c>
      <c r="M7" s="3083">
        <v>1.5</v>
      </c>
    </row>
    <row r="8" spans="1:13" ht="19.5" customHeight="1">
      <c r="A8" s="3084" t="s">
        <v>2614</v>
      </c>
      <c r="B8" s="3085">
        <v>80</v>
      </c>
      <c r="C8" s="3085">
        <v>80</v>
      </c>
      <c r="D8" s="3085">
        <v>70</v>
      </c>
      <c r="E8" s="3085">
        <v>70</v>
      </c>
      <c r="F8" s="3085">
        <v>70</v>
      </c>
      <c r="G8" s="3085">
        <v>70</v>
      </c>
      <c r="H8" s="3085">
        <v>70</v>
      </c>
      <c r="I8" s="3085">
        <v>60</v>
      </c>
      <c r="J8" s="3085">
        <v>60</v>
      </c>
      <c r="K8" s="3085">
        <v>60</v>
      </c>
      <c r="L8" s="3085">
        <v>60</v>
      </c>
      <c r="M8" s="3086">
        <v>60</v>
      </c>
    </row>
    <row r="9" spans="1:13" ht="19.5" customHeight="1">
      <c r="A9" s="3087" t="s">
        <v>2615</v>
      </c>
      <c r="B9" s="3088">
        <v>70</v>
      </c>
      <c r="C9" s="3088">
        <v>70</v>
      </c>
      <c r="D9" s="3088">
        <v>60</v>
      </c>
      <c r="E9" s="3088">
        <v>60</v>
      </c>
      <c r="F9" s="3088">
        <v>60</v>
      </c>
      <c r="G9" s="3088">
        <v>60</v>
      </c>
      <c r="H9" s="3088">
        <v>60</v>
      </c>
      <c r="I9" s="3088">
        <v>50</v>
      </c>
      <c r="J9" s="3088">
        <v>50</v>
      </c>
      <c r="K9" s="3088">
        <v>50</v>
      </c>
      <c r="L9" s="3088">
        <v>50</v>
      </c>
      <c r="M9" s="3089">
        <v>50</v>
      </c>
    </row>
    <row r="10" spans="1:13" ht="19.5" customHeight="1">
      <c r="A10" s="3087" t="s">
        <v>2616</v>
      </c>
      <c r="B10" s="3088">
        <v>20</v>
      </c>
      <c r="C10" s="3088">
        <v>20</v>
      </c>
      <c r="D10" s="3088">
        <v>15</v>
      </c>
      <c r="E10" s="3088">
        <v>15</v>
      </c>
      <c r="F10" s="3088">
        <v>15</v>
      </c>
      <c r="G10" s="3088">
        <v>15</v>
      </c>
      <c r="H10" s="3088">
        <v>15</v>
      </c>
      <c r="I10" s="3088">
        <v>10</v>
      </c>
      <c r="J10" s="3088">
        <v>10</v>
      </c>
      <c r="K10" s="3088">
        <v>10</v>
      </c>
      <c r="L10" s="3088">
        <v>10</v>
      </c>
      <c r="M10" s="3089">
        <v>10</v>
      </c>
    </row>
    <row r="11" spans="1:13" ht="19.5" customHeight="1">
      <c r="A11" s="3087" t="s">
        <v>2617</v>
      </c>
      <c r="B11" s="3088">
        <v>30</v>
      </c>
      <c r="C11" s="3088">
        <v>30</v>
      </c>
      <c r="D11" s="3088">
        <v>25</v>
      </c>
      <c r="E11" s="3088">
        <v>25</v>
      </c>
      <c r="F11" s="3088">
        <v>25</v>
      </c>
      <c r="G11" s="3088">
        <v>25</v>
      </c>
      <c r="H11" s="3088">
        <v>25</v>
      </c>
      <c r="I11" s="3088">
        <v>20</v>
      </c>
      <c r="J11" s="3088">
        <v>20</v>
      </c>
      <c r="K11" s="3088">
        <v>20</v>
      </c>
      <c r="L11" s="3088">
        <v>20</v>
      </c>
      <c r="M11" s="3089">
        <v>20</v>
      </c>
    </row>
    <row r="12" spans="1:13" ht="19.5" customHeight="1">
      <c r="A12" s="3087" t="s">
        <v>2618</v>
      </c>
      <c r="B12" s="3088">
        <v>45</v>
      </c>
      <c r="C12" s="3088">
        <v>45</v>
      </c>
      <c r="D12" s="3088">
        <v>40</v>
      </c>
      <c r="E12" s="3088">
        <v>40</v>
      </c>
      <c r="F12" s="3088">
        <v>40</v>
      </c>
      <c r="G12" s="3088">
        <v>40</v>
      </c>
      <c r="H12" s="3088">
        <v>40</v>
      </c>
      <c r="I12" s="3088">
        <v>35</v>
      </c>
      <c r="J12" s="3088">
        <v>35</v>
      </c>
      <c r="K12" s="3088">
        <v>35</v>
      </c>
      <c r="L12" s="3088">
        <v>35</v>
      </c>
      <c r="M12" s="3089">
        <v>35</v>
      </c>
    </row>
    <row r="13" spans="1:13" ht="19.5" customHeight="1">
      <c r="A13" s="3087" t="s">
        <v>2619</v>
      </c>
      <c r="B13" s="3088">
        <v>60</v>
      </c>
      <c r="C13" s="3088">
        <v>60</v>
      </c>
      <c r="D13" s="3088">
        <v>50</v>
      </c>
      <c r="E13" s="3088">
        <v>50</v>
      </c>
      <c r="F13" s="3088">
        <v>50</v>
      </c>
      <c r="G13" s="3088">
        <v>50</v>
      </c>
      <c r="H13" s="3088">
        <v>50</v>
      </c>
      <c r="I13" s="3088">
        <v>40</v>
      </c>
      <c r="J13" s="3088">
        <v>40</v>
      </c>
      <c r="K13" s="3088">
        <v>40</v>
      </c>
      <c r="L13" s="3088">
        <v>40</v>
      </c>
      <c r="M13" s="3089">
        <v>40</v>
      </c>
    </row>
    <row r="14" spans="1:13" ht="19.5" customHeight="1">
      <c r="A14" s="3087" t="s">
        <v>2620</v>
      </c>
      <c r="B14" s="3088">
        <v>50</v>
      </c>
      <c r="C14" s="3088">
        <v>50</v>
      </c>
      <c r="D14" s="3088">
        <v>40</v>
      </c>
      <c r="E14" s="3088">
        <v>40</v>
      </c>
      <c r="F14" s="3088">
        <v>40</v>
      </c>
      <c r="G14" s="3088">
        <v>40</v>
      </c>
      <c r="H14" s="3088">
        <v>40</v>
      </c>
      <c r="I14" s="3088">
        <v>30</v>
      </c>
      <c r="J14" s="3088">
        <v>30</v>
      </c>
      <c r="K14" s="3088">
        <v>30</v>
      </c>
      <c r="L14" s="3088">
        <v>30</v>
      </c>
      <c r="M14" s="3089">
        <v>30</v>
      </c>
    </row>
    <row r="15" spans="1:13" ht="19.5" customHeight="1">
      <c r="A15" s="3090" t="s">
        <v>2621</v>
      </c>
      <c r="B15" s="3091">
        <v>20</v>
      </c>
      <c r="C15" s="3091">
        <v>20</v>
      </c>
      <c r="D15" s="3091">
        <v>15</v>
      </c>
      <c r="E15" s="3091">
        <v>15</v>
      </c>
      <c r="F15" s="3091">
        <v>15</v>
      </c>
      <c r="G15" s="3091">
        <v>15</v>
      </c>
      <c r="H15" s="3091">
        <v>15</v>
      </c>
      <c r="I15" s="3091">
        <v>10</v>
      </c>
      <c r="J15" s="3091">
        <v>10</v>
      </c>
      <c r="K15" s="3091">
        <v>10</v>
      </c>
      <c r="L15" s="3091">
        <v>10</v>
      </c>
      <c r="M15" s="3092">
        <v>10</v>
      </c>
    </row>
    <row r="16" spans="1:13" ht="19.5" customHeight="1">
      <c r="A16" s="3088" t="s">
        <v>2622</v>
      </c>
      <c r="B16" s="3019">
        <v>0</v>
      </c>
      <c r="C16" s="3019">
        <v>0</v>
      </c>
      <c r="D16" s="3019">
        <v>0</v>
      </c>
      <c r="E16" s="3019">
        <v>0</v>
      </c>
      <c r="F16" s="3019">
        <v>0</v>
      </c>
      <c r="G16" s="3019">
        <v>0</v>
      </c>
      <c r="H16" s="3019">
        <v>0</v>
      </c>
      <c r="I16" s="3019">
        <v>0</v>
      </c>
      <c r="J16" s="3019">
        <v>0</v>
      </c>
      <c r="K16" s="3019">
        <v>0</v>
      </c>
      <c r="L16" s="3019">
        <v>0</v>
      </c>
      <c r="M16" s="3019">
        <v>0</v>
      </c>
    </row>
    <row r="17" spans="1:13" ht="19.5" customHeight="1">
      <c r="A17" s="3088" t="s">
        <v>2623</v>
      </c>
      <c r="B17" s="3019">
        <f>SUM(B8:B15)</f>
        <v>375</v>
      </c>
      <c r="C17" s="3019">
        <f t="shared" ref="C17:H17" si="0">SUM(C8:C15)</f>
        <v>375</v>
      </c>
      <c r="D17" s="3019">
        <f t="shared" si="0"/>
        <v>315</v>
      </c>
      <c r="E17" s="3019">
        <f t="shared" si="0"/>
        <v>315</v>
      </c>
      <c r="F17" s="3019">
        <f t="shared" si="0"/>
        <v>315</v>
      </c>
      <c r="G17" s="3019">
        <f t="shared" si="0"/>
        <v>315</v>
      </c>
      <c r="H17" s="3019">
        <f t="shared" si="0"/>
        <v>315</v>
      </c>
      <c r="I17" s="3019">
        <f>SUM(I8:I15)-I13-I14</f>
        <v>185</v>
      </c>
      <c r="J17" s="3019">
        <f t="shared" ref="J17:M17" si="1">SUM(J8:J15)-J13-J14</f>
        <v>185</v>
      </c>
      <c r="K17" s="3019">
        <f t="shared" si="1"/>
        <v>185</v>
      </c>
      <c r="L17" s="3019">
        <f t="shared" si="1"/>
        <v>185</v>
      </c>
      <c r="M17" s="3019">
        <f t="shared" si="1"/>
        <v>185</v>
      </c>
    </row>
    <row r="18" spans="1:13" s="3095" customFormat="1" ht="19.5" customHeight="1">
      <c r="A18" s="3093" t="s">
        <v>2624</v>
      </c>
      <c r="B18" s="3093"/>
      <c r="C18" s="3094"/>
      <c r="D18" s="3094"/>
      <c r="E18" s="3093"/>
      <c r="F18" s="3094"/>
      <c r="G18" s="3094"/>
    </row>
    <row r="19" spans="1:13" ht="19.5" customHeight="1" thickBot="1">
      <c r="A19" s="3091" t="s">
        <v>2625</v>
      </c>
      <c r="B19" s="3096" t="s">
        <v>2626</v>
      </c>
      <c r="C19" s="3096" t="s">
        <v>2627</v>
      </c>
      <c r="D19" s="3097"/>
      <c r="E19" s="3091" t="s">
        <v>2628</v>
      </c>
      <c r="F19" s="3098"/>
      <c r="G19" s="3098"/>
    </row>
    <row r="20" spans="1:13" ht="19.5" customHeight="1">
      <c r="A20" s="3828" t="s">
        <v>2608</v>
      </c>
      <c r="B20" s="3821" t="s">
        <v>2629</v>
      </c>
      <c r="C20" s="3099" t="s">
        <v>2440</v>
      </c>
      <c r="D20" s="3100"/>
      <c r="E20" s="3101">
        <v>1</v>
      </c>
      <c r="F20" s="3102" t="s">
        <v>2441</v>
      </c>
      <c r="G20" s="3102"/>
    </row>
    <row r="21" spans="1:13" ht="19.5" customHeight="1">
      <c r="A21" s="3829"/>
      <c r="B21" s="3822"/>
      <c r="C21" s="3103" t="s">
        <v>2442</v>
      </c>
      <c r="D21" s="3104"/>
      <c r="E21" s="3105">
        <v>1</v>
      </c>
      <c r="F21" s="3102" t="s">
        <v>2443</v>
      </c>
      <c r="G21" s="3102"/>
    </row>
    <row r="22" spans="1:13" ht="19.5" customHeight="1">
      <c r="A22" s="3829"/>
      <c r="B22" s="3822"/>
      <c r="C22" s="3103" t="s">
        <v>2444</v>
      </c>
      <c r="D22" s="3104"/>
      <c r="E22" s="3105">
        <v>0.9</v>
      </c>
      <c r="F22" s="3102" t="s">
        <v>2445</v>
      </c>
      <c r="G22" s="3102"/>
    </row>
    <row r="23" spans="1:13" ht="19.5" customHeight="1">
      <c r="A23" s="3829"/>
      <c r="B23" s="3822"/>
      <c r="C23" s="3103" t="s">
        <v>2446</v>
      </c>
      <c r="D23" s="3104"/>
      <c r="E23" s="3105">
        <v>0.9</v>
      </c>
      <c r="F23" s="3102" t="s">
        <v>2447</v>
      </c>
      <c r="G23" s="3102"/>
    </row>
    <row r="24" spans="1:13" ht="19.5" customHeight="1">
      <c r="A24" s="3829"/>
      <c r="B24" s="3822"/>
      <c r="C24" s="3103" t="s">
        <v>2448</v>
      </c>
      <c r="D24" s="3104"/>
      <c r="E24" s="3105">
        <v>0.8</v>
      </c>
      <c r="F24" s="3102" t="s">
        <v>2449</v>
      </c>
      <c r="G24" s="3102"/>
    </row>
    <row r="25" spans="1:13" ht="19.5" customHeight="1" thickBot="1">
      <c r="A25" s="3830"/>
      <c r="B25" s="3823"/>
      <c r="C25" s="3106" t="s">
        <v>2450</v>
      </c>
      <c r="D25" s="3107"/>
      <c r="E25" s="3108">
        <v>0.8</v>
      </c>
      <c r="F25" s="3102" t="s">
        <v>2451</v>
      </c>
      <c r="G25" s="3102"/>
    </row>
    <row r="26" spans="1:13" ht="19.5" customHeight="1" thickBot="1">
      <c r="A26" s="3109" t="s">
        <v>2630</v>
      </c>
      <c r="B26" s="3110" t="s">
        <v>2629</v>
      </c>
      <c r="C26" s="3111" t="s">
        <v>2631</v>
      </c>
      <c r="D26" s="3112"/>
      <c r="E26" s="3113">
        <v>1</v>
      </c>
      <c r="F26" s="3102" t="s">
        <v>2452</v>
      </c>
      <c r="G26" s="3102"/>
    </row>
    <row r="27" spans="1:13" ht="19.5" customHeight="1">
      <c r="A27" s="3824" t="s">
        <v>2632</v>
      </c>
      <c r="B27" s="3821" t="s">
        <v>2613</v>
      </c>
      <c r="C27" s="3099" t="s">
        <v>2453</v>
      </c>
      <c r="D27" s="3100"/>
      <c r="E27" s="3101">
        <v>1</v>
      </c>
      <c r="F27" s="3102" t="s">
        <v>2454</v>
      </c>
      <c r="G27" s="3102"/>
    </row>
    <row r="28" spans="1:13" ht="19.5" customHeight="1">
      <c r="A28" s="3825"/>
      <c r="B28" s="3822"/>
      <c r="C28" s="3103" t="s">
        <v>2455</v>
      </c>
      <c r="D28" s="3104"/>
      <c r="E28" s="3105">
        <v>1</v>
      </c>
      <c r="F28" s="3102" t="s">
        <v>2456</v>
      </c>
      <c r="G28" s="3102"/>
    </row>
    <row r="29" spans="1:13" ht="19.5" customHeight="1">
      <c r="A29" s="3825"/>
      <c r="B29" s="3822"/>
      <c r="C29" s="3103" t="s">
        <v>2457</v>
      </c>
      <c r="D29" s="3104"/>
      <c r="E29" s="3105">
        <v>0.8</v>
      </c>
      <c r="F29" s="3102" t="s">
        <v>2458</v>
      </c>
      <c r="G29" s="3102"/>
    </row>
    <row r="30" spans="1:13" ht="19.5" customHeight="1">
      <c r="A30" s="3825"/>
      <c r="B30" s="3822"/>
      <c r="C30" s="3103" t="s">
        <v>2459</v>
      </c>
      <c r="D30" s="3104"/>
      <c r="E30" s="3105">
        <v>0.8</v>
      </c>
      <c r="F30" s="3102" t="s">
        <v>2460</v>
      </c>
      <c r="G30" s="3102"/>
    </row>
    <row r="31" spans="1:13" ht="19.5" customHeight="1">
      <c r="A31" s="3825"/>
      <c r="B31" s="3822"/>
      <c r="C31" s="3103" t="s">
        <v>2461</v>
      </c>
      <c r="D31" s="3104"/>
      <c r="E31" s="3105">
        <v>0.8</v>
      </c>
      <c r="F31" s="3102" t="s">
        <v>2462</v>
      </c>
      <c r="G31" s="3102"/>
    </row>
    <row r="32" spans="1:13" ht="19.5" customHeight="1">
      <c r="A32" s="3825"/>
      <c r="B32" s="3822"/>
      <c r="C32" s="3103" t="s">
        <v>2463</v>
      </c>
      <c r="D32" s="3104"/>
      <c r="E32" s="3105">
        <v>0.7</v>
      </c>
      <c r="F32" s="3102" t="s">
        <v>2464</v>
      </c>
      <c r="G32" s="3102"/>
    </row>
    <row r="33" spans="1:7" ht="19.5" customHeight="1">
      <c r="A33" s="3825"/>
      <c r="B33" s="3822"/>
      <c r="C33" s="3103" t="s">
        <v>2465</v>
      </c>
      <c r="D33" s="3104"/>
      <c r="E33" s="3105">
        <v>0.8</v>
      </c>
      <c r="F33" s="3102" t="s">
        <v>2466</v>
      </c>
      <c r="G33" s="3102"/>
    </row>
    <row r="34" spans="1:7" ht="19.5" customHeight="1">
      <c r="A34" s="3825"/>
      <c r="B34" s="3822"/>
      <c r="C34" s="3103" t="s">
        <v>2467</v>
      </c>
      <c r="D34" s="3104"/>
      <c r="E34" s="3105">
        <v>0.6</v>
      </c>
      <c r="F34" s="3102" t="s">
        <v>2468</v>
      </c>
      <c r="G34" s="3102"/>
    </row>
    <row r="35" spans="1:7" ht="19.5" customHeight="1">
      <c r="A35" s="3825"/>
      <c r="B35" s="3822"/>
      <c r="C35" s="3103" t="s">
        <v>2469</v>
      </c>
      <c r="D35" s="3104"/>
      <c r="E35" s="3105">
        <v>0.2</v>
      </c>
      <c r="F35" s="3102" t="s">
        <v>2470</v>
      </c>
      <c r="G35" s="3102"/>
    </row>
    <row r="36" spans="1:7" ht="19.5" customHeight="1">
      <c r="A36" s="3825"/>
      <c r="B36" s="3822"/>
      <c r="C36" s="3103" t="s">
        <v>2471</v>
      </c>
      <c r="D36" s="3104"/>
      <c r="E36" s="3105">
        <v>0.2</v>
      </c>
      <c r="F36" s="3102" t="s">
        <v>2472</v>
      </c>
      <c r="G36" s="3102"/>
    </row>
    <row r="37" spans="1:7" ht="19.5" customHeight="1">
      <c r="A37" s="3825"/>
      <c r="B37" s="3827" t="s">
        <v>2633</v>
      </c>
      <c r="C37" s="3103" t="s">
        <v>2473</v>
      </c>
      <c r="D37" s="3104"/>
      <c r="E37" s="3105">
        <v>0.6</v>
      </c>
      <c r="F37" s="3102" t="s">
        <v>2474</v>
      </c>
      <c r="G37" s="3102"/>
    </row>
    <row r="38" spans="1:7" ht="19.5" customHeight="1">
      <c r="A38" s="3825"/>
      <c r="B38" s="3822"/>
      <c r="C38" s="3103" t="s">
        <v>2475</v>
      </c>
      <c r="D38" s="3104"/>
      <c r="E38" s="3105">
        <v>0.6</v>
      </c>
      <c r="F38" s="3102" t="s">
        <v>2476</v>
      </c>
      <c r="G38" s="3102"/>
    </row>
    <row r="39" spans="1:7" ht="19.5" customHeight="1" thickBot="1">
      <c r="A39" s="3826"/>
      <c r="B39" s="3823"/>
      <c r="C39" s="3106" t="s">
        <v>2477</v>
      </c>
      <c r="D39" s="3107"/>
      <c r="E39" s="3108">
        <v>0.6</v>
      </c>
      <c r="F39" s="3102" t="s">
        <v>2478</v>
      </c>
      <c r="G39" s="3102"/>
    </row>
    <row r="40" spans="1:7" ht="19.5" customHeight="1" thickBot="1">
      <c r="A40" s="3109" t="s">
        <v>2610</v>
      </c>
      <c r="B40" s="3110" t="s">
        <v>2610</v>
      </c>
      <c r="C40" s="3111" t="s">
        <v>2634</v>
      </c>
      <c r="D40" s="3112"/>
      <c r="E40" s="3113">
        <v>1</v>
      </c>
      <c r="F40" s="3102" t="s">
        <v>2479</v>
      </c>
      <c r="G40" s="3102"/>
    </row>
    <row r="41" spans="1:7" ht="19.5" customHeight="1">
      <c r="A41" s="3828" t="s">
        <v>2611</v>
      </c>
      <c r="B41" s="3821" t="s">
        <v>2635</v>
      </c>
      <c r="C41" s="3099" t="s">
        <v>2480</v>
      </c>
      <c r="D41" s="3100"/>
      <c r="E41" s="3101">
        <v>1</v>
      </c>
      <c r="F41" s="3102" t="s">
        <v>2481</v>
      </c>
      <c r="G41" s="3102"/>
    </row>
    <row r="42" spans="1:7" ht="19.5" customHeight="1">
      <c r="A42" s="3829"/>
      <c r="B42" s="3822"/>
      <c r="C42" s="3103" t="s">
        <v>2482</v>
      </c>
      <c r="D42" s="3104"/>
      <c r="E42" s="3105">
        <v>1</v>
      </c>
      <c r="F42" s="3102" t="s">
        <v>2483</v>
      </c>
      <c r="G42" s="3102"/>
    </row>
    <row r="43" spans="1:7" ht="19.5" customHeight="1">
      <c r="A43" s="3829"/>
      <c r="B43" s="3831"/>
      <c r="C43" s="3103" t="s">
        <v>2484</v>
      </c>
      <c r="D43" s="3104"/>
      <c r="E43" s="3105">
        <v>1.5</v>
      </c>
      <c r="F43" s="3102" t="s">
        <v>2485</v>
      </c>
      <c r="G43" s="3102"/>
    </row>
    <row r="44" spans="1:7" ht="19.5" customHeight="1">
      <c r="A44" s="3829"/>
      <c r="B44" s="3114" t="s">
        <v>2636</v>
      </c>
      <c r="C44" s="3103" t="s">
        <v>2637</v>
      </c>
      <c r="D44" s="3104"/>
      <c r="E44" s="3105">
        <v>2</v>
      </c>
      <c r="F44" s="3102" t="s">
        <v>2486</v>
      </c>
      <c r="G44" s="3102"/>
    </row>
    <row r="45" spans="1:7" ht="19.5" customHeight="1">
      <c r="A45" s="3829"/>
      <c r="B45" s="3827" t="s">
        <v>2638</v>
      </c>
      <c r="C45" s="3103" t="s">
        <v>2487</v>
      </c>
      <c r="D45" s="3104"/>
      <c r="E45" s="3105">
        <v>1</v>
      </c>
      <c r="F45" s="3102" t="s">
        <v>2488</v>
      </c>
      <c r="G45" s="3102"/>
    </row>
    <row r="46" spans="1:7" ht="19.5" customHeight="1">
      <c r="A46" s="3829"/>
      <c r="B46" s="3822"/>
      <c r="C46" s="3103" t="s">
        <v>2489</v>
      </c>
      <c r="D46" s="3104"/>
      <c r="E46" s="3105">
        <v>1</v>
      </c>
      <c r="F46" s="3102" t="s">
        <v>2490</v>
      </c>
      <c r="G46" s="3102"/>
    </row>
    <row r="47" spans="1:7" ht="19.5" customHeight="1">
      <c r="A47" s="3829"/>
      <c r="B47" s="3822"/>
      <c r="C47" s="3103" t="s">
        <v>2491</v>
      </c>
      <c r="D47" s="3104"/>
      <c r="E47" s="3105">
        <v>1</v>
      </c>
      <c r="F47" s="3102" t="s">
        <v>2492</v>
      </c>
      <c r="G47" s="3102"/>
    </row>
    <row r="48" spans="1:7" ht="19.5" customHeight="1">
      <c r="A48" s="3829"/>
      <c r="B48" s="3822"/>
      <c r="C48" s="3103" t="s">
        <v>2493</v>
      </c>
      <c r="D48" s="3104"/>
      <c r="E48" s="3105">
        <v>1</v>
      </c>
      <c r="F48" s="3102" t="s">
        <v>2494</v>
      </c>
      <c r="G48" s="3102"/>
    </row>
    <row r="49" spans="1:7" ht="19.5" customHeight="1">
      <c r="A49" s="3829"/>
      <c r="B49" s="3822"/>
      <c r="C49" s="3103" t="s">
        <v>2495</v>
      </c>
      <c r="D49" s="3104"/>
      <c r="E49" s="3105">
        <v>1</v>
      </c>
      <c r="F49" s="3102" t="s">
        <v>2496</v>
      </c>
      <c r="G49" s="3102"/>
    </row>
    <row r="50" spans="1:7" ht="19.5" customHeight="1">
      <c r="A50" s="3829"/>
      <c r="B50" s="3822"/>
      <c r="C50" s="3103" t="s">
        <v>2497</v>
      </c>
      <c r="D50" s="3104"/>
      <c r="E50" s="3105">
        <v>1</v>
      </c>
      <c r="F50" s="3102" t="s">
        <v>2498</v>
      </c>
      <c r="G50" s="3102"/>
    </row>
    <row r="51" spans="1:7" ht="19.5" customHeight="1" thickBot="1">
      <c r="A51" s="3830"/>
      <c r="B51" s="3823"/>
      <c r="C51" s="3106" t="s">
        <v>2499</v>
      </c>
      <c r="D51" s="3107"/>
      <c r="E51" s="3108">
        <v>1</v>
      </c>
      <c r="F51" s="3102" t="s">
        <v>2500</v>
      </c>
      <c r="G51" s="3102"/>
    </row>
    <row r="52" spans="1:7" ht="19.5" customHeight="1">
      <c r="A52" s="3115"/>
      <c r="B52" s="3115"/>
      <c r="C52" s="3115"/>
      <c r="D52" s="3115"/>
      <c r="E52" s="3115"/>
      <c r="F52" s="3115"/>
      <c r="G52" s="3115"/>
    </row>
    <row r="54" spans="1:7" ht="19.5" customHeight="1">
      <c r="A54" s="3116"/>
      <c r="B54" s="3088" t="s">
        <v>2639</v>
      </c>
      <c r="C54" s="3088" t="s">
        <v>2639</v>
      </c>
      <c r="D54" s="3088" t="s">
        <v>2639</v>
      </c>
      <c r="E54" s="3091" t="s">
        <v>2639</v>
      </c>
      <c r="F54" s="3091" t="s">
        <v>2640</v>
      </c>
      <c r="G54" s="3091" t="s">
        <v>2641</v>
      </c>
    </row>
    <row r="55" spans="1:7" ht="19.5" customHeight="1">
      <c r="A55" s="3117"/>
      <c r="B55" s="3091" t="s">
        <v>2608</v>
      </c>
      <c r="C55" s="3091" t="s">
        <v>2608</v>
      </c>
      <c r="D55" s="3091" t="s">
        <v>2608</v>
      </c>
      <c r="E55" s="3088" t="s">
        <v>2609</v>
      </c>
      <c r="F55" s="3088" t="s">
        <v>2611</v>
      </c>
      <c r="G55" s="3088" t="s">
        <v>2642</v>
      </c>
    </row>
    <row r="56" spans="1:7" ht="19.5" customHeight="1">
      <c r="A56" s="3118"/>
      <c r="B56" s="3088">
        <v>1</v>
      </c>
      <c r="C56" s="3088">
        <v>2</v>
      </c>
      <c r="D56" s="3088">
        <v>3</v>
      </c>
      <c r="E56" s="3119" t="s">
        <v>2643</v>
      </c>
      <c r="F56" s="3119" t="s">
        <v>2643</v>
      </c>
      <c r="G56" s="3119" t="s">
        <v>2643</v>
      </c>
    </row>
    <row r="57" spans="1:7" ht="19.5" customHeight="1">
      <c r="A57" s="3120" t="s">
        <v>2596</v>
      </c>
      <c r="B57" s="3088">
        <v>0.7</v>
      </c>
      <c r="C57" s="3088">
        <v>0.4</v>
      </c>
      <c r="D57" s="3088">
        <v>0.3</v>
      </c>
      <c r="E57" s="3119">
        <v>0.3</v>
      </c>
      <c r="F57" s="3088">
        <v>0.3</v>
      </c>
      <c r="G57" s="3088">
        <v>0.2</v>
      </c>
    </row>
    <row r="58" spans="1:7" ht="19.5" customHeight="1">
      <c r="A58" s="3120" t="s">
        <v>2597</v>
      </c>
      <c r="B58" s="3088">
        <v>0.7</v>
      </c>
      <c r="C58" s="3088">
        <v>0.4</v>
      </c>
      <c r="D58" s="3088">
        <v>0.3</v>
      </c>
      <c r="E58" s="3088">
        <v>0.3</v>
      </c>
      <c r="F58" s="3088">
        <v>0.3</v>
      </c>
      <c r="G58" s="3088">
        <v>0.2</v>
      </c>
    </row>
    <row r="59" spans="1:7" ht="19.5" customHeight="1">
      <c r="A59" s="3120" t="s">
        <v>2598</v>
      </c>
      <c r="B59" s="3088">
        <v>0.6</v>
      </c>
      <c r="C59" s="3088">
        <v>0.3</v>
      </c>
      <c r="D59" s="3088">
        <v>0.25</v>
      </c>
      <c r="E59" s="3088">
        <v>0.25</v>
      </c>
      <c r="F59" s="3088">
        <v>0.25</v>
      </c>
      <c r="G59" s="3088">
        <v>0.15</v>
      </c>
    </row>
    <row r="60" spans="1:7" ht="19.5" customHeight="1">
      <c r="A60" s="3120" t="s">
        <v>2599</v>
      </c>
      <c r="B60" s="3088">
        <v>0.6</v>
      </c>
      <c r="C60" s="3088">
        <v>0.3</v>
      </c>
      <c r="D60" s="3088">
        <v>0.25</v>
      </c>
      <c r="E60" s="3088">
        <v>0.25</v>
      </c>
      <c r="F60" s="3088">
        <v>0.25</v>
      </c>
      <c r="G60" s="3088">
        <v>0.15</v>
      </c>
    </row>
    <row r="61" spans="1:7" ht="19.5" customHeight="1">
      <c r="A61" s="3120" t="s">
        <v>2600</v>
      </c>
      <c r="B61" s="3088">
        <v>0.6</v>
      </c>
      <c r="C61" s="3088">
        <v>0.3</v>
      </c>
      <c r="D61" s="3088">
        <v>0.25</v>
      </c>
      <c r="E61" s="3088">
        <v>0.25</v>
      </c>
      <c r="F61" s="3088">
        <v>0.25</v>
      </c>
      <c r="G61" s="3088">
        <v>0.15</v>
      </c>
    </row>
    <row r="62" spans="1:7" ht="19.5" customHeight="1">
      <c r="A62" s="3120" t="s">
        <v>2601</v>
      </c>
      <c r="B62" s="3088">
        <v>0.6</v>
      </c>
      <c r="C62" s="3088">
        <v>0.3</v>
      </c>
      <c r="D62" s="3088">
        <v>0.25</v>
      </c>
      <c r="E62" s="3088">
        <v>0.25</v>
      </c>
      <c r="F62" s="3088">
        <v>0.25</v>
      </c>
      <c r="G62" s="3088">
        <v>0.15</v>
      </c>
    </row>
    <row r="63" spans="1:7" ht="19.5" customHeight="1">
      <c r="A63" s="3120" t="s">
        <v>2602</v>
      </c>
      <c r="B63" s="3088">
        <v>0.6</v>
      </c>
      <c r="C63" s="3088">
        <v>0.3</v>
      </c>
      <c r="D63" s="3088">
        <v>0.25</v>
      </c>
      <c r="E63" s="3088">
        <v>0.25</v>
      </c>
      <c r="F63" s="3088">
        <v>0.25</v>
      </c>
      <c r="G63" s="3088">
        <v>0.15</v>
      </c>
    </row>
    <row r="64" spans="1:7" ht="19.5" customHeight="1">
      <c r="A64" s="3120" t="s">
        <v>2603</v>
      </c>
      <c r="B64" s="3088">
        <v>0.5</v>
      </c>
      <c r="C64" s="3088">
        <v>0.2</v>
      </c>
      <c r="D64" s="3088">
        <v>0.2</v>
      </c>
      <c r="E64" s="3088">
        <v>0.2</v>
      </c>
      <c r="F64" s="3088">
        <v>0.2</v>
      </c>
      <c r="G64" s="3088">
        <v>0.1</v>
      </c>
    </row>
    <row r="65" spans="1:7" ht="19.5" customHeight="1">
      <c r="A65" s="3120" t="s">
        <v>2604</v>
      </c>
      <c r="B65" s="3088">
        <v>0.5</v>
      </c>
      <c r="C65" s="3088">
        <v>0.2</v>
      </c>
      <c r="D65" s="3088">
        <v>0.2</v>
      </c>
      <c r="E65" s="3088">
        <v>0.2</v>
      </c>
      <c r="F65" s="3088">
        <v>0.2</v>
      </c>
      <c r="G65" s="3088">
        <v>0.1</v>
      </c>
    </row>
    <row r="66" spans="1:7" ht="19.5" customHeight="1">
      <c r="A66" s="3120" t="s">
        <v>2605</v>
      </c>
      <c r="B66" s="3088">
        <v>0.5</v>
      </c>
      <c r="C66" s="3088">
        <v>0.2</v>
      </c>
      <c r="D66" s="3088">
        <v>0.2</v>
      </c>
      <c r="E66" s="3088">
        <v>0.2</v>
      </c>
      <c r="F66" s="3088">
        <v>0.2</v>
      </c>
      <c r="G66" s="3088">
        <v>0.1</v>
      </c>
    </row>
    <row r="67" spans="1:7" ht="19.5" customHeight="1">
      <c r="A67" s="3120" t="s">
        <v>2606</v>
      </c>
      <c r="B67" s="3088">
        <v>0.5</v>
      </c>
      <c r="C67" s="3088">
        <v>0.2</v>
      </c>
      <c r="D67" s="3088">
        <v>0.2</v>
      </c>
      <c r="E67" s="3088">
        <v>0.2</v>
      </c>
      <c r="F67" s="3088">
        <v>0.2</v>
      </c>
      <c r="G67" s="3088">
        <v>0.1</v>
      </c>
    </row>
    <row r="68" spans="1:7" ht="19.5" customHeight="1">
      <c r="A68" s="3120" t="s">
        <v>2607</v>
      </c>
      <c r="B68" s="3088">
        <v>0.5</v>
      </c>
      <c r="C68" s="3088">
        <v>0.2</v>
      </c>
      <c r="D68" s="3088">
        <v>0.2</v>
      </c>
      <c r="E68" s="3088">
        <v>0.2</v>
      </c>
      <c r="F68" s="3088">
        <v>0.2</v>
      </c>
      <c r="G68" s="3088">
        <v>0.1</v>
      </c>
    </row>
    <row r="70" spans="1:7" ht="19.5" customHeight="1">
      <c r="A70" s="3121"/>
      <c r="B70" s="3122"/>
      <c r="C70" s="3122"/>
      <c r="D70" s="3122" t="s">
        <v>2644</v>
      </c>
      <c r="E70" s="3122"/>
      <c r="F70" s="3122"/>
    </row>
    <row r="71" spans="1:7" ht="19.5" customHeight="1">
      <c r="A71" s="3114" t="s">
        <v>2645</v>
      </c>
      <c r="B71" s="3114" t="s">
        <v>2646</v>
      </c>
      <c r="C71" s="3114" t="s">
        <v>2647</v>
      </c>
      <c r="D71" s="3114" t="s">
        <v>2648</v>
      </c>
      <c r="E71" s="3114" t="s">
        <v>2649</v>
      </c>
      <c r="F71" s="3114" t="s">
        <v>2650</v>
      </c>
    </row>
    <row r="72" spans="1:7" ht="13.5">
      <c r="A72" s="3114"/>
      <c r="B72" s="3114"/>
      <c r="C72" s="3114" t="s">
        <v>2651</v>
      </c>
      <c r="D72" s="3114"/>
      <c r="E72" s="3114" t="s">
        <v>2622</v>
      </c>
      <c r="F72" s="3114" t="s">
        <v>2622</v>
      </c>
    </row>
    <row r="73" spans="1:7" ht="13.5">
      <c r="A73" s="3114">
        <v>1</v>
      </c>
      <c r="B73" s="3827" t="s">
        <v>2652</v>
      </c>
      <c r="C73" s="3088" t="s">
        <v>2653</v>
      </c>
      <c r="D73" s="3088" t="s">
        <v>2654</v>
      </c>
      <c r="E73" s="3114">
        <v>0.2</v>
      </c>
      <c r="F73" s="3114">
        <v>25</v>
      </c>
    </row>
    <row r="74" spans="1:7" ht="24">
      <c r="A74" s="3114">
        <v>2</v>
      </c>
      <c r="B74" s="3822"/>
      <c r="C74" s="3088" t="s">
        <v>2655</v>
      </c>
      <c r="D74" s="3088" t="s">
        <v>2656</v>
      </c>
      <c r="E74" s="3114">
        <v>0.2</v>
      </c>
      <c r="F74" s="3114">
        <v>25</v>
      </c>
    </row>
    <row r="75" spans="1:7" ht="24">
      <c r="A75" s="3114">
        <v>3</v>
      </c>
      <c r="B75" s="3822"/>
      <c r="C75" s="3088" t="s">
        <v>2657</v>
      </c>
      <c r="D75" s="3088" t="s">
        <v>2658</v>
      </c>
      <c r="E75" s="3114">
        <v>0.2</v>
      </c>
      <c r="F75" s="3114">
        <v>25</v>
      </c>
    </row>
    <row r="76" spans="1:7" ht="13.5">
      <c r="A76" s="3114">
        <v>4</v>
      </c>
      <c r="B76" s="3822"/>
      <c r="C76" s="3088" t="s">
        <v>2659</v>
      </c>
      <c r="D76" s="3088" t="s">
        <v>2660</v>
      </c>
      <c r="E76" s="3114">
        <v>0.15</v>
      </c>
      <c r="F76" s="3114">
        <v>20</v>
      </c>
    </row>
    <row r="77" spans="1:7" ht="24">
      <c r="A77" s="3114">
        <v>5</v>
      </c>
      <c r="B77" s="3822"/>
      <c r="C77" s="3088" t="s">
        <v>2661</v>
      </c>
      <c r="D77" s="3088" t="s">
        <v>2662</v>
      </c>
      <c r="E77" s="3114">
        <v>0.15</v>
      </c>
      <c r="F77" s="3114">
        <v>20</v>
      </c>
    </row>
    <row r="78" spans="1:7" ht="24">
      <c r="A78" s="3114">
        <v>6</v>
      </c>
      <c r="B78" s="3822"/>
      <c r="C78" s="3088" t="s">
        <v>2663</v>
      </c>
      <c r="D78" s="3088" t="s">
        <v>2664</v>
      </c>
      <c r="E78" s="3114">
        <v>0.15</v>
      </c>
      <c r="F78" s="3114">
        <v>20</v>
      </c>
    </row>
    <row r="79" spans="1:7" ht="24">
      <c r="A79" s="3114">
        <v>7</v>
      </c>
      <c r="B79" s="3822"/>
      <c r="C79" s="3088" t="s">
        <v>2665</v>
      </c>
      <c r="D79" s="3088" t="s">
        <v>2666</v>
      </c>
      <c r="E79" s="3114">
        <v>0.15</v>
      </c>
      <c r="F79" s="3114">
        <v>20</v>
      </c>
    </row>
    <row r="80" spans="1:7" ht="24">
      <c r="A80" s="3114">
        <v>8</v>
      </c>
      <c r="B80" s="3822"/>
      <c r="C80" s="3088" t="s">
        <v>2667</v>
      </c>
      <c r="D80" s="3088" t="s">
        <v>2668</v>
      </c>
      <c r="E80" s="3114">
        <v>0.1</v>
      </c>
      <c r="F80" s="3114">
        <v>15</v>
      </c>
    </row>
    <row r="81" spans="1:6" ht="24">
      <c r="A81" s="3114">
        <v>9</v>
      </c>
      <c r="B81" s="3822"/>
      <c r="C81" s="3088" t="s">
        <v>2669</v>
      </c>
      <c r="D81" s="3088" t="s">
        <v>2670</v>
      </c>
      <c r="E81" s="3114">
        <v>0.1</v>
      </c>
      <c r="F81" s="3114">
        <v>15</v>
      </c>
    </row>
    <row r="82" spans="1:6" ht="24">
      <c r="A82" s="3114">
        <v>10</v>
      </c>
      <c r="B82" s="3822"/>
      <c r="C82" s="3088" t="s">
        <v>2671</v>
      </c>
      <c r="D82" s="3088" t="s">
        <v>2672</v>
      </c>
      <c r="E82" s="3114">
        <v>0.1</v>
      </c>
      <c r="F82" s="3114">
        <v>15</v>
      </c>
    </row>
    <row r="83" spans="1:6" ht="24">
      <c r="A83" s="3114">
        <v>11</v>
      </c>
      <c r="B83" s="3822"/>
      <c r="C83" s="3088" t="s">
        <v>2673</v>
      </c>
      <c r="D83" s="3088" t="s">
        <v>2674</v>
      </c>
      <c r="E83" s="3114">
        <v>0.1</v>
      </c>
      <c r="F83" s="3114">
        <v>15</v>
      </c>
    </row>
    <row r="84" spans="1:6" ht="24">
      <c r="A84" s="3114">
        <v>12</v>
      </c>
      <c r="B84" s="3822"/>
      <c r="C84" s="3088" t="s">
        <v>2675</v>
      </c>
      <c r="D84" s="3088" t="s">
        <v>2676</v>
      </c>
      <c r="E84" s="3114">
        <v>0.1</v>
      </c>
      <c r="F84" s="3114">
        <v>15</v>
      </c>
    </row>
    <row r="85" spans="1:6" ht="13.5">
      <c r="A85" s="3114">
        <v>13</v>
      </c>
      <c r="B85" s="3822"/>
      <c r="C85" s="3088" t="s">
        <v>2677</v>
      </c>
      <c r="D85" s="3088" t="s">
        <v>2678</v>
      </c>
      <c r="E85" s="3114">
        <v>0.1</v>
      </c>
      <c r="F85" s="3114">
        <v>15</v>
      </c>
    </row>
    <row r="86" spans="1:6" ht="13.5">
      <c r="A86" s="3114">
        <v>14</v>
      </c>
      <c r="B86" s="3822"/>
      <c r="C86" s="3088" t="s">
        <v>2679</v>
      </c>
      <c r="D86" s="3088" t="s">
        <v>2680</v>
      </c>
      <c r="E86" s="3114">
        <v>0.1</v>
      </c>
      <c r="F86" s="3114">
        <v>15</v>
      </c>
    </row>
    <row r="87" spans="1:6" ht="13.5">
      <c r="A87" s="3114">
        <v>15</v>
      </c>
      <c r="B87" s="3822"/>
      <c r="C87" s="3088" t="s">
        <v>2681</v>
      </c>
      <c r="D87" s="3088" t="s">
        <v>2682</v>
      </c>
      <c r="E87" s="3114">
        <v>0.1</v>
      </c>
      <c r="F87" s="3114">
        <v>15</v>
      </c>
    </row>
    <row r="88" spans="1:6" ht="24">
      <c r="A88" s="3114">
        <v>16</v>
      </c>
      <c r="B88" s="3822"/>
      <c r="C88" s="3088" t="s">
        <v>2683</v>
      </c>
      <c r="D88" s="3088" t="s">
        <v>2684</v>
      </c>
      <c r="E88" s="3114">
        <v>0.1</v>
      </c>
      <c r="F88" s="3114">
        <v>15</v>
      </c>
    </row>
    <row r="89" spans="1:6" ht="24">
      <c r="A89" s="3114">
        <v>17</v>
      </c>
      <c r="B89" s="3831"/>
      <c r="C89" s="3088" t="s">
        <v>2685</v>
      </c>
      <c r="D89" s="3088" t="s">
        <v>2686</v>
      </c>
      <c r="E89" s="3114">
        <v>0.1</v>
      </c>
      <c r="F89" s="3114">
        <v>15</v>
      </c>
    </row>
    <row r="90" spans="1:6" ht="13.5">
      <c r="A90" s="3114">
        <v>18</v>
      </c>
      <c r="B90" s="3827" t="s">
        <v>2687</v>
      </c>
      <c r="C90" s="3088" t="s">
        <v>2688</v>
      </c>
      <c r="D90" s="3088" t="s">
        <v>2689</v>
      </c>
      <c r="E90" s="3114">
        <v>0.2</v>
      </c>
      <c r="F90" s="3114">
        <v>25</v>
      </c>
    </row>
    <row r="91" spans="1:6" ht="24">
      <c r="A91" s="3114">
        <v>19</v>
      </c>
      <c r="B91" s="3822"/>
      <c r="C91" s="3088" t="s">
        <v>2690</v>
      </c>
      <c r="D91" s="3088" t="s">
        <v>2691</v>
      </c>
      <c r="E91" s="3114">
        <v>0.2</v>
      </c>
      <c r="F91" s="3114">
        <v>25</v>
      </c>
    </row>
    <row r="92" spans="1:6" ht="13.5">
      <c r="A92" s="3114">
        <v>20</v>
      </c>
      <c r="B92" s="3822"/>
      <c r="C92" s="3088" t="s">
        <v>2692</v>
      </c>
      <c r="D92" s="3088" t="s">
        <v>2693</v>
      </c>
      <c r="E92" s="3114">
        <v>0.15</v>
      </c>
      <c r="F92" s="3114">
        <v>20</v>
      </c>
    </row>
    <row r="93" spans="1:6" ht="13.5">
      <c r="A93" s="3114">
        <v>21</v>
      </c>
      <c r="B93" s="3822"/>
      <c r="C93" s="3088" t="s">
        <v>2694</v>
      </c>
      <c r="D93" s="3088" t="s">
        <v>2695</v>
      </c>
      <c r="E93" s="3114">
        <v>0.15</v>
      </c>
      <c r="F93" s="3114">
        <v>20</v>
      </c>
    </row>
    <row r="94" spans="1:6" ht="13.5">
      <c r="A94" s="3114">
        <v>22</v>
      </c>
      <c r="B94" s="3822"/>
      <c r="C94" s="3088" t="s">
        <v>2696</v>
      </c>
      <c r="D94" s="3088" t="s">
        <v>2697</v>
      </c>
      <c r="E94" s="3114">
        <v>0.15</v>
      </c>
      <c r="F94" s="3114">
        <v>20</v>
      </c>
    </row>
    <row r="95" spans="1:6" ht="36">
      <c r="A95" s="3114">
        <v>23</v>
      </c>
      <c r="B95" s="3822"/>
      <c r="C95" s="3088" t="s">
        <v>2698</v>
      </c>
      <c r="D95" s="3088" t="s">
        <v>2699</v>
      </c>
      <c r="E95" s="3114">
        <v>0.15</v>
      </c>
      <c r="F95" s="3114">
        <v>20</v>
      </c>
    </row>
    <row r="96" spans="1:6" ht="13.5">
      <c r="A96" s="3114">
        <v>24</v>
      </c>
      <c r="B96" s="3822"/>
      <c r="C96" s="3088" t="s">
        <v>2700</v>
      </c>
      <c r="D96" s="3088" t="s">
        <v>2701</v>
      </c>
      <c r="E96" s="3114">
        <v>0.1</v>
      </c>
      <c r="F96" s="3114">
        <v>15</v>
      </c>
    </row>
    <row r="97" spans="1:6" ht="13.5">
      <c r="A97" s="3114">
        <v>25</v>
      </c>
      <c r="B97" s="3822"/>
      <c r="C97" s="3088" t="s">
        <v>2702</v>
      </c>
      <c r="D97" s="3088" t="s">
        <v>2703</v>
      </c>
      <c r="E97" s="3114">
        <v>0.1</v>
      </c>
      <c r="F97" s="3114">
        <v>15</v>
      </c>
    </row>
    <row r="98" spans="1:6" ht="24">
      <c r="A98" s="3114">
        <v>26</v>
      </c>
      <c r="B98" s="3822"/>
      <c r="C98" s="3088" t="s">
        <v>2704</v>
      </c>
      <c r="D98" s="3088" t="s">
        <v>2705</v>
      </c>
      <c r="E98" s="3114">
        <v>0.1</v>
      </c>
      <c r="F98" s="3114">
        <v>15</v>
      </c>
    </row>
    <row r="99" spans="1:6" ht="24">
      <c r="A99" s="3114">
        <v>27</v>
      </c>
      <c r="B99" s="3822"/>
      <c r="C99" s="3088" t="s">
        <v>2706</v>
      </c>
      <c r="D99" s="3088" t="s">
        <v>2707</v>
      </c>
      <c r="E99" s="3114">
        <v>0.1</v>
      </c>
      <c r="F99" s="3114">
        <v>15</v>
      </c>
    </row>
    <row r="100" spans="1:6" ht="13.5">
      <c r="A100" s="3114">
        <v>28</v>
      </c>
      <c r="B100" s="3822"/>
      <c r="C100" s="3088" t="s">
        <v>2708</v>
      </c>
      <c r="D100" s="3088" t="s">
        <v>2709</v>
      </c>
      <c r="E100" s="3114">
        <v>0.1</v>
      </c>
      <c r="F100" s="3114">
        <v>15</v>
      </c>
    </row>
    <row r="101" spans="1:6" ht="13.5">
      <c r="A101" s="3114">
        <v>29</v>
      </c>
      <c r="B101" s="3822"/>
      <c r="C101" s="3088" t="s">
        <v>2710</v>
      </c>
      <c r="D101" s="3088" t="s">
        <v>2711</v>
      </c>
      <c r="E101" s="3114">
        <v>0.1</v>
      </c>
      <c r="F101" s="3114">
        <v>15</v>
      </c>
    </row>
    <row r="102" spans="1:6" ht="13.5">
      <c r="A102" s="3114">
        <v>30</v>
      </c>
      <c r="B102" s="3822"/>
      <c r="C102" s="3088" t="s">
        <v>2712</v>
      </c>
      <c r="D102" s="3088" t="s">
        <v>2713</v>
      </c>
      <c r="E102" s="3114">
        <v>0.1</v>
      </c>
      <c r="F102" s="3114">
        <v>15</v>
      </c>
    </row>
    <row r="103" spans="1:6" ht="24">
      <c r="A103" s="3114">
        <v>31</v>
      </c>
      <c r="B103" s="3822"/>
      <c r="C103" s="3088" t="s">
        <v>2714</v>
      </c>
      <c r="D103" s="3088" t="s">
        <v>2715</v>
      </c>
      <c r="E103" s="3114">
        <v>0.1</v>
      </c>
      <c r="F103" s="3114">
        <v>15</v>
      </c>
    </row>
    <row r="104" spans="1:6" ht="24">
      <c r="A104" s="3114">
        <v>32</v>
      </c>
      <c r="B104" s="3822"/>
      <c r="C104" s="3088" t="s">
        <v>2716</v>
      </c>
      <c r="D104" s="3088" t="s">
        <v>2717</v>
      </c>
      <c r="E104" s="3114">
        <v>0.1</v>
      </c>
      <c r="F104" s="3114">
        <v>15</v>
      </c>
    </row>
    <row r="105" spans="1:6" ht="24">
      <c r="A105" s="3114">
        <v>33</v>
      </c>
      <c r="B105" s="3822"/>
      <c r="C105" s="3088" t="s">
        <v>2718</v>
      </c>
      <c r="D105" s="3088" t="s">
        <v>2719</v>
      </c>
      <c r="E105" s="3114">
        <v>0.1</v>
      </c>
      <c r="F105" s="3114">
        <v>15</v>
      </c>
    </row>
    <row r="106" spans="1:6" ht="24">
      <c r="A106" s="3114">
        <v>34</v>
      </c>
      <c r="B106" s="3831"/>
      <c r="C106" s="3088" t="s">
        <v>2720</v>
      </c>
      <c r="D106" s="3088" t="s">
        <v>2721</v>
      </c>
      <c r="E106" s="3114">
        <v>0.1</v>
      </c>
      <c r="F106" s="3114">
        <v>15</v>
      </c>
    </row>
    <row r="107" spans="1:6" ht="24">
      <c r="A107" s="3114">
        <v>35</v>
      </c>
      <c r="B107" s="3827" t="s">
        <v>2722</v>
      </c>
      <c r="C107" s="3114" t="s">
        <v>2723</v>
      </c>
      <c r="D107" s="3088" t="s">
        <v>2724</v>
      </c>
      <c r="E107" s="3114">
        <v>0.15</v>
      </c>
      <c r="F107" s="3114">
        <v>20</v>
      </c>
    </row>
    <row r="108" spans="1:6" ht="13.5">
      <c r="A108" s="3114">
        <v>36</v>
      </c>
      <c r="B108" s="3822"/>
      <c r="C108" s="3114" t="s">
        <v>2725</v>
      </c>
      <c r="D108" s="3088" t="s">
        <v>2726</v>
      </c>
      <c r="E108" s="3114">
        <v>0.15</v>
      </c>
      <c r="F108" s="3114">
        <v>20</v>
      </c>
    </row>
    <row r="109" spans="1:6" ht="13.5">
      <c r="A109" s="3114">
        <v>37</v>
      </c>
      <c r="B109" s="3822"/>
      <c r="C109" s="3114" t="s">
        <v>2727</v>
      </c>
      <c r="D109" s="3088" t="s">
        <v>2728</v>
      </c>
      <c r="E109" s="3114">
        <v>0.15</v>
      </c>
      <c r="F109" s="3114">
        <v>20</v>
      </c>
    </row>
    <row r="110" spans="1:6" ht="13.5">
      <c r="A110" s="3114">
        <v>38</v>
      </c>
      <c r="B110" s="3822"/>
      <c r="C110" s="3114" t="s">
        <v>2729</v>
      </c>
      <c r="D110" s="3088" t="s">
        <v>2730</v>
      </c>
      <c r="E110" s="3114">
        <v>0.1</v>
      </c>
      <c r="F110" s="3114">
        <v>15</v>
      </c>
    </row>
    <row r="111" spans="1:6" ht="24">
      <c r="A111" s="3114">
        <v>39</v>
      </c>
      <c r="B111" s="3822"/>
      <c r="C111" s="3114" t="s">
        <v>2731</v>
      </c>
      <c r="D111" s="3088" t="s">
        <v>2732</v>
      </c>
      <c r="E111" s="3114">
        <v>0.1</v>
      </c>
      <c r="F111" s="3114">
        <v>15</v>
      </c>
    </row>
    <row r="112" spans="1:6" ht="24">
      <c r="A112" s="3114">
        <v>40</v>
      </c>
      <c r="B112" s="3831"/>
      <c r="C112" s="3114" t="s">
        <v>2733</v>
      </c>
      <c r="D112" s="3088" t="s">
        <v>2734</v>
      </c>
      <c r="E112" s="3114">
        <v>0.1</v>
      </c>
      <c r="F112" s="3114">
        <v>15</v>
      </c>
    </row>
    <row r="113" spans="1:6" ht="13.5">
      <c r="A113" s="3114">
        <v>41</v>
      </c>
      <c r="B113" s="3832" t="s">
        <v>2735</v>
      </c>
      <c r="C113" s="3114" t="s">
        <v>2736</v>
      </c>
      <c r="D113" s="3088" t="s">
        <v>2737</v>
      </c>
      <c r="E113" s="3114">
        <v>0.1</v>
      </c>
      <c r="F113" s="3114">
        <v>15</v>
      </c>
    </row>
    <row r="114" spans="1:6" ht="13.5">
      <c r="A114" s="3114">
        <v>42</v>
      </c>
      <c r="B114" s="3832"/>
      <c r="C114" s="3114" t="s">
        <v>2738</v>
      </c>
      <c r="D114" s="3088" t="s">
        <v>2739</v>
      </c>
      <c r="E114" s="3114">
        <v>0.1</v>
      </c>
      <c r="F114" s="3114">
        <v>15</v>
      </c>
    </row>
    <row r="115" spans="1:6" ht="24">
      <c r="A115" s="3114">
        <v>43</v>
      </c>
      <c r="B115" s="3832"/>
      <c r="C115" s="3114" t="s">
        <v>2740</v>
      </c>
      <c r="D115" s="3088" t="s">
        <v>2741</v>
      </c>
      <c r="E115" s="3114">
        <v>0.1</v>
      </c>
      <c r="F115" s="3114">
        <v>15</v>
      </c>
    </row>
    <row r="116" spans="1:6" ht="13.5">
      <c r="A116" s="3114">
        <v>44</v>
      </c>
      <c r="B116" s="3827" t="s">
        <v>2742</v>
      </c>
      <c r="C116" s="3114" t="s">
        <v>2743</v>
      </c>
      <c r="D116" s="3088" t="s">
        <v>2744</v>
      </c>
      <c r="E116" s="3114">
        <v>0.1</v>
      </c>
      <c r="F116" s="3114">
        <v>15</v>
      </c>
    </row>
    <row r="117" spans="1:6" ht="24">
      <c r="A117" s="3114">
        <v>45</v>
      </c>
      <c r="B117" s="3831"/>
      <c r="C117" s="3088" t="s">
        <v>2745</v>
      </c>
      <c r="D117" s="3088" t="s">
        <v>2746</v>
      </c>
      <c r="E117" s="3114">
        <v>0.1</v>
      </c>
      <c r="F117" s="3114">
        <v>15</v>
      </c>
    </row>
    <row r="118" spans="1:6" ht="24">
      <c r="A118" s="3114">
        <v>46</v>
      </c>
      <c r="B118" s="3827" t="s">
        <v>2747</v>
      </c>
      <c r="C118" s="3114" t="s">
        <v>2748</v>
      </c>
      <c r="D118" s="3088" t="s">
        <v>2749</v>
      </c>
      <c r="E118" s="3114">
        <v>0.1</v>
      </c>
      <c r="F118" s="3114">
        <v>15</v>
      </c>
    </row>
    <row r="119" spans="1:6" ht="24">
      <c r="A119" s="3114">
        <v>47</v>
      </c>
      <c r="B119" s="3831"/>
      <c r="C119" s="3114" t="s">
        <v>2750</v>
      </c>
      <c r="D119" s="3088" t="s">
        <v>2751</v>
      </c>
      <c r="E119" s="3114">
        <v>0.1</v>
      </c>
      <c r="F119" s="3114">
        <v>15</v>
      </c>
    </row>
    <row r="120" spans="1:6" ht="13.5">
      <c r="A120" s="3114">
        <v>48</v>
      </c>
      <c r="B120" s="3827" t="s">
        <v>2752</v>
      </c>
      <c r="C120" s="3114" t="s">
        <v>2753</v>
      </c>
      <c r="D120" s="3088" t="s">
        <v>2754</v>
      </c>
      <c r="E120" s="3114">
        <v>0.1</v>
      </c>
      <c r="F120" s="3114">
        <v>15</v>
      </c>
    </row>
    <row r="121" spans="1:6" ht="13.5">
      <c r="A121" s="3114">
        <v>49</v>
      </c>
      <c r="B121" s="3831"/>
      <c r="C121" s="3114" t="s">
        <v>2755</v>
      </c>
      <c r="D121" s="3088" t="s">
        <v>2756</v>
      </c>
      <c r="E121" s="3114">
        <v>0.1</v>
      </c>
      <c r="F121" s="3114">
        <v>15</v>
      </c>
    </row>
    <row r="122" spans="1:6" ht="24">
      <c r="A122" s="3114">
        <v>50</v>
      </c>
      <c r="B122" s="3832" t="s">
        <v>2757</v>
      </c>
      <c r="C122" s="3114" t="s">
        <v>2758</v>
      </c>
      <c r="D122" s="3088" t="s">
        <v>2759</v>
      </c>
      <c r="E122" s="3114">
        <v>0.1</v>
      </c>
      <c r="F122" s="3114">
        <v>15</v>
      </c>
    </row>
    <row r="123" spans="1:6" ht="24">
      <c r="A123" s="3114">
        <v>51</v>
      </c>
      <c r="B123" s="3832"/>
      <c r="C123" s="3114" t="s">
        <v>2760</v>
      </c>
      <c r="D123" s="3088" t="s">
        <v>2761</v>
      </c>
      <c r="E123" s="3114">
        <v>0.1</v>
      </c>
      <c r="F123" s="3114">
        <v>15</v>
      </c>
    </row>
    <row r="124" spans="1:6" ht="24">
      <c r="A124" s="3114">
        <v>52</v>
      </c>
      <c r="B124" s="3832" t="s">
        <v>2762</v>
      </c>
      <c r="C124" s="3114" t="s">
        <v>2763</v>
      </c>
      <c r="D124" s="3088" t="s">
        <v>2764</v>
      </c>
      <c r="E124" s="3114">
        <v>0.1</v>
      </c>
      <c r="F124" s="3114">
        <v>15</v>
      </c>
    </row>
    <row r="125" spans="1:6" ht="24">
      <c r="A125" s="3114">
        <v>53</v>
      </c>
      <c r="B125" s="3832"/>
      <c r="C125" s="3114" t="s">
        <v>2765</v>
      </c>
      <c r="D125" s="3088" t="s">
        <v>2766</v>
      </c>
      <c r="E125" s="3114">
        <v>0.1</v>
      </c>
      <c r="F125" s="3114">
        <v>15</v>
      </c>
    </row>
    <row r="126" spans="1:6" ht="13.5">
      <c r="A126" s="3114">
        <v>54</v>
      </c>
      <c r="B126" s="3114" t="s">
        <v>2767</v>
      </c>
      <c r="C126" s="3114" t="s">
        <v>2768</v>
      </c>
      <c r="D126" s="3088" t="s">
        <v>2769</v>
      </c>
      <c r="E126" s="3114">
        <v>0.1</v>
      </c>
      <c r="F126" s="3114">
        <v>15</v>
      </c>
    </row>
    <row r="127" spans="1:6" ht="13.5">
      <c r="A127" s="3114">
        <v>55</v>
      </c>
      <c r="B127" s="3832" t="s">
        <v>2770</v>
      </c>
      <c r="C127" s="3114" t="s">
        <v>2771</v>
      </c>
      <c r="D127" s="3088" t="s">
        <v>2772</v>
      </c>
      <c r="E127" s="3114">
        <v>0.1</v>
      </c>
      <c r="F127" s="3114">
        <v>15</v>
      </c>
    </row>
    <row r="128" spans="1:6" ht="13.5">
      <c r="A128" s="3114">
        <v>56</v>
      </c>
      <c r="B128" s="3832"/>
      <c r="C128" s="3114" t="s">
        <v>2773</v>
      </c>
      <c r="D128" s="3088" t="s">
        <v>2774</v>
      </c>
      <c r="E128" s="3114">
        <v>0.1</v>
      </c>
      <c r="F128" s="3114">
        <v>15</v>
      </c>
    </row>
    <row r="129" spans="1:6" ht="24">
      <c r="A129" s="3114">
        <v>57</v>
      </c>
      <c r="B129" s="3832"/>
      <c r="C129" s="3114" t="s">
        <v>2775</v>
      </c>
      <c r="D129" s="3088" t="s">
        <v>2776</v>
      </c>
      <c r="E129" s="3114">
        <v>0.1</v>
      </c>
      <c r="F129" s="3114">
        <v>15</v>
      </c>
    </row>
    <row r="130" spans="1:6" ht="24">
      <c r="A130" s="3114">
        <v>58</v>
      </c>
      <c r="B130" s="3832" t="s">
        <v>2777</v>
      </c>
      <c r="C130" s="3114" t="s">
        <v>2778</v>
      </c>
      <c r="D130" s="3088" t="s">
        <v>2779</v>
      </c>
      <c r="E130" s="3114">
        <v>0.1</v>
      </c>
      <c r="F130" s="3114">
        <v>15</v>
      </c>
    </row>
    <row r="131" spans="1:6" ht="13.5">
      <c r="A131" s="3114">
        <v>59</v>
      </c>
      <c r="B131" s="3832"/>
      <c r="C131" s="3114" t="s">
        <v>2780</v>
      </c>
      <c r="D131" s="3088" t="s">
        <v>2781</v>
      </c>
      <c r="E131" s="3114">
        <v>0.1</v>
      </c>
      <c r="F131" s="3114">
        <v>15</v>
      </c>
    </row>
    <row r="132" spans="1:6" ht="13.5">
      <c r="A132" s="3114">
        <v>60</v>
      </c>
      <c r="B132" s="3827" t="s">
        <v>2782</v>
      </c>
      <c r="C132" s="3114" t="s">
        <v>2783</v>
      </c>
      <c r="D132" s="3088" t="s">
        <v>2784</v>
      </c>
      <c r="E132" s="3114">
        <v>0.1</v>
      </c>
      <c r="F132" s="3114">
        <v>15</v>
      </c>
    </row>
    <row r="133" spans="1:6" ht="13.5">
      <c r="A133" s="3114">
        <v>61</v>
      </c>
      <c r="B133" s="3831"/>
      <c r="C133" s="3114" t="s">
        <v>2785</v>
      </c>
      <c r="D133" s="3088" t="s">
        <v>2786</v>
      </c>
      <c r="E133" s="3114">
        <v>0.1</v>
      </c>
      <c r="F133" s="3114">
        <v>15</v>
      </c>
    </row>
    <row r="134" spans="1:6" ht="24">
      <c r="A134" s="3114">
        <v>62</v>
      </c>
      <c r="B134" s="3114" t="s">
        <v>2787</v>
      </c>
      <c r="C134" s="3114" t="s">
        <v>2788</v>
      </c>
      <c r="D134" s="3088" t="s">
        <v>2789</v>
      </c>
      <c r="E134" s="3114">
        <v>0.1</v>
      </c>
      <c r="F134" s="3114">
        <v>15</v>
      </c>
    </row>
    <row r="135" spans="1:6" ht="13.5">
      <c r="A135" s="3114">
        <v>63</v>
      </c>
      <c r="B135" s="3832" t="s">
        <v>2790</v>
      </c>
      <c r="C135" s="3114" t="s">
        <v>2791</v>
      </c>
      <c r="D135" s="3088" t="s">
        <v>2792</v>
      </c>
      <c r="E135" s="3114">
        <v>0.1</v>
      </c>
      <c r="F135" s="3114">
        <v>15</v>
      </c>
    </row>
    <row r="136" spans="1:6" ht="13.5">
      <c r="A136" s="3114">
        <v>64</v>
      </c>
      <c r="B136" s="3832"/>
      <c r="C136" s="3114" t="s">
        <v>2793</v>
      </c>
      <c r="D136" s="3088" t="s">
        <v>2794</v>
      </c>
      <c r="E136" s="3114">
        <v>0.1</v>
      </c>
      <c r="F136" s="3114">
        <v>15</v>
      </c>
    </row>
    <row r="137" spans="1:6" ht="13.5">
      <c r="A137" s="3114">
        <v>65</v>
      </c>
      <c r="B137" s="3114" t="s">
        <v>2795</v>
      </c>
      <c r="C137" s="3114" t="s">
        <v>2796</v>
      </c>
      <c r="D137" s="3088" t="s">
        <v>2797</v>
      </c>
      <c r="E137" s="3114">
        <v>0.1</v>
      </c>
      <c r="F137" s="3114">
        <v>15</v>
      </c>
    </row>
    <row r="138" spans="1:6" ht="13.5">
      <c r="A138" s="3114"/>
      <c r="B138" s="3114"/>
      <c r="C138" s="3114"/>
      <c r="D138" s="3114"/>
      <c r="E138" s="3114" t="s">
        <v>2798</v>
      </c>
      <c r="F138" s="3114" t="s">
        <v>2798</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37"/>
    <col min="14" max="16384" width="9" style="749"/>
  </cols>
  <sheetData>
    <row r="1" spans="1:20" ht="15" thickBot="1">
      <c r="A1" s="3123" t="s">
        <v>2799</v>
      </c>
      <c r="B1" s="3123"/>
      <c r="C1" s="3123"/>
      <c r="D1" s="3123"/>
      <c r="E1" s="3123"/>
      <c r="F1" s="3123"/>
      <c r="G1" s="3123"/>
      <c r="H1" s="3123"/>
      <c r="I1" s="3123"/>
      <c r="J1" s="3123"/>
      <c r="K1" s="3123"/>
      <c r="L1" s="3123"/>
      <c r="M1" s="3123"/>
      <c r="N1" s="748"/>
    </row>
    <row r="2" spans="1:20">
      <c r="A2" s="3124" t="s">
        <v>2800</v>
      </c>
      <c r="B2" s="3125" t="s">
        <v>2596</v>
      </c>
      <c r="C2" s="3125" t="s">
        <v>2597</v>
      </c>
      <c r="D2" s="3125" t="s">
        <v>2598</v>
      </c>
      <c r="E2" s="3125" t="s">
        <v>2599</v>
      </c>
      <c r="F2" s="3125" t="s">
        <v>2600</v>
      </c>
      <c r="G2" s="3125" t="s">
        <v>2601</v>
      </c>
      <c r="H2" s="3126" t="s">
        <v>2602</v>
      </c>
      <c r="I2" s="3126" t="s">
        <v>2603</v>
      </c>
      <c r="J2" s="3127" t="s">
        <v>2604</v>
      </c>
      <c r="K2" s="3127" t="s">
        <v>2605</v>
      </c>
      <c r="L2" s="3127" t="s">
        <v>2606</v>
      </c>
      <c r="M2" s="3128" t="s">
        <v>2607</v>
      </c>
      <c r="Q2" s="3138" t="s">
        <v>2805</v>
      </c>
      <c r="R2" s="3138" t="s">
        <v>2806</v>
      </c>
      <c r="S2" s="3138" t="s">
        <v>2807</v>
      </c>
      <c r="T2" s="3138" t="s">
        <v>2808</v>
      </c>
    </row>
    <row r="3" spans="1:20">
      <c r="A3" s="3129">
        <v>1</v>
      </c>
      <c r="B3" s="3130">
        <v>1.2574000000000001</v>
      </c>
      <c r="C3" s="3130">
        <v>1.2574000000000001</v>
      </c>
      <c r="D3" s="3130">
        <v>1.2299</v>
      </c>
      <c r="E3" s="3130">
        <v>1.2299</v>
      </c>
      <c r="F3" s="3130">
        <v>1.2299</v>
      </c>
      <c r="G3" s="3130">
        <v>1.2299</v>
      </c>
      <c r="H3" s="3130">
        <v>1.2299</v>
      </c>
      <c r="I3" s="3130">
        <v>1.2333000000000001</v>
      </c>
      <c r="J3" s="3130">
        <v>1.2333000000000001</v>
      </c>
      <c r="K3" s="3130">
        <v>1.2333000000000001</v>
      </c>
      <c r="L3" s="3130">
        <v>1.2333000000000001</v>
      </c>
      <c r="M3" s="3131">
        <v>1.2333000000000001</v>
      </c>
      <c r="N3" s="750"/>
      <c r="Q3" s="3138">
        <v>10</v>
      </c>
      <c r="R3" s="3138">
        <f>ROUND(0.9968-0.011*Q3,4)</f>
        <v>0.88680000000000003</v>
      </c>
      <c r="S3" s="3138">
        <f>ROUND(0.949-0.014*Q3,4)</f>
        <v>0.80900000000000005</v>
      </c>
      <c r="T3" s="3138">
        <f>ROUND(0.8486-0.018*Q3,4)</f>
        <v>0.66859999999999997</v>
      </c>
    </row>
    <row r="4" spans="1:20">
      <c r="A4" s="3129">
        <v>1.1000000000000001</v>
      </c>
      <c r="B4" s="3130">
        <v>1.2283999999999999</v>
      </c>
      <c r="C4" s="3130">
        <v>1.2283999999999999</v>
      </c>
      <c r="D4" s="3130">
        <v>1.1984999999999999</v>
      </c>
      <c r="E4" s="3130">
        <v>1.1984999999999999</v>
      </c>
      <c r="F4" s="3130">
        <v>1.1984999999999999</v>
      </c>
      <c r="G4" s="3130">
        <v>1.1984999999999999</v>
      </c>
      <c r="H4" s="3130">
        <v>1.1984999999999999</v>
      </c>
      <c r="I4" s="3130">
        <v>1.1899</v>
      </c>
      <c r="J4" s="3130">
        <v>1.1899</v>
      </c>
      <c r="K4" s="3130">
        <v>1.1899</v>
      </c>
      <c r="L4" s="3130">
        <v>1.1899</v>
      </c>
      <c r="M4" s="3131">
        <v>1.1899</v>
      </c>
    </row>
    <row r="5" spans="1:20">
      <c r="A5" s="3129">
        <v>1.2</v>
      </c>
      <c r="B5" s="3130">
        <v>1.2031000000000001</v>
      </c>
      <c r="C5" s="3130">
        <v>1.2031000000000001</v>
      </c>
      <c r="D5" s="3130">
        <v>1.1711</v>
      </c>
      <c r="E5" s="3130">
        <v>1.1711</v>
      </c>
      <c r="F5" s="3130">
        <v>1.1711</v>
      </c>
      <c r="G5" s="3130">
        <v>1.1711</v>
      </c>
      <c r="H5" s="3130">
        <v>1.1711</v>
      </c>
      <c r="I5" s="3130">
        <v>1.1528</v>
      </c>
      <c r="J5" s="3130">
        <v>1.1528</v>
      </c>
      <c r="K5" s="3130">
        <v>1.1528</v>
      </c>
      <c r="L5" s="3130">
        <v>1.1528</v>
      </c>
      <c r="M5" s="3131">
        <v>1.1528</v>
      </c>
    </row>
    <row r="6" spans="1:20">
      <c r="A6" s="3129">
        <v>1.3</v>
      </c>
      <c r="B6" s="3130">
        <v>1.1811</v>
      </c>
      <c r="C6" s="3130">
        <v>1.1811</v>
      </c>
      <c r="D6" s="3130">
        <v>1.1472</v>
      </c>
      <c r="E6" s="3130">
        <v>1.1472</v>
      </c>
      <c r="F6" s="3130">
        <v>1.1472</v>
      </c>
      <c r="G6" s="3130">
        <v>1.1472</v>
      </c>
      <c r="H6" s="3130">
        <v>1.1472</v>
      </c>
      <c r="I6" s="3130">
        <v>1.1214</v>
      </c>
      <c r="J6" s="3130">
        <v>1.1214</v>
      </c>
      <c r="K6" s="3130">
        <v>1.1214</v>
      </c>
      <c r="L6" s="3130">
        <v>1.1214</v>
      </c>
      <c r="M6" s="3131">
        <v>1.1214</v>
      </c>
    </row>
    <row r="7" spans="1:20">
      <c r="A7" s="3129">
        <v>1.4</v>
      </c>
      <c r="B7" s="3130">
        <v>1.1619999999999999</v>
      </c>
      <c r="C7" s="3130">
        <v>1.1619999999999999</v>
      </c>
      <c r="D7" s="3130">
        <v>1.1265000000000001</v>
      </c>
      <c r="E7" s="3130">
        <v>1.1265000000000001</v>
      </c>
      <c r="F7" s="3130">
        <v>1.1265000000000001</v>
      </c>
      <c r="G7" s="3130">
        <v>1.1265000000000001</v>
      </c>
      <c r="H7" s="3130">
        <v>1.1265000000000001</v>
      </c>
      <c r="I7" s="3130">
        <v>1.0948</v>
      </c>
      <c r="J7" s="3130">
        <v>1.0948</v>
      </c>
      <c r="K7" s="3130">
        <v>1.0948</v>
      </c>
      <c r="L7" s="3130">
        <v>1.0948</v>
      </c>
      <c r="M7" s="3131">
        <v>1.0948</v>
      </c>
    </row>
    <row r="8" spans="1:20">
      <c r="A8" s="3129">
        <v>1.5</v>
      </c>
      <c r="B8" s="3130">
        <v>1.1453</v>
      </c>
      <c r="C8" s="3130">
        <v>1.1453</v>
      </c>
      <c r="D8" s="3130">
        <v>1.1084000000000001</v>
      </c>
      <c r="E8" s="3130">
        <v>1.1084000000000001</v>
      </c>
      <c r="F8" s="3130">
        <v>1.1084000000000001</v>
      </c>
      <c r="G8" s="3130">
        <v>1.1084000000000001</v>
      </c>
      <c r="H8" s="3130">
        <v>1.1084000000000001</v>
      </c>
      <c r="I8" s="3130">
        <v>1.0725</v>
      </c>
      <c r="J8" s="3130">
        <v>1.0725</v>
      </c>
      <c r="K8" s="3130">
        <v>1.0725</v>
      </c>
      <c r="L8" s="3130">
        <v>1.0725</v>
      </c>
      <c r="M8" s="3131">
        <v>1.0725</v>
      </c>
    </row>
    <row r="9" spans="1:20">
      <c r="A9" s="3129">
        <v>1.6</v>
      </c>
      <c r="B9" s="3130">
        <v>1.1306</v>
      </c>
      <c r="C9" s="3130">
        <v>1.1306</v>
      </c>
      <c r="D9" s="3130">
        <v>1.0924</v>
      </c>
      <c r="E9" s="3130">
        <v>1.0924</v>
      </c>
      <c r="F9" s="3130">
        <v>1.0924</v>
      </c>
      <c r="G9" s="3130">
        <v>1.0924</v>
      </c>
      <c r="H9" s="3130">
        <v>1.0924</v>
      </c>
      <c r="I9" s="3130">
        <v>1.0538000000000001</v>
      </c>
      <c r="J9" s="3130">
        <v>1.0538000000000001</v>
      </c>
      <c r="K9" s="3130">
        <v>1.0538000000000001</v>
      </c>
      <c r="L9" s="3130">
        <v>1.0538000000000001</v>
      </c>
      <c r="M9" s="3131">
        <v>1.0538000000000001</v>
      </c>
    </row>
    <row r="10" spans="1:20">
      <c r="A10" s="3129">
        <v>1.7</v>
      </c>
      <c r="B10" s="3130">
        <v>1.1175999999999999</v>
      </c>
      <c r="C10" s="3130">
        <v>1.1175999999999999</v>
      </c>
      <c r="D10" s="3130">
        <v>1.0783</v>
      </c>
      <c r="E10" s="3130">
        <v>1.0783</v>
      </c>
      <c r="F10" s="3130">
        <v>1.0783</v>
      </c>
      <c r="G10" s="3130">
        <v>1.0783</v>
      </c>
      <c r="H10" s="3130">
        <v>1.0783</v>
      </c>
      <c r="I10" s="3130">
        <v>1.0379</v>
      </c>
      <c r="J10" s="3130">
        <v>1.0379</v>
      </c>
      <c r="K10" s="3130">
        <v>1.0379</v>
      </c>
      <c r="L10" s="3130">
        <v>1.0379</v>
      </c>
      <c r="M10" s="3131">
        <v>1.0379</v>
      </c>
    </row>
    <row r="11" spans="1:20">
      <c r="A11" s="3129">
        <v>1.8</v>
      </c>
      <c r="B11" s="3130">
        <v>1.1057999999999999</v>
      </c>
      <c r="C11" s="3130">
        <v>1.1057999999999999</v>
      </c>
      <c r="D11" s="3130">
        <v>1.0653999999999999</v>
      </c>
      <c r="E11" s="3130">
        <v>1.0653999999999999</v>
      </c>
      <c r="F11" s="3130">
        <v>1.0653999999999999</v>
      </c>
      <c r="G11" s="3130">
        <v>1.0653999999999999</v>
      </c>
      <c r="H11" s="3130">
        <v>1.0653999999999999</v>
      </c>
      <c r="I11" s="3130">
        <v>1.0241</v>
      </c>
      <c r="J11" s="3130">
        <v>1.0241</v>
      </c>
      <c r="K11" s="3130">
        <v>1.0241</v>
      </c>
      <c r="L11" s="3130">
        <v>1.0241</v>
      </c>
      <c r="M11" s="3131">
        <v>1.0241</v>
      </c>
    </row>
    <row r="12" spans="1:20">
      <c r="A12" s="3129">
        <v>1.9</v>
      </c>
      <c r="B12" s="3130">
        <v>1.0949</v>
      </c>
      <c r="C12" s="3130">
        <v>1.0949</v>
      </c>
      <c r="D12" s="3130">
        <v>1.0537000000000001</v>
      </c>
      <c r="E12" s="3130">
        <v>1.0537000000000001</v>
      </c>
      <c r="F12" s="3130">
        <v>1.0537000000000001</v>
      </c>
      <c r="G12" s="3130">
        <v>1.0537000000000001</v>
      </c>
      <c r="H12" s="3130">
        <v>1.0537000000000001</v>
      </c>
      <c r="I12" s="3130">
        <v>1.0117</v>
      </c>
      <c r="J12" s="3130">
        <v>1.0117</v>
      </c>
      <c r="K12" s="3130">
        <v>1.0117</v>
      </c>
      <c r="L12" s="3130">
        <v>1.0117</v>
      </c>
      <c r="M12" s="3131">
        <v>1.0117</v>
      </c>
    </row>
    <row r="13" spans="1:20">
      <c r="A13" s="3129">
        <v>2</v>
      </c>
      <c r="B13" s="3130">
        <v>1.0847</v>
      </c>
      <c r="C13" s="3130">
        <v>1.0847</v>
      </c>
      <c r="D13" s="3130">
        <v>1.0427</v>
      </c>
      <c r="E13" s="3130">
        <v>1.0427</v>
      </c>
      <c r="F13" s="3130">
        <v>1.0427</v>
      </c>
      <c r="G13" s="3130">
        <v>1.0427</v>
      </c>
      <c r="H13" s="3130">
        <v>1.0427</v>
      </c>
      <c r="I13" s="3130">
        <v>1</v>
      </c>
      <c r="J13" s="3130">
        <v>1</v>
      </c>
      <c r="K13" s="3130">
        <v>1</v>
      </c>
      <c r="L13" s="3130">
        <v>1</v>
      </c>
      <c r="M13" s="3131">
        <v>1</v>
      </c>
    </row>
    <row r="14" spans="1:20">
      <c r="A14" s="3132">
        <v>2.1</v>
      </c>
      <c r="B14" s="3130">
        <v>1.0749</v>
      </c>
      <c r="C14" s="3130">
        <v>1.0749</v>
      </c>
      <c r="D14" s="3130">
        <v>1.0327999999999999</v>
      </c>
      <c r="E14" s="3130">
        <v>1.0327999999999999</v>
      </c>
      <c r="F14" s="3130">
        <v>1.0327999999999999</v>
      </c>
      <c r="G14" s="3130">
        <v>1.0327999999999999</v>
      </c>
      <c r="H14" s="3130">
        <v>1.0327999999999999</v>
      </c>
      <c r="I14" s="3130">
        <v>0.98819999999999997</v>
      </c>
      <c r="J14" s="3130">
        <v>0.98819999999999997</v>
      </c>
      <c r="K14" s="3130">
        <v>0.98819999999999997</v>
      </c>
      <c r="L14" s="3130">
        <v>0.98819999999999997</v>
      </c>
      <c r="M14" s="3131">
        <v>0.98819999999999997</v>
      </c>
    </row>
    <row r="15" spans="1:20">
      <c r="A15" s="3132">
        <v>2.2000000000000002</v>
      </c>
      <c r="B15" s="3130">
        <v>1.0663</v>
      </c>
      <c r="C15" s="3130">
        <v>1.0663</v>
      </c>
      <c r="D15" s="3130">
        <v>1.0237000000000001</v>
      </c>
      <c r="E15" s="3130">
        <v>1.0237000000000001</v>
      </c>
      <c r="F15" s="3130">
        <v>1.0237000000000001</v>
      </c>
      <c r="G15" s="3130">
        <v>1.0237000000000001</v>
      </c>
      <c r="H15" s="3130">
        <v>1.0237000000000001</v>
      </c>
      <c r="I15" s="3130">
        <v>0.9768</v>
      </c>
      <c r="J15" s="3130">
        <v>0.9768</v>
      </c>
      <c r="K15" s="3130">
        <v>0.9768</v>
      </c>
      <c r="L15" s="3130">
        <v>0.9768</v>
      </c>
      <c r="M15" s="3131">
        <v>0.9768</v>
      </c>
    </row>
    <row r="16" spans="1:20">
      <c r="A16" s="3132">
        <v>2.2999999999999998</v>
      </c>
      <c r="B16" s="3130">
        <v>1.0584</v>
      </c>
      <c r="C16" s="3130">
        <v>1.0584</v>
      </c>
      <c r="D16" s="3130">
        <v>1.0152000000000001</v>
      </c>
      <c r="E16" s="3130">
        <v>1.0152000000000001</v>
      </c>
      <c r="F16" s="3130">
        <v>1.0152000000000001</v>
      </c>
      <c r="G16" s="3130">
        <v>1.0152000000000001</v>
      </c>
      <c r="H16" s="3130">
        <v>1.0152000000000001</v>
      </c>
      <c r="I16" s="3130">
        <v>0.96609999999999996</v>
      </c>
      <c r="J16" s="3130">
        <v>0.96609999999999996</v>
      </c>
      <c r="K16" s="3130">
        <v>0.96609999999999996</v>
      </c>
      <c r="L16" s="3130">
        <v>0.96609999999999996</v>
      </c>
      <c r="M16" s="3131">
        <v>0.96609999999999996</v>
      </c>
      <c r="N16" s="750"/>
    </row>
    <row r="17" spans="1:14">
      <c r="A17" s="3132">
        <v>2.4</v>
      </c>
      <c r="B17" s="3130">
        <v>1.0511999999999999</v>
      </c>
      <c r="C17" s="3130">
        <v>1.0511999999999999</v>
      </c>
      <c r="D17" s="3130">
        <v>1.0074000000000001</v>
      </c>
      <c r="E17" s="3130">
        <v>1.0074000000000001</v>
      </c>
      <c r="F17" s="3130">
        <v>1.0074000000000001</v>
      </c>
      <c r="G17" s="3130">
        <v>1.0074000000000001</v>
      </c>
      <c r="H17" s="3130">
        <v>1.0074000000000001</v>
      </c>
      <c r="I17" s="3130">
        <v>0.95579999999999998</v>
      </c>
      <c r="J17" s="3130">
        <v>0.95579999999999998</v>
      </c>
      <c r="K17" s="3130">
        <v>0.95579999999999998</v>
      </c>
      <c r="L17" s="3130">
        <v>0.95579999999999998</v>
      </c>
      <c r="M17" s="3131">
        <v>0.95579999999999998</v>
      </c>
      <c r="N17" s="750"/>
    </row>
    <row r="18" spans="1:14">
      <c r="A18" s="3132">
        <v>2.5</v>
      </c>
      <c r="B18" s="3130">
        <v>1.0445</v>
      </c>
      <c r="C18" s="3130">
        <v>1.0445</v>
      </c>
      <c r="D18" s="3130">
        <v>1</v>
      </c>
      <c r="E18" s="3130">
        <v>1</v>
      </c>
      <c r="F18" s="3130">
        <v>1</v>
      </c>
      <c r="G18" s="3130">
        <v>1</v>
      </c>
      <c r="H18" s="3130">
        <v>1</v>
      </c>
      <c r="I18" s="3130">
        <v>0.94620000000000004</v>
      </c>
      <c r="J18" s="3130">
        <v>0.94620000000000004</v>
      </c>
      <c r="K18" s="3130">
        <v>0.94620000000000004</v>
      </c>
      <c r="L18" s="3130">
        <v>0.94620000000000004</v>
      </c>
      <c r="M18" s="3131">
        <v>0.94620000000000004</v>
      </c>
    </row>
    <row r="19" spans="1:14">
      <c r="A19" s="3132">
        <v>2.6</v>
      </c>
      <c r="B19" s="3130">
        <v>1.0386</v>
      </c>
      <c r="C19" s="3130">
        <v>1.0386</v>
      </c>
      <c r="D19" s="3130">
        <v>0.99350000000000005</v>
      </c>
      <c r="E19" s="3130">
        <v>0.99350000000000005</v>
      </c>
      <c r="F19" s="3130">
        <v>0.99350000000000005</v>
      </c>
      <c r="G19" s="3130">
        <v>0.99350000000000005</v>
      </c>
      <c r="H19" s="3130">
        <v>0.99350000000000005</v>
      </c>
      <c r="I19" s="3130">
        <v>0.93710000000000004</v>
      </c>
      <c r="J19" s="3130">
        <v>0.93710000000000004</v>
      </c>
      <c r="K19" s="3130">
        <v>0.93710000000000004</v>
      </c>
      <c r="L19" s="3130">
        <v>0.93710000000000004</v>
      </c>
      <c r="M19" s="3131">
        <v>0.93710000000000004</v>
      </c>
    </row>
    <row r="20" spans="1:14">
      <c r="A20" s="3132">
        <v>2.7</v>
      </c>
      <c r="B20" s="3130">
        <v>1.0331999999999999</v>
      </c>
      <c r="C20" s="3130">
        <v>1.0331999999999999</v>
      </c>
      <c r="D20" s="3130">
        <v>0.98770000000000002</v>
      </c>
      <c r="E20" s="3130">
        <v>0.98770000000000002</v>
      </c>
      <c r="F20" s="3130">
        <v>0.98770000000000002</v>
      </c>
      <c r="G20" s="3130">
        <v>0.98770000000000002</v>
      </c>
      <c r="H20" s="3130">
        <v>0.98770000000000002</v>
      </c>
      <c r="I20" s="3130">
        <v>0.92859999999999998</v>
      </c>
      <c r="J20" s="3130">
        <v>0.92859999999999998</v>
      </c>
      <c r="K20" s="3130">
        <v>0.92859999999999998</v>
      </c>
      <c r="L20" s="3130">
        <v>0.92859999999999998</v>
      </c>
      <c r="M20" s="3131">
        <v>0.92859999999999998</v>
      </c>
    </row>
    <row r="21" spans="1:14">
      <c r="A21" s="3132">
        <v>2.8</v>
      </c>
      <c r="B21" s="3130">
        <v>1.0282</v>
      </c>
      <c r="C21" s="3130">
        <v>1.0282</v>
      </c>
      <c r="D21" s="3130">
        <v>0.98260000000000003</v>
      </c>
      <c r="E21" s="3130">
        <v>0.98260000000000003</v>
      </c>
      <c r="F21" s="3130">
        <v>0.98260000000000003</v>
      </c>
      <c r="G21" s="3130">
        <v>0.98260000000000003</v>
      </c>
      <c r="H21" s="3130">
        <v>0.98260000000000003</v>
      </c>
      <c r="I21" s="3130">
        <v>0.92069999999999996</v>
      </c>
      <c r="J21" s="3130">
        <v>0.92069999999999996</v>
      </c>
      <c r="K21" s="3130">
        <v>0.92069999999999996</v>
      </c>
      <c r="L21" s="3130">
        <v>0.92069999999999996</v>
      </c>
      <c r="M21" s="3131">
        <v>0.92069999999999996</v>
      </c>
    </row>
    <row r="22" spans="1:14">
      <c r="A22" s="3132">
        <v>2.9</v>
      </c>
      <c r="B22" s="3130">
        <v>1.0235000000000001</v>
      </c>
      <c r="C22" s="3130">
        <v>1.0235000000000001</v>
      </c>
      <c r="D22" s="3130">
        <v>0.97770000000000001</v>
      </c>
      <c r="E22" s="3130">
        <v>0.97770000000000001</v>
      </c>
      <c r="F22" s="3130">
        <v>0.97770000000000001</v>
      </c>
      <c r="G22" s="3130">
        <v>0.97770000000000001</v>
      </c>
      <c r="H22" s="3130">
        <v>0.97770000000000001</v>
      </c>
      <c r="I22" s="3130">
        <v>0.9133</v>
      </c>
      <c r="J22" s="3130">
        <v>0.9133</v>
      </c>
      <c r="K22" s="3130">
        <v>0.9133</v>
      </c>
      <c r="L22" s="3130">
        <v>0.9133</v>
      </c>
      <c r="M22" s="3131">
        <v>0.9133</v>
      </c>
    </row>
    <row r="23" spans="1:14">
      <c r="A23" s="3132">
        <v>3</v>
      </c>
      <c r="B23" s="3130">
        <v>1.0190999999999999</v>
      </c>
      <c r="C23" s="3130">
        <v>1.0190999999999999</v>
      </c>
      <c r="D23" s="3130">
        <v>0.97299999999999998</v>
      </c>
      <c r="E23" s="3130">
        <v>0.97299999999999998</v>
      </c>
      <c r="F23" s="3130">
        <v>0.97299999999999998</v>
      </c>
      <c r="G23" s="3130">
        <v>0.97299999999999998</v>
      </c>
      <c r="H23" s="3130">
        <v>0.97299999999999998</v>
      </c>
      <c r="I23" s="3130">
        <v>0.90629999999999999</v>
      </c>
      <c r="J23" s="3130">
        <v>0.90629999999999999</v>
      </c>
      <c r="K23" s="3130">
        <v>0.90629999999999999</v>
      </c>
      <c r="L23" s="3130">
        <v>0.90629999999999999</v>
      </c>
      <c r="M23" s="3131">
        <v>0.90629999999999999</v>
      </c>
    </row>
    <row r="24" spans="1:14">
      <c r="A24" s="3132">
        <v>3.1</v>
      </c>
      <c r="B24" s="3130">
        <v>1.0148999999999999</v>
      </c>
      <c r="C24" s="3130">
        <v>1.0148999999999999</v>
      </c>
      <c r="D24" s="3130">
        <v>0.96840000000000004</v>
      </c>
      <c r="E24" s="3130">
        <v>0.96840000000000004</v>
      </c>
      <c r="F24" s="3130">
        <v>0.96840000000000004</v>
      </c>
      <c r="G24" s="3130">
        <v>0.96840000000000004</v>
      </c>
      <c r="H24" s="3130">
        <v>0.96840000000000004</v>
      </c>
      <c r="I24" s="3130">
        <v>0.89959999999999996</v>
      </c>
      <c r="J24" s="3130">
        <v>0.89959999999999996</v>
      </c>
      <c r="K24" s="3130">
        <v>0.89959999999999996</v>
      </c>
      <c r="L24" s="3130">
        <v>0.89959999999999996</v>
      </c>
      <c r="M24" s="3131">
        <v>0.89959999999999996</v>
      </c>
    </row>
    <row r="25" spans="1:14">
      <c r="A25" s="3132">
        <v>3.2</v>
      </c>
      <c r="B25" s="3130">
        <v>1.0108999999999999</v>
      </c>
      <c r="C25" s="3130">
        <v>1.0108999999999999</v>
      </c>
      <c r="D25" s="3130">
        <v>0.96399999999999997</v>
      </c>
      <c r="E25" s="3130">
        <v>0.96399999999999997</v>
      </c>
      <c r="F25" s="3130">
        <v>0.96399999999999997</v>
      </c>
      <c r="G25" s="3130">
        <v>0.96399999999999997</v>
      </c>
      <c r="H25" s="3130">
        <v>0.96399999999999997</v>
      </c>
      <c r="I25" s="3130">
        <v>0.89319999999999999</v>
      </c>
      <c r="J25" s="3130">
        <v>0.89319999999999999</v>
      </c>
      <c r="K25" s="3130">
        <v>0.89319999999999999</v>
      </c>
      <c r="L25" s="3130">
        <v>0.89319999999999999</v>
      </c>
      <c r="M25" s="3131">
        <v>0.89319999999999999</v>
      </c>
    </row>
    <row r="26" spans="1:14">
      <c r="A26" s="3132">
        <v>3.3</v>
      </c>
      <c r="B26" s="3130">
        <v>1.0071000000000001</v>
      </c>
      <c r="C26" s="3130">
        <v>1.0071000000000001</v>
      </c>
      <c r="D26" s="3130">
        <v>0.95979999999999999</v>
      </c>
      <c r="E26" s="3130">
        <v>0.95979999999999999</v>
      </c>
      <c r="F26" s="3130">
        <v>0.95979999999999999</v>
      </c>
      <c r="G26" s="3130">
        <v>0.95979999999999999</v>
      </c>
      <c r="H26" s="3130">
        <v>0.95979999999999999</v>
      </c>
      <c r="I26" s="3130">
        <v>0.8871</v>
      </c>
      <c r="J26" s="3130">
        <v>0.8871</v>
      </c>
      <c r="K26" s="3130">
        <v>0.8871</v>
      </c>
      <c r="L26" s="3130">
        <v>0.8871</v>
      </c>
      <c r="M26" s="3131">
        <v>0.8871</v>
      </c>
    </row>
    <row r="27" spans="1:14">
      <c r="A27" s="3132">
        <v>3.4</v>
      </c>
      <c r="B27" s="3130">
        <v>1.0035000000000001</v>
      </c>
      <c r="C27" s="3130">
        <v>1.0035000000000001</v>
      </c>
      <c r="D27" s="3130">
        <v>0.95579999999999998</v>
      </c>
      <c r="E27" s="3130">
        <v>0.95579999999999998</v>
      </c>
      <c r="F27" s="3130">
        <v>0.95579999999999998</v>
      </c>
      <c r="G27" s="3130">
        <v>0.95579999999999998</v>
      </c>
      <c r="H27" s="3130">
        <v>0.95579999999999998</v>
      </c>
      <c r="I27" s="3130">
        <v>0.88119999999999998</v>
      </c>
      <c r="J27" s="3130">
        <v>0.88119999999999998</v>
      </c>
      <c r="K27" s="3130">
        <v>0.88119999999999998</v>
      </c>
      <c r="L27" s="3130">
        <v>0.88119999999999998</v>
      </c>
      <c r="M27" s="3131">
        <v>0.88119999999999998</v>
      </c>
    </row>
    <row r="28" spans="1:14">
      <c r="A28" s="3132">
        <v>3.5</v>
      </c>
      <c r="B28" s="3130">
        <v>1</v>
      </c>
      <c r="C28" s="3130">
        <v>1</v>
      </c>
      <c r="D28" s="3130">
        <v>0.95199999999999996</v>
      </c>
      <c r="E28" s="3130">
        <v>0.95199999999999996</v>
      </c>
      <c r="F28" s="3130">
        <v>0.95199999999999996</v>
      </c>
      <c r="G28" s="3130">
        <v>0.95199999999999996</v>
      </c>
      <c r="H28" s="3130">
        <v>0.95199999999999996</v>
      </c>
      <c r="I28" s="3130">
        <v>0.87549999999999994</v>
      </c>
      <c r="J28" s="3130">
        <v>0.87549999999999994</v>
      </c>
      <c r="K28" s="3130">
        <v>0.87549999999999994</v>
      </c>
      <c r="L28" s="3130">
        <v>0.87549999999999994</v>
      </c>
      <c r="M28" s="3131">
        <v>0.87549999999999994</v>
      </c>
    </row>
    <row r="29" spans="1:14">
      <c r="A29" s="3132">
        <v>3.6</v>
      </c>
      <c r="B29" s="3130">
        <v>0.99660000000000004</v>
      </c>
      <c r="C29" s="3130">
        <v>0.99660000000000004</v>
      </c>
      <c r="D29" s="3130">
        <v>0.94840000000000002</v>
      </c>
      <c r="E29" s="3130">
        <v>0.94840000000000002</v>
      </c>
      <c r="F29" s="3130">
        <v>0.94840000000000002</v>
      </c>
      <c r="G29" s="3130">
        <v>0.94840000000000002</v>
      </c>
      <c r="H29" s="3130">
        <v>0.94840000000000002</v>
      </c>
      <c r="I29" s="3130">
        <v>0.87</v>
      </c>
      <c r="J29" s="3130">
        <v>0.87</v>
      </c>
      <c r="K29" s="3130">
        <v>0.87</v>
      </c>
      <c r="L29" s="3130">
        <v>0.87</v>
      </c>
      <c r="M29" s="3131">
        <v>0.87</v>
      </c>
    </row>
    <row r="30" spans="1:14">
      <c r="A30" s="3132">
        <v>3.7</v>
      </c>
      <c r="B30" s="3130">
        <v>0.99329999999999996</v>
      </c>
      <c r="C30" s="3130">
        <v>0.99329999999999996</v>
      </c>
      <c r="D30" s="3130">
        <v>0.94499999999999995</v>
      </c>
      <c r="E30" s="3130">
        <v>0.94499999999999995</v>
      </c>
      <c r="F30" s="3130">
        <v>0.94499999999999995</v>
      </c>
      <c r="G30" s="3130">
        <v>0.94499999999999995</v>
      </c>
      <c r="H30" s="3130">
        <v>0.94499999999999995</v>
      </c>
      <c r="I30" s="3130">
        <v>0.86470000000000002</v>
      </c>
      <c r="J30" s="3130">
        <v>0.86470000000000002</v>
      </c>
      <c r="K30" s="3130">
        <v>0.86470000000000002</v>
      </c>
      <c r="L30" s="3130">
        <v>0.86470000000000002</v>
      </c>
      <c r="M30" s="3131">
        <v>0.86470000000000002</v>
      </c>
    </row>
    <row r="31" spans="1:14">
      <c r="A31" s="3132">
        <v>3.8</v>
      </c>
      <c r="B31" s="3130">
        <v>0.99009999999999998</v>
      </c>
      <c r="C31" s="3130">
        <v>0.99009999999999998</v>
      </c>
      <c r="D31" s="3130">
        <v>0.94169999999999998</v>
      </c>
      <c r="E31" s="3130">
        <v>0.94169999999999998</v>
      </c>
      <c r="F31" s="3130">
        <v>0.94169999999999998</v>
      </c>
      <c r="G31" s="3130">
        <v>0.94169999999999998</v>
      </c>
      <c r="H31" s="3130">
        <v>0.94169999999999998</v>
      </c>
      <c r="I31" s="3130">
        <v>0.85960000000000003</v>
      </c>
      <c r="J31" s="3130">
        <v>0.85960000000000003</v>
      </c>
      <c r="K31" s="3130">
        <v>0.85960000000000003</v>
      </c>
      <c r="L31" s="3130">
        <v>0.85960000000000003</v>
      </c>
      <c r="M31" s="3131">
        <v>0.85960000000000003</v>
      </c>
    </row>
    <row r="32" spans="1:14">
      <c r="A32" s="3132">
        <v>3.9</v>
      </c>
      <c r="B32" s="3130">
        <v>0.98699999999999999</v>
      </c>
      <c r="C32" s="3130">
        <v>0.98699999999999999</v>
      </c>
      <c r="D32" s="3130">
        <v>0.9385</v>
      </c>
      <c r="E32" s="3130">
        <v>0.9385</v>
      </c>
      <c r="F32" s="3130">
        <v>0.9385</v>
      </c>
      <c r="G32" s="3130">
        <v>0.9385</v>
      </c>
      <c r="H32" s="3130">
        <v>0.9385</v>
      </c>
      <c r="I32" s="3130">
        <v>0.85470000000000002</v>
      </c>
      <c r="J32" s="3130">
        <v>0.85470000000000002</v>
      </c>
      <c r="K32" s="3130">
        <v>0.85470000000000002</v>
      </c>
      <c r="L32" s="3130">
        <v>0.85470000000000002</v>
      </c>
      <c r="M32" s="3131">
        <v>0.85470000000000002</v>
      </c>
    </row>
    <row r="33" spans="1:13">
      <c r="A33" s="3132">
        <v>4</v>
      </c>
      <c r="B33" s="3130">
        <v>0.98399999999999999</v>
      </c>
      <c r="C33" s="3130">
        <v>0.98399999999999999</v>
      </c>
      <c r="D33" s="3130">
        <v>0.93540000000000001</v>
      </c>
      <c r="E33" s="3130">
        <v>0.93540000000000001</v>
      </c>
      <c r="F33" s="3130">
        <v>0.93540000000000001</v>
      </c>
      <c r="G33" s="3130">
        <v>0.93540000000000001</v>
      </c>
      <c r="H33" s="3130">
        <v>0.93540000000000001</v>
      </c>
      <c r="I33" s="3130">
        <v>0.84989999999999999</v>
      </c>
      <c r="J33" s="3130">
        <v>0.84989999999999999</v>
      </c>
      <c r="K33" s="3130">
        <v>0.84989999999999999</v>
      </c>
      <c r="L33" s="3130">
        <v>0.84989999999999999</v>
      </c>
      <c r="M33" s="3131">
        <v>0.84989999999999999</v>
      </c>
    </row>
    <row r="34" spans="1:13">
      <c r="A34" s="3132">
        <v>4.0999999999999996</v>
      </c>
      <c r="B34" s="3130">
        <v>0.98109999999999997</v>
      </c>
      <c r="C34" s="3130">
        <v>0.98109999999999997</v>
      </c>
      <c r="D34" s="3130">
        <v>0.93240000000000001</v>
      </c>
      <c r="E34" s="3130">
        <v>0.93240000000000001</v>
      </c>
      <c r="F34" s="3130">
        <v>0.93240000000000001</v>
      </c>
      <c r="G34" s="3130">
        <v>0.93240000000000001</v>
      </c>
      <c r="H34" s="3130">
        <v>0.93240000000000001</v>
      </c>
      <c r="I34" s="3130">
        <v>0.84519999999999995</v>
      </c>
      <c r="J34" s="3130">
        <v>0.84519999999999995</v>
      </c>
      <c r="K34" s="3130">
        <v>0.84519999999999995</v>
      </c>
      <c r="L34" s="3130">
        <v>0.84519999999999995</v>
      </c>
      <c r="M34" s="3131">
        <v>0.84519999999999995</v>
      </c>
    </row>
    <row r="35" spans="1:13">
      <c r="A35" s="3132">
        <v>4.2</v>
      </c>
      <c r="B35" s="3130">
        <v>0.97829999999999995</v>
      </c>
      <c r="C35" s="3130">
        <v>0.97829999999999995</v>
      </c>
      <c r="D35" s="3130">
        <v>0.92949999999999999</v>
      </c>
      <c r="E35" s="3130">
        <v>0.92949999999999999</v>
      </c>
      <c r="F35" s="3130">
        <v>0.92949999999999999</v>
      </c>
      <c r="G35" s="3130">
        <v>0.92949999999999999</v>
      </c>
      <c r="H35" s="3130">
        <v>0.92949999999999999</v>
      </c>
      <c r="I35" s="3130">
        <v>0.84060000000000001</v>
      </c>
      <c r="J35" s="3130">
        <v>0.84060000000000001</v>
      </c>
      <c r="K35" s="3130">
        <v>0.84060000000000001</v>
      </c>
      <c r="L35" s="3130">
        <v>0.84060000000000001</v>
      </c>
      <c r="M35" s="3131">
        <v>0.84060000000000001</v>
      </c>
    </row>
    <row r="36" spans="1:13">
      <c r="A36" s="3132">
        <v>4.3</v>
      </c>
      <c r="B36" s="3130">
        <v>0.97560000000000002</v>
      </c>
      <c r="C36" s="3130">
        <v>0.97560000000000002</v>
      </c>
      <c r="D36" s="3130">
        <v>0.92669999999999997</v>
      </c>
      <c r="E36" s="3130">
        <v>0.92669999999999997</v>
      </c>
      <c r="F36" s="3130">
        <v>0.92669999999999997</v>
      </c>
      <c r="G36" s="3130">
        <v>0.92669999999999997</v>
      </c>
      <c r="H36" s="3130">
        <v>0.92669999999999997</v>
      </c>
      <c r="I36" s="3130">
        <v>0.83609999999999995</v>
      </c>
      <c r="J36" s="3130">
        <v>0.83609999999999995</v>
      </c>
      <c r="K36" s="3130">
        <v>0.83609999999999995</v>
      </c>
      <c r="L36" s="3130">
        <v>0.83609999999999995</v>
      </c>
      <c r="M36" s="3131">
        <v>0.83609999999999995</v>
      </c>
    </row>
    <row r="37" spans="1:13">
      <c r="A37" s="3132">
        <v>4.4000000000000004</v>
      </c>
      <c r="B37" s="3130">
        <v>0.97299999999999998</v>
      </c>
      <c r="C37" s="3130">
        <v>0.97299999999999998</v>
      </c>
      <c r="D37" s="3130">
        <v>0.92400000000000004</v>
      </c>
      <c r="E37" s="3130">
        <v>0.92400000000000004</v>
      </c>
      <c r="F37" s="3130">
        <v>0.92400000000000004</v>
      </c>
      <c r="G37" s="3130">
        <v>0.92400000000000004</v>
      </c>
      <c r="H37" s="3130">
        <v>0.92400000000000004</v>
      </c>
      <c r="I37" s="3130">
        <v>0.83169999999999999</v>
      </c>
      <c r="J37" s="3130">
        <v>0.83169999999999999</v>
      </c>
      <c r="K37" s="3130">
        <v>0.83169999999999999</v>
      </c>
      <c r="L37" s="3130">
        <v>0.83169999999999999</v>
      </c>
      <c r="M37" s="3131">
        <v>0.83169999999999999</v>
      </c>
    </row>
    <row r="38" spans="1:13">
      <c r="A38" s="3132">
        <v>4.5</v>
      </c>
      <c r="B38" s="3130">
        <v>0.97050000000000003</v>
      </c>
      <c r="C38" s="3130">
        <v>0.97050000000000003</v>
      </c>
      <c r="D38" s="3130">
        <v>0.92130000000000001</v>
      </c>
      <c r="E38" s="3130">
        <v>0.92130000000000001</v>
      </c>
      <c r="F38" s="3130">
        <v>0.92130000000000001</v>
      </c>
      <c r="G38" s="3130">
        <v>0.92130000000000001</v>
      </c>
      <c r="H38" s="3130">
        <v>0.92130000000000001</v>
      </c>
      <c r="I38" s="3130">
        <v>0.82740000000000002</v>
      </c>
      <c r="J38" s="3130">
        <v>0.82740000000000002</v>
      </c>
      <c r="K38" s="3130">
        <v>0.82740000000000002</v>
      </c>
      <c r="L38" s="3130">
        <v>0.82740000000000002</v>
      </c>
      <c r="M38" s="3131">
        <v>0.82740000000000002</v>
      </c>
    </row>
    <row r="39" spans="1:13">
      <c r="A39" s="3132">
        <v>4.5999999999999996</v>
      </c>
      <c r="B39" s="3130">
        <v>0.96809999999999996</v>
      </c>
      <c r="C39" s="3130">
        <v>0.96809999999999996</v>
      </c>
      <c r="D39" s="3130">
        <v>0.91869999999999996</v>
      </c>
      <c r="E39" s="3130">
        <v>0.91869999999999996</v>
      </c>
      <c r="F39" s="3130">
        <v>0.91869999999999996</v>
      </c>
      <c r="G39" s="3130">
        <v>0.91869999999999996</v>
      </c>
      <c r="H39" s="3130">
        <v>0.91869999999999996</v>
      </c>
      <c r="I39" s="3130">
        <v>0.82320000000000004</v>
      </c>
      <c r="J39" s="3130">
        <v>0.82320000000000004</v>
      </c>
      <c r="K39" s="3130">
        <v>0.82320000000000004</v>
      </c>
      <c r="L39" s="3130">
        <v>0.82320000000000004</v>
      </c>
      <c r="M39" s="3131">
        <v>0.82320000000000004</v>
      </c>
    </row>
    <row r="40" spans="1:13">
      <c r="A40" s="3132">
        <v>4.7</v>
      </c>
      <c r="B40" s="3130">
        <v>0.96579999999999999</v>
      </c>
      <c r="C40" s="3130">
        <v>0.96579999999999999</v>
      </c>
      <c r="D40" s="3130">
        <v>0.91610000000000003</v>
      </c>
      <c r="E40" s="3130">
        <v>0.91610000000000003</v>
      </c>
      <c r="F40" s="3130">
        <v>0.91610000000000003</v>
      </c>
      <c r="G40" s="3130">
        <v>0.91610000000000003</v>
      </c>
      <c r="H40" s="3130">
        <v>0.91610000000000003</v>
      </c>
      <c r="I40" s="3130">
        <v>0.81910000000000005</v>
      </c>
      <c r="J40" s="3130">
        <v>0.81910000000000005</v>
      </c>
      <c r="K40" s="3130">
        <v>0.81910000000000005</v>
      </c>
      <c r="L40" s="3130">
        <v>0.81910000000000005</v>
      </c>
      <c r="M40" s="3131">
        <v>0.81910000000000005</v>
      </c>
    </row>
    <row r="41" spans="1:13">
      <c r="A41" s="3132">
        <v>4.8</v>
      </c>
      <c r="B41" s="3130">
        <v>0.96360000000000001</v>
      </c>
      <c r="C41" s="3130">
        <v>0.96360000000000001</v>
      </c>
      <c r="D41" s="3130">
        <v>0.91349999999999998</v>
      </c>
      <c r="E41" s="3130">
        <v>0.91349999999999998</v>
      </c>
      <c r="F41" s="3130">
        <v>0.91349999999999998</v>
      </c>
      <c r="G41" s="3130">
        <v>0.91349999999999998</v>
      </c>
      <c r="H41" s="3130">
        <v>0.91349999999999998</v>
      </c>
      <c r="I41" s="3130">
        <v>0.81510000000000005</v>
      </c>
      <c r="J41" s="3130">
        <v>0.81510000000000005</v>
      </c>
      <c r="K41" s="3130">
        <v>0.81510000000000005</v>
      </c>
      <c r="L41" s="3130">
        <v>0.81510000000000005</v>
      </c>
      <c r="M41" s="3131">
        <v>0.81510000000000005</v>
      </c>
    </row>
    <row r="42" spans="1:13">
      <c r="A42" s="3132">
        <v>4.9000000000000004</v>
      </c>
      <c r="B42" s="3130">
        <v>0.96150000000000002</v>
      </c>
      <c r="C42" s="3130">
        <v>0.96150000000000002</v>
      </c>
      <c r="D42" s="3130">
        <v>0.91100000000000003</v>
      </c>
      <c r="E42" s="3130">
        <v>0.91100000000000003</v>
      </c>
      <c r="F42" s="3130">
        <v>0.91100000000000003</v>
      </c>
      <c r="G42" s="3130">
        <v>0.91100000000000003</v>
      </c>
      <c r="H42" s="3130">
        <v>0.91100000000000003</v>
      </c>
      <c r="I42" s="3130">
        <v>0.81110000000000004</v>
      </c>
      <c r="J42" s="3130">
        <v>0.81110000000000004</v>
      </c>
      <c r="K42" s="3130">
        <v>0.81110000000000004</v>
      </c>
      <c r="L42" s="3130">
        <v>0.81110000000000004</v>
      </c>
      <c r="M42" s="3131">
        <v>0.81110000000000004</v>
      </c>
    </row>
    <row r="43" spans="1:13">
      <c r="A43" s="3132">
        <v>5</v>
      </c>
      <c r="B43" s="3130">
        <v>0.95940000000000003</v>
      </c>
      <c r="C43" s="3130">
        <v>0.95940000000000003</v>
      </c>
      <c r="D43" s="3130">
        <v>0.90849999999999997</v>
      </c>
      <c r="E43" s="3130">
        <v>0.90849999999999997</v>
      </c>
      <c r="F43" s="3130">
        <v>0.90849999999999997</v>
      </c>
      <c r="G43" s="3130">
        <v>0.90849999999999997</v>
      </c>
      <c r="H43" s="3130">
        <v>0.90849999999999997</v>
      </c>
      <c r="I43" s="3130">
        <v>0.80720000000000003</v>
      </c>
      <c r="J43" s="3130">
        <v>0.80720000000000003</v>
      </c>
      <c r="K43" s="3130">
        <v>0.80720000000000003</v>
      </c>
      <c r="L43" s="3130">
        <v>0.80720000000000003</v>
      </c>
      <c r="M43" s="3131">
        <v>0.80720000000000003</v>
      </c>
    </row>
    <row r="44" spans="1:13">
      <c r="A44" s="3129">
        <v>5.0999999999999996</v>
      </c>
      <c r="B44" s="3130">
        <v>0.95740000000000003</v>
      </c>
      <c r="C44" s="3130">
        <v>0.95740000000000003</v>
      </c>
      <c r="D44" s="3130">
        <v>0.90600000000000003</v>
      </c>
      <c r="E44" s="3130">
        <v>0.90600000000000003</v>
      </c>
      <c r="F44" s="3130">
        <v>0.90600000000000003</v>
      </c>
      <c r="G44" s="3130">
        <v>0.90600000000000003</v>
      </c>
      <c r="H44" s="3130">
        <v>0.90600000000000003</v>
      </c>
      <c r="I44" s="3130">
        <v>0.80330000000000001</v>
      </c>
      <c r="J44" s="3130">
        <v>0.80330000000000001</v>
      </c>
      <c r="K44" s="3130">
        <v>0.80330000000000001</v>
      </c>
      <c r="L44" s="3130">
        <v>0.80330000000000001</v>
      </c>
      <c r="M44" s="3131">
        <v>0.80330000000000001</v>
      </c>
    </row>
    <row r="45" spans="1:13">
      <c r="A45" s="3129">
        <v>5.2</v>
      </c>
      <c r="B45" s="3130">
        <v>0.95540000000000003</v>
      </c>
      <c r="C45" s="3130">
        <v>0.95540000000000003</v>
      </c>
      <c r="D45" s="3130">
        <v>0.90349999999999997</v>
      </c>
      <c r="E45" s="3130">
        <v>0.90349999999999997</v>
      </c>
      <c r="F45" s="3130">
        <v>0.90349999999999997</v>
      </c>
      <c r="G45" s="3130">
        <v>0.90349999999999997</v>
      </c>
      <c r="H45" s="3130">
        <v>0.90349999999999997</v>
      </c>
      <c r="I45" s="3130">
        <v>0.79949999999999999</v>
      </c>
      <c r="J45" s="3130">
        <v>0.79949999999999999</v>
      </c>
      <c r="K45" s="3130">
        <v>0.79949999999999999</v>
      </c>
      <c r="L45" s="3130">
        <v>0.79949999999999999</v>
      </c>
      <c r="M45" s="3131">
        <v>0.79949999999999999</v>
      </c>
    </row>
    <row r="46" spans="1:13">
      <c r="A46" s="3129">
        <v>5.3</v>
      </c>
      <c r="B46" s="3130">
        <v>0.95350000000000001</v>
      </c>
      <c r="C46" s="3130">
        <v>0.95350000000000001</v>
      </c>
      <c r="D46" s="3130">
        <v>0.90110000000000001</v>
      </c>
      <c r="E46" s="3130">
        <v>0.90110000000000001</v>
      </c>
      <c r="F46" s="3130">
        <v>0.90110000000000001</v>
      </c>
      <c r="G46" s="3130">
        <v>0.90110000000000001</v>
      </c>
      <c r="H46" s="3130">
        <v>0.90110000000000001</v>
      </c>
      <c r="I46" s="3130">
        <v>0.79569999999999996</v>
      </c>
      <c r="J46" s="3130">
        <v>0.79569999999999996</v>
      </c>
      <c r="K46" s="3130">
        <v>0.79569999999999996</v>
      </c>
      <c r="L46" s="3130">
        <v>0.79569999999999996</v>
      </c>
      <c r="M46" s="3131">
        <v>0.79569999999999996</v>
      </c>
    </row>
    <row r="47" spans="1:13">
      <c r="A47" s="3129">
        <v>5.4</v>
      </c>
      <c r="B47" s="3130">
        <v>0.9516</v>
      </c>
      <c r="C47" s="3130">
        <v>0.9516</v>
      </c>
      <c r="D47" s="3130">
        <v>0.89870000000000005</v>
      </c>
      <c r="E47" s="3130">
        <v>0.89870000000000005</v>
      </c>
      <c r="F47" s="3130">
        <v>0.89870000000000005</v>
      </c>
      <c r="G47" s="3130">
        <v>0.89870000000000005</v>
      </c>
      <c r="H47" s="3130">
        <v>0.89870000000000005</v>
      </c>
      <c r="I47" s="3130">
        <v>0.79200000000000004</v>
      </c>
      <c r="J47" s="3130">
        <v>0.79200000000000004</v>
      </c>
      <c r="K47" s="3130">
        <v>0.79200000000000004</v>
      </c>
      <c r="L47" s="3130">
        <v>0.79200000000000004</v>
      </c>
      <c r="M47" s="3131">
        <v>0.79200000000000004</v>
      </c>
    </row>
    <row r="48" spans="1:13">
      <c r="A48" s="3129">
        <v>5.5</v>
      </c>
      <c r="B48" s="3130">
        <v>0.94979999999999998</v>
      </c>
      <c r="C48" s="3130">
        <v>0.94979999999999998</v>
      </c>
      <c r="D48" s="3130">
        <v>0.89629999999999999</v>
      </c>
      <c r="E48" s="3130">
        <v>0.89629999999999999</v>
      </c>
      <c r="F48" s="3130">
        <v>0.89629999999999999</v>
      </c>
      <c r="G48" s="3130">
        <v>0.89629999999999999</v>
      </c>
      <c r="H48" s="3130">
        <v>0.89629999999999999</v>
      </c>
      <c r="I48" s="3130">
        <v>0.7883</v>
      </c>
      <c r="J48" s="3130">
        <v>0.7883</v>
      </c>
      <c r="K48" s="3130">
        <v>0.7883</v>
      </c>
      <c r="L48" s="3130">
        <v>0.7883</v>
      </c>
      <c r="M48" s="3131">
        <v>0.7883</v>
      </c>
    </row>
    <row r="49" spans="1:13">
      <c r="A49" s="3129">
        <v>5.6</v>
      </c>
      <c r="B49" s="3130">
        <v>0.94799999999999995</v>
      </c>
      <c r="C49" s="3130">
        <v>0.94799999999999995</v>
      </c>
      <c r="D49" s="3130">
        <v>0.89390000000000003</v>
      </c>
      <c r="E49" s="3130">
        <v>0.89390000000000003</v>
      </c>
      <c r="F49" s="3130">
        <v>0.89390000000000003</v>
      </c>
      <c r="G49" s="3130">
        <v>0.89390000000000003</v>
      </c>
      <c r="H49" s="3130">
        <v>0.89390000000000003</v>
      </c>
      <c r="I49" s="3130">
        <v>0.78469999999999995</v>
      </c>
      <c r="J49" s="3130">
        <v>0.78469999999999995</v>
      </c>
      <c r="K49" s="3130">
        <v>0.78469999999999995</v>
      </c>
      <c r="L49" s="3130">
        <v>0.78469999999999995</v>
      </c>
      <c r="M49" s="3131">
        <v>0.78469999999999995</v>
      </c>
    </row>
    <row r="50" spans="1:13">
      <c r="A50" s="3132">
        <v>5.7</v>
      </c>
      <c r="B50" s="3130">
        <v>0.94620000000000004</v>
      </c>
      <c r="C50" s="3130">
        <v>0.94620000000000004</v>
      </c>
      <c r="D50" s="3130">
        <v>0.89149999999999996</v>
      </c>
      <c r="E50" s="3130">
        <v>0.89149999999999996</v>
      </c>
      <c r="F50" s="3130">
        <v>0.89149999999999996</v>
      </c>
      <c r="G50" s="3130">
        <v>0.89149999999999996</v>
      </c>
      <c r="H50" s="3130">
        <v>0.89149999999999996</v>
      </c>
      <c r="I50" s="3130">
        <v>0.78110000000000002</v>
      </c>
      <c r="J50" s="3130">
        <v>0.78110000000000002</v>
      </c>
      <c r="K50" s="3130">
        <v>0.78110000000000002</v>
      </c>
      <c r="L50" s="3130">
        <v>0.78110000000000002</v>
      </c>
      <c r="M50" s="3131">
        <v>0.78110000000000002</v>
      </c>
    </row>
    <row r="51" spans="1:13">
      <c r="A51" s="3129">
        <v>5.8</v>
      </c>
      <c r="B51" s="3130">
        <v>0.94450000000000001</v>
      </c>
      <c r="C51" s="3130">
        <v>0.94450000000000001</v>
      </c>
      <c r="D51" s="3130">
        <v>0.88919999999999999</v>
      </c>
      <c r="E51" s="3130">
        <v>0.88919999999999999</v>
      </c>
      <c r="F51" s="3130">
        <v>0.88919999999999999</v>
      </c>
      <c r="G51" s="3130">
        <v>0.88919999999999999</v>
      </c>
      <c r="H51" s="3130">
        <v>0.88919999999999999</v>
      </c>
      <c r="I51" s="3130">
        <v>0.77759999999999996</v>
      </c>
      <c r="J51" s="3130">
        <v>0.77759999999999996</v>
      </c>
      <c r="K51" s="3130">
        <v>0.77759999999999996</v>
      </c>
      <c r="L51" s="3130">
        <v>0.77759999999999996</v>
      </c>
      <c r="M51" s="3131">
        <v>0.77759999999999996</v>
      </c>
    </row>
    <row r="52" spans="1:13">
      <c r="A52" s="3129">
        <v>5.9</v>
      </c>
      <c r="B52" s="3130">
        <v>0.94279999999999997</v>
      </c>
      <c r="C52" s="3130">
        <v>0.94279999999999997</v>
      </c>
      <c r="D52" s="3130">
        <v>0.88690000000000002</v>
      </c>
      <c r="E52" s="3130">
        <v>0.88690000000000002</v>
      </c>
      <c r="F52" s="3130">
        <v>0.88690000000000002</v>
      </c>
      <c r="G52" s="3130">
        <v>0.88690000000000002</v>
      </c>
      <c r="H52" s="3130">
        <v>0.88690000000000002</v>
      </c>
      <c r="I52" s="3130">
        <v>0.77410000000000001</v>
      </c>
      <c r="J52" s="3130">
        <v>0.77410000000000001</v>
      </c>
      <c r="K52" s="3130">
        <v>0.77410000000000001</v>
      </c>
      <c r="L52" s="3130">
        <v>0.77410000000000001</v>
      </c>
      <c r="M52" s="3131">
        <v>0.77410000000000001</v>
      </c>
    </row>
    <row r="53" spans="1:13">
      <c r="A53" s="3129">
        <v>6</v>
      </c>
      <c r="B53" s="3130">
        <v>0.94110000000000005</v>
      </c>
      <c r="C53" s="3130">
        <v>0.94110000000000005</v>
      </c>
      <c r="D53" s="3130">
        <v>0.88460000000000005</v>
      </c>
      <c r="E53" s="3130">
        <v>0.88460000000000005</v>
      </c>
      <c r="F53" s="3130">
        <v>0.88460000000000005</v>
      </c>
      <c r="G53" s="3130">
        <v>0.88460000000000005</v>
      </c>
      <c r="H53" s="3130">
        <v>0.88460000000000005</v>
      </c>
      <c r="I53" s="3130">
        <v>0.77070000000000005</v>
      </c>
      <c r="J53" s="3130">
        <v>0.77070000000000005</v>
      </c>
      <c r="K53" s="3130">
        <v>0.77070000000000005</v>
      </c>
      <c r="L53" s="3130">
        <v>0.77070000000000005</v>
      </c>
      <c r="M53" s="3131">
        <v>0.77070000000000005</v>
      </c>
    </row>
    <row r="54" spans="1:13">
      <c r="A54" s="3129">
        <v>6.1</v>
      </c>
      <c r="B54" s="3130">
        <v>0.93940000000000001</v>
      </c>
      <c r="C54" s="3130">
        <v>0.93940000000000001</v>
      </c>
      <c r="D54" s="3130">
        <v>0.88229999999999997</v>
      </c>
      <c r="E54" s="3130">
        <v>0.88229999999999997</v>
      </c>
      <c r="F54" s="3130">
        <v>0.88229999999999997</v>
      </c>
      <c r="G54" s="3130">
        <v>0.88229999999999997</v>
      </c>
      <c r="H54" s="3130">
        <v>0.88229999999999997</v>
      </c>
      <c r="I54" s="3130">
        <v>0.76729999999999998</v>
      </c>
      <c r="J54" s="3130">
        <v>0.76729999999999998</v>
      </c>
      <c r="K54" s="3130">
        <v>0.76729999999999998</v>
      </c>
      <c r="L54" s="3130">
        <v>0.76729999999999998</v>
      </c>
      <c r="M54" s="3131">
        <v>0.76729999999999998</v>
      </c>
    </row>
    <row r="55" spans="1:13">
      <c r="A55" s="3129">
        <v>6.2</v>
      </c>
      <c r="B55" s="3130">
        <v>0.93769999999999998</v>
      </c>
      <c r="C55" s="3130">
        <v>0.93769999999999998</v>
      </c>
      <c r="D55" s="3130">
        <v>0.88</v>
      </c>
      <c r="E55" s="3130">
        <v>0.88</v>
      </c>
      <c r="F55" s="3130">
        <v>0.88</v>
      </c>
      <c r="G55" s="3130">
        <v>0.88</v>
      </c>
      <c r="H55" s="3130">
        <v>0.88</v>
      </c>
      <c r="I55" s="3130">
        <v>0.76400000000000001</v>
      </c>
      <c r="J55" s="3130">
        <v>0.76400000000000001</v>
      </c>
      <c r="K55" s="3130">
        <v>0.76400000000000001</v>
      </c>
      <c r="L55" s="3130">
        <v>0.76400000000000001</v>
      </c>
      <c r="M55" s="3131">
        <v>0.76400000000000001</v>
      </c>
    </row>
    <row r="56" spans="1:13">
      <c r="A56" s="3129">
        <v>6.3</v>
      </c>
      <c r="B56" s="3130">
        <v>0.93610000000000004</v>
      </c>
      <c r="C56" s="3130">
        <v>0.93610000000000004</v>
      </c>
      <c r="D56" s="3130">
        <v>0.87780000000000002</v>
      </c>
      <c r="E56" s="3130">
        <v>0.87780000000000002</v>
      </c>
      <c r="F56" s="3130">
        <v>0.87780000000000002</v>
      </c>
      <c r="G56" s="3130">
        <v>0.87780000000000002</v>
      </c>
      <c r="H56" s="3130">
        <v>0.87780000000000002</v>
      </c>
      <c r="I56" s="3130">
        <v>0.76070000000000004</v>
      </c>
      <c r="J56" s="3130">
        <v>0.76070000000000004</v>
      </c>
      <c r="K56" s="3130">
        <v>0.76070000000000004</v>
      </c>
      <c r="L56" s="3130">
        <v>0.76070000000000004</v>
      </c>
      <c r="M56" s="3131">
        <v>0.76070000000000004</v>
      </c>
    </row>
    <row r="57" spans="1:13">
      <c r="A57" s="3129">
        <v>6.4</v>
      </c>
      <c r="B57" s="3130">
        <v>0.9345</v>
      </c>
      <c r="C57" s="3130">
        <v>0.9345</v>
      </c>
      <c r="D57" s="3130">
        <v>0.87560000000000004</v>
      </c>
      <c r="E57" s="3130">
        <v>0.87560000000000004</v>
      </c>
      <c r="F57" s="3130">
        <v>0.87560000000000004</v>
      </c>
      <c r="G57" s="3130">
        <v>0.87560000000000004</v>
      </c>
      <c r="H57" s="3130">
        <v>0.87560000000000004</v>
      </c>
      <c r="I57" s="3130">
        <v>0.75749999999999995</v>
      </c>
      <c r="J57" s="3130">
        <v>0.75749999999999995</v>
      </c>
      <c r="K57" s="3130">
        <v>0.75749999999999995</v>
      </c>
      <c r="L57" s="3130">
        <v>0.75749999999999995</v>
      </c>
      <c r="M57" s="3131">
        <v>0.75749999999999995</v>
      </c>
    </row>
    <row r="58" spans="1:13">
      <c r="A58" s="3129">
        <v>6.5</v>
      </c>
      <c r="B58" s="3130">
        <v>0.93289999999999995</v>
      </c>
      <c r="C58" s="3130">
        <v>0.93289999999999995</v>
      </c>
      <c r="D58" s="3130">
        <v>0.87339999999999995</v>
      </c>
      <c r="E58" s="3130">
        <v>0.87339999999999995</v>
      </c>
      <c r="F58" s="3130">
        <v>0.87339999999999995</v>
      </c>
      <c r="G58" s="3130">
        <v>0.87339999999999995</v>
      </c>
      <c r="H58" s="3130">
        <v>0.87339999999999995</v>
      </c>
      <c r="I58" s="3130">
        <v>0.75429999999999997</v>
      </c>
      <c r="J58" s="3130">
        <v>0.75429999999999997</v>
      </c>
      <c r="K58" s="3130">
        <v>0.75429999999999997</v>
      </c>
      <c r="L58" s="3130">
        <v>0.75429999999999997</v>
      </c>
      <c r="M58" s="3131">
        <v>0.75429999999999997</v>
      </c>
    </row>
    <row r="59" spans="1:13">
      <c r="A59" s="3129">
        <v>6.6</v>
      </c>
      <c r="B59" s="3130">
        <v>0.93130000000000002</v>
      </c>
      <c r="C59" s="3130">
        <v>0.93130000000000002</v>
      </c>
      <c r="D59" s="3130">
        <v>0.87119999999999997</v>
      </c>
      <c r="E59" s="3130">
        <v>0.87119999999999997</v>
      </c>
      <c r="F59" s="3130">
        <v>0.87119999999999997</v>
      </c>
      <c r="G59" s="3130">
        <v>0.87119999999999997</v>
      </c>
      <c r="H59" s="3130">
        <v>0.87119999999999997</v>
      </c>
      <c r="I59" s="3130">
        <v>0.75119999999999998</v>
      </c>
      <c r="J59" s="3130">
        <v>0.75119999999999998</v>
      </c>
      <c r="K59" s="3130">
        <v>0.75119999999999998</v>
      </c>
      <c r="L59" s="3130">
        <v>0.75119999999999998</v>
      </c>
      <c r="M59" s="3131">
        <v>0.75119999999999998</v>
      </c>
    </row>
    <row r="60" spans="1:13">
      <c r="A60" s="3129">
        <v>6.7</v>
      </c>
      <c r="B60" s="3130">
        <v>0.92969999999999997</v>
      </c>
      <c r="C60" s="3130">
        <v>0.92969999999999997</v>
      </c>
      <c r="D60" s="3130">
        <v>0.86899999999999999</v>
      </c>
      <c r="E60" s="3130">
        <v>0.86899999999999999</v>
      </c>
      <c r="F60" s="3130">
        <v>0.86899999999999999</v>
      </c>
      <c r="G60" s="3130">
        <v>0.86899999999999999</v>
      </c>
      <c r="H60" s="3130">
        <v>0.86899999999999999</v>
      </c>
      <c r="I60" s="3130">
        <v>0.74809999999999999</v>
      </c>
      <c r="J60" s="3130">
        <v>0.74809999999999999</v>
      </c>
      <c r="K60" s="3130">
        <v>0.74809999999999999</v>
      </c>
      <c r="L60" s="3130">
        <v>0.74809999999999999</v>
      </c>
      <c r="M60" s="3131">
        <v>0.74809999999999999</v>
      </c>
    </row>
    <row r="61" spans="1:13">
      <c r="A61" s="3129">
        <v>6.8</v>
      </c>
      <c r="B61" s="3130">
        <v>0.92820000000000003</v>
      </c>
      <c r="C61" s="3130">
        <v>0.92820000000000003</v>
      </c>
      <c r="D61" s="3130">
        <v>0.8669</v>
      </c>
      <c r="E61" s="3130">
        <v>0.8669</v>
      </c>
      <c r="F61" s="3130">
        <v>0.8669</v>
      </c>
      <c r="G61" s="3130">
        <v>0.8669</v>
      </c>
      <c r="H61" s="3130">
        <v>0.8669</v>
      </c>
      <c r="I61" s="3130">
        <v>0.74509999999999998</v>
      </c>
      <c r="J61" s="3130">
        <v>0.74509999999999998</v>
      </c>
      <c r="K61" s="3130">
        <v>0.74509999999999998</v>
      </c>
      <c r="L61" s="3130">
        <v>0.74509999999999998</v>
      </c>
      <c r="M61" s="3131">
        <v>0.74509999999999998</v>
      </c>
    </row>
    <row r="62" spans="1:13">
      <c r="A62" s="3129">
        <v>6.9</v>
      </c>
      <c r="B62" s="3130">
        <v>0.92669999999999997</v>
      </c>
      <c r="C62" s="3130">
        <v>0.92669999999999997</v>
      </c>
      <c r="D62" s="3130">
        <v>0.86480000000000001</v>
      </c>
      <c r="E62" s="3130">
        <v>0.86480000000000001</v>
      </c>
      <c r="F62" s="3130">
        <v>0.86480000000000001</v>
      </c>
      <c r="G62" s="3130">
        <v>0.86480000000000001</v>
      </c>
      <c r="H62" s="3130">
        <v>0.86480000000000001</v>
      </c>
      <c r="I62" s="3130">
        <v>0.74209999999999998</v>
      </c>
      <c r="J62" s="3130">
        <v>0.74209999999999998</v>
      </c>
      <c r="K62" s="3130">
        <v>0.74209999999999998</v>
      </c>
      <c r="L62" s="3130">
        <v>0.74209999999999998</v>
      </c>
      <c r="M62" s="3131">
        <v>0.74209999999999998</v>
      </c>
    </row>
    <row r="63" spans="1:13">
      <c r="A63" s="3129">
        <v>7</v>
      </c>
      <c r="B63" s="3130">
        <v>0.92520000000000002</v>
      </c>
      <c r="C63" s="3130">
        <v>0.92520000000000002</v>
      </c>
      <c r="D63" s="3130">
        <v>0.86270000000000002</v>
      </c>
      <c r="E63" s="3130">
        <v>0.86270000000000002</v>
      </c>
      <c r="F63" s="3130">
        <v>0.86270000000000002</v>
      </c>
      <c r="G63" s="3130">
        <v>0.86270000000000002</v>
      </c>
      <c r="H63" s="3130">
        <v>0.86270000000000002</v>
      </c>
      <c r="I63" s="3130">
        <v>0.73919999999999997</v>
      </c>
      <c r="J63" s="3130">
        <v>0.73919999999999997</v>
      </c>
      <c r="K63" s="3130">
        <v>0.73919999999999997</v>
      </c>
      <c r="L63" s="3130">
        <v>0.73919999999999997</v>
      </c>
      <c r="M63" s="3131">
        <v>0.73919999999999997</v>
      </c>
    </row>
    <row r="64" spans="1:13">
      <c r="A64" s="3129">
        <v>7.1</v>
      </c>
      <c r="B64" s="3130">
        <v>0.92369999999999997</v>
      </c>
      <c r="C64" s="3130">
        <v>0.92369999999999997</v>
      </c>
      <c r="D64" s="3130">
        <v>0.86060000000000003</v>
      </c>
      <c r="E64" s="3130">
        <v>0.86060000000000003</v>
      </c>
      <c r="F64" s="3130">
        <v>0.86060000000000003</v>
      </c>
      <c r="G64" s="3130">
        <v>0.86060000000000003</v>
      </c>
      <c r="H64" s="3130">
        <v>0.86060000000000003</v>
      </c>
      <c r="I64" s="3130">
        <v>0.73629999999999995</v>
      </c>
      <c r="J64" s="3130">
        <v>0.73629999999999995</v>
      </c>
      <c r="K64" s="3130">
        <v>0.73629999999999995</v>
      </c>
      <c r="L64" s="3130">
        <v>0.73629999999999995</v>
      </c>
      <c r="M64" s="3131">
        <v>0.73629999999999995</v>
      </c>
    </row>
    <row r="65" spans="1:13">
      <c r="A65" s="3129">
        <v>7.2</v>
      </c>
      <c r="B65" s="3130">
        <v>0.92220000000000002</v>
      </c>
      <c r="C65" s="3130">
        <v>0.92220000000000002</v>
      </c>
      <c r="D65" s="3130">
        <v>0.85850000000000004</v>
      </c>
      <c r="E65" s="3130">
        <v>0.85850000000000004</v>
      </c>
      <c r="F65" s="3130">
        <v>0.85850000000000004</v>
      </c>
      <c r="G65" s="3130">
        <v>0.85850000000000004</v>
      </c>
      <c r="H65" s="3130">
        <v>0.85850000000000004</v>
      </c>
      <c r="I65" s="3130">
        <v>0.73350000000000004</v>
      </c>
      <c r="J65" s="3130">
        <v>0.73350000000000004</v>
      </c>
      <c r="K65" s="3130">
        <v>0.73350000000000004</v>
      </c>
      <c r="L65" s="3130">
        <v>0.73350000000000004</v>
      </c>
      <c r="M65" s="3131">
        <v>0.73350000000000004</v>
      </c>
    </row>
    <row r="66" spans="1:13">
      <c r="A66" s="3129">
        <v>7.3</v>
      </c>
      <c r="B66" s="3130">
        <v>0.92069999999999996</v>
      </c>
      <c r="C66" s="3130">
        <v>0.92069999999999996</v>
      </c>
      <c r="D66" s="3130">
        <v>0.85650000000000004</v>
      </c>
      <c r="E66" s="3130">
        <v>0.85650000000000004</v>
      </c>
      <c r="F66" s="3130">
        <v>0.85650000000000004</v>
      </c>
      <c r="G66" s="3130">
        <v>0.85650000000000004</v>
      </c>
      <c r="H66" s="3130">
        <v>0.85650000000000004</v>
      </c>
      <c r="I66" s="3130">
        <v>0.73070000000000002</v>
      </c>
      <c r="J66" s="3130">
        <v>0.73070000000000002</v>
      </c>
      <c r="K66" s="3130">
        <v>0.73070000000000002</v>
      </c>
      <c r="L66" s="3130">
        <v>0.73070000000000002</v>
      </c>
      <c r="M66" s="3131">
        <v>0.73070000000000002</v>
      </c>
    </row>
    <row r="67" spans="1:13">
      <c r="A67" s="3129">
        <v>7.4</v>
      </c>
      <c r="B67" s="3130">
        <v>0.91930000000000001</v>
      </c>
      <c r="C67" s="3130">
        <v>0.91930000000000001</v>
      </c>
      <c r="D67" s="3130">
        <v>0.85450000000000004</v>
      </c>
      <c r="E67" s="3130">
        <v>0.85450000000000004</v>
      </c>
      <c r="F67" s="3130">
        <v>0.85450000000000004</v>
      </c>
      <c r="G67" s="3130">
        <v>0.85450000000000004</v>
      </c>
      <c r="H67" s="3130">
        <v>0.85450000000000004</v>
      </c>
      <c r="I67" s="3130">
        <v>0.72799999999999998</v>
      </c>
      <c r="J67" s="3130">
        <v>0.72799999999999998</v>
      </c>
      <c r="K67" s="3130">
        <v>0.72799999999999998</v>
      </c>
      <c r="L67" s="3130">
        <v>0.72799999999999998</v>
      </c>
      <c r="M67" s="3131">
        <v>0.72799999999999998</v>
      </c>
    </row>
    <row r="68" spans="1:13">
      <c r="A68" s="3129">
        <v>7.5</v>
      </c>
      <c r="B68" s="3130">
        <v>0.91790000000000005</v>
      </c>
      <c r="C68" s="3130">
        <v>0.91790000000000005</v>
      </c>
      <c r="D68" s="3130">
        <v>0.85250000000000004</v>
      </c>
      <c r="E68" s="3130">
        <v>0.85250000000000004</v>
      </c>
      <c r="F68" s="3130">
        <v>0.85250000000000004</v>
      </c>
      <c r="G68" s="3130">
        <v>0.85250000000000004</v>
      </c>
      <c r="H68" s="3130">
        <v>0.85250000000000004</v>
      </c>
      <c r="I68" s="3130">
        <v>0.72529999999999994</v>
      </c>
      <c r="J68" s="3130">
        <v>0.72529999999999994</v>
      </c>
      <c r="K68" s="3130">
        <v>0.72529999999999994</v>
      </c>
      <c r="L68" s="3130">
        <v>0.72529999999999994</v>
      </c>
      <c r="M68" s="3131">
        <v>0.72529999999999994</v>
      </c>
    </row>
    <row r="69" spans="1:13">
      <c r="A69" s="3129">
        <v>7.6</v>
      </c>
      <c r="B69" s="3130">
        <v>0.91649999999999998</v>
      </c>
      <c r="C69" s="3130">
        <v>0.91649999999999998</v>
      </c>
      <c r="D69" s="3130">
        <v>0.85050000000000003</v>
      </c>
      <c r="E69" s="3130">
        <v>0.85050000000000003</v>
      </c>
      <c r="F69" s="3130">
        <v>0.85050000000000003</v>
      </c>
      <c r="G69" s="3130">
        <v>0.85050000000000003</v>
      </c>
      <c r="H69" s="3130">
        <v>0.85050000000000003</v>
      </c>
      <c r="I69" s="3130">
        <v>0.72260000000000002</v>
      </c>
      <c r="J69" s="3130">
        <v>0.72260000000000002</v>
      </c>
      <c r="K69" s="3130">
        <v>0.72260000000000002</v>
      </c>
      <c r="L69" s="3130">
        <v>0.72260000000000002</v>
      </c>
      <c r="M69" s="3131">
        <v>0.72260000000000002</v>
      </c>
    </row>
    <row r="70" spans="1:13">
      <c r="A70" s="3129">
        <v>7.7</v>
      </c>
      <c r="B70" s="3130">
        <v>0.91510000000000002</v>
      </c>
      <c r="C70" s="3130">
        <v>0.91510000000000002</v>
      </c>
      <c r="D70" s="3130">
        <v>0.84850000000000003</v>
      </c>
      <c r="E70" s="3130">
        <v>0.84850000000000003</v>
      </c>
      <c r="F70" s="3130">
        <v>0.84850000000000003</v>
      </c>
      <c r="G70" s="3130">
        <v>0.84850000000000003</v>
      </c>
      <c r="H70" s="3130">
        <v>0.84850000000000003</v>
      </c>
      <c r="I70" s="3130">
        <v>0.72</v>
      </c>
      <c r="J70" s="3130">
        <v>0.72</v>
      </c>
      <c r="K70" s="3130">
        <v>0.72</v>
      </c>
      <c r="L70" s="3130">
        <v>0.72</v>
      </c>
      <c r="M70" s="3131">
        <v>0.72</v>
      </c>
    </row>
    <row r="71" spans="1:13">
      <c r="A71" s="3129">
        <v>7.8</v>
      </c>
      <c r="B71" s="3130">
        <v>0.91369999999999996</v>
      </c>
      <c r="C71" s="3130">
        <v>0.91369999999999996</v>
      </c>
      <c r="D71" s="3130">
        <v>0.84660000000000002</v>
      </c>
      <c r="E71" s="3130">
        <v>0.84660000000000002</v>
      </c>
      <c r="F71" s="3130">
        <v>0.84660000000000002</v>
      </c>
      <c r="G71" s="3130">
        <v>0.84660000000000002</v>
      </c>
      <c r="H71" s="3130">
        <v>0.84660000000000002</v>
      </c>
      <c r="I71" s="3130">
        <v>0.71740000000000004</v>
      </c>
      <c r="J71" s="3130">
        <v>0.71740000000000004</v>
      </c>
      <c r="K71" s="3130">
        <v>0.71740000000000004</v>
      </c>
      <c r="L71" s="3130">
        <v>0.71740000000000004</v>
      </c>
      <c r="M71" s="3131">
        <v>0.71740000000000004</v>
      </c>
    </row>
    <row r="72" spans="1:13">
      <c r="A72" s="3129">
        <v>7.9</v>
      </c>
      <c r="B72" s="3130">
        <v>0.9123</v>
      </c>
      <c r="C72" s="3130">
        <v>0.9123</v>
      </c>
      <c r="D72" s="3130">
        <v>0.84470000000000001</v>
      </c>
      <c r="E72" s="3130">
        <v>0.84470000000000001</v>
      </c>
      <c r="F72" s="3130">
        <v>0.84470000000000001</v>
      </c>
      <c r="G72" s="3130">
        <v>0.84470000000000001</v>
      </c>
      <c r="H72" s="3130">
        <v>0.84470000000000001</v>
      </c>
      <c r="I72" s="3130">
        <v>0.71479999999999999</v>
      </c>
      <c r="J72" s="3130">
        <v>0.71479999999999999</v>
      </c>
      <c r="K72" s="3130">
        <v>0.71479999999999999</v>
      </c>
      <c r="L72" s="3130">
        <v>0.71479999999999999</v>
      </c>
      <c r="M72" s="3131">
        <v>0.71479999999999999</v>
      </c>
    </row>
    <row r="73" spans="1:13">
      <c r="A73" s="3129">
        <v>8</v>
      </c>
      <c r="B73" s="3130">
        <v>0.91090000000000004</v>
      </c>
      <c r="C73" s="3130">
        <v>0.91090000000000004</v>
      </c>
      <c r="D73" s="3130">
        <v>0.84279999999999999</v>
      </c>
      <c r="E73" s="3130">
        <v>0.84279999999999999</v>
      </c>
      <c r="F73" s="3130">
        <v>0.84279999999999999</v>
      </c>
      <c r="G73" s="3130">
        <v>0.84279999999999999</v>
      </c>
      <c r="H73" s="3130">
        <v>0.84279999999999999</v>
      </c>
      <c r="I73" s="3130">
        <v>0.71230000000000004</v>
      </c>
      <c r="J73" s="3130">
        <v>0.71230000000000004</v>
      </c>
      <c r="K73" s="3130">
        <v>0.71230000000000004</v>
      </c>
      <c r="L73" s="3130">
        <v>0.71230000000000004</v>
      </c>
      <c r="M73" s="3131">
        <v>0.71230000000000004</v>
      </c>
    </row>
    <row r="74" spans="1:13">
      <c r="A74" s="3129">
        <v>8.1</v>
      </c>
      <c r="B74" s="3130">
        <v>0.90959999999999996</v>
      </c>
      <c r="C74" s="3130">
        <v>0.90959999999999996</v>
      </c>
      <c r="D74" s="3130">
        <v>0.84089999999999998</v>
      </c>
      <c r="E74" s="3130">
        <v>0.84089999999999998</v>
      </c>
      <c r="F74" s="3130">
        <v>0.84089999999999998</v>
      </c>
      <c r="G74" s="3130">
        <v>0.84089999999999998</v>
      </c>
      <c r="H74" s="3130">
        <v>0.84089999999999998</v>
      </c>
      <c r="I74" s="3130">
        <v>0.70979999999999999</v>
      </c>
      <c r="J74" s="3130">
        <v>0.70979999999999999</v>
      </c>
      <c r="K74" s="3130">
        <v>0.70979999999999999</v>
      </c>
      <c r="L74" s="3130">
        <v>0.70979999999999999</v>
      </c>
      <c r="M74" s="3131">
        <v>0.70979999999999999</v>
      </c>
    </row>
    <row r="75" spans="1:13">
      <c r="A75" s="3129">
        <v>8.1999999999999993</v>
      </c>
      <c r="B75" s="3130">
        <v>0.9083</v>
      </c>
      <c r="C75" s="3130">
        <v>0.9083</v>
      </c>
      <c r="D75" s="3130">
        <v>0.83899999999999997</v>
      </c>
      <c r="E75" s="3130">
        <v>0.83899999999999997</v>
      </c>
      <c r="F75" s="3130">
        <v>0.83899999999999997</v>
      </c>
      <c r="G75" s="3130">
        <v>0.83899999999999997</v>
      </c>
      <c r="H75" s="3130">
        <v>0.83899999999999997</v>
      </c>
      <c r="I75" s="3130">
        <v>0.70730000000000004</v>
      </c>
      <c r="J75" s="3130">
        <v>0.70730000000000004</v>
      </c>
      <c r="K75" s="3130">
        <v>0.70730000000000004</v>
      </c>
      <c r="L75" s="3130">
        <v>0.70730000000000004</v>
      </c>
      <c r="M75" s="3131">
        <v>0.70730000000000004</v>
      </c>
    </row>
    <row r="76" spans="1:13">
      <c r="A76" s="3129">
        <v>8.3000000000000007</v>
      </c>
      <c r="B76" s="3130">
        <v>0.90700000000000003</v>
      </c>
      <c r="C76" s="3130">
        <v>0.90700000000000003</v>
      </c>
      <c r="D76" s="3130">
        <v>0.83720000000000006</v>
      </c>
      <c r="E76" s="3130">
        <v>0.83720000000000006</v>
      </c>
      <c r="F76" s="3130">
        <v>0.83720000000000006</v>
      </c>
      <c r="G76" s="3130">
        <v>0.83720000000000006</v>
      </c>
      <c r="H76" s="3130">
        <v>0.83720000000000006</v>
      </c>
      <c r="I76" s="3130">
        <v>0.70489999999999997</v>
      </c>
      <c r="J76" s="3130">
        <v>0.70489999999999997</v>
      </c>
      <c r="K76" s="3130">
        <v>0.70489999999999997</v>
      </c>
      <c r="L76" s="3130">
        <v>0.70489999999999997</v>
      </c>
      <c r="M76" s="3131">
        <v>0.70489999999999997</v>
      </c>
    </row>
    <row r="77" spans="1:13">
      <c r="A77" s="3129">
        <v>8.4</v>
      </c>
      <c r="B77" s="3130">
        <v>0.90569999999999995</v>
      </c>
      <c r="C77" s="3130">
        <v>0.90569999999999995</v>
      </c>
      <c r="D77" s="3130">
        <v>0.83540000000000003</v>
      </c>
      <c r="E77" s="3130">
        <v>0.83540000000000003</v>
      </c>
      <c r="F77" s="3130">
        <v>0.83540000000000003</v>
      </c>
      <c r="G77" s="3130">
        <v>0.83540000000000003</v>
      </c>
      <c r="H77" s="3130">
        <v>0.83540000000000003</v>
      </c>
      <c r="I77" s="3130">
        <v>0.70250000000000001</v>
      </c>
      <c r="J77" s="3130">
        <v>0.70250000000000001</v>
      </c>
      <c r="K77" s="3130">
        <v>0.70250000000000001</v>
      </c>
      <c r="L77" s="3130">
        <v>0.70250000000000001</v>
      </c>
      <c r="M77" s="3131">
        <v>0.70250000000000001</v>
      </c>
    </row>
    <row r="78" spans="1:13">
      <c r="A78" s="3129">
        <v>8.5</v>
      </c>
      <c r="B78" s="3130">
        <v>0.90439999999999998</v>
      </c>
      <c r="C78" s="3130">
        <v>0.90439999999999998</v>
      </c>
      <c r="D78" s="3130">
        <v>0.83360000000000001</v>
      </c>
      <c r="E78" s="3130">
        <v>0.83360000000000001</v>
      </c>
      <c r="F78" s="3130">
        <v>0.83360000000000001</v>
      </c>
      <c r="G78" s="3130">
        <v>0.83360000000000001</v>
      </c>
      <c r="H78" s="3130">
        <v>0.83360000000000001</v>
      </c>
      <c r="I78" s="3130">
        <v>0.70009999999999994</v>
      </c>
      <c r="J78" s="3130">
        <v>0.70009999999999994</v>
      </c>
      <c r="K78" s="3130">
        <v>0.70009999999999994</v>
      </c>
      <c r="L78" s="3130">
        <v>0.70009999999999994</v>
      </c>
      <c r="M78" s="3131">
        <v>0.70009999999999994</v>
      </c>
    </row>
    <row r="79" spans="1:13">
      <c r="A79" s="3129">
        <v>8.6</v>
      </c>
      <c r="B79" s="3130">
        <v>0.90310000000000001</v>
      </c>
      <c r="C79" s="3130">
        <v>0.90310000000000001</v>
      </c>
      <c r="D79" s="3130">
        <v>0.83179999999999998</v>
      </c>
      <c r="E79" s="3130">
        <v>0.83179999999999998</v>
      </c>
      <c r="F79" s="3130">
        <v>0.83179999999999998</v>
      </c>
      <c r="G79" s="3130">
        <v>0.83179999999999998</v>
      </c>
      <c r="H79" s="3130">
        <v>0.83179999999999998</v>
      </c>
      <c r="I79" s="3130">
        <v>0.69779999999999998</v>
      </c>
      <c r="J79" s="3130">
        <v>0.69779999999999998</v>
      </c>
      <c r="K79" s="3130">
        <v>0.69779999999999998</v>
      </c>
      <c r="L79" s="3130">
        <v>0.69779999999999998</v>
      </c>
      <c r="M79" s="3131">
        <v>0.69779999999999998</v>
      </c>
    </row>
    <row r="80" spans="1:13">
      <c r="A80" s="3129">
        <v>8.6999999999999993</v>
      </c>
      <c r="B80" s="3130">
        <v>0.90180000000000005</v>
      </c>
      <c r="C80" s="3130">
        <v>0.90180000000000005</v>
      </c>
      <c r="D80" s="3130">
        <v>0.83</v>
      </c>
      <c r="E80" s="3130">
        <v>0.83</v>
      </c>
      <c r="F80" s="3130">
        <v>0.83</v>
      </c>
      <c r="G80" s="3130">
        <v>0.83</v>
      </c>
      <c r="H80" s="3130">
        <v>0.83</v>
      </c>
      <c r="I80" s="3130">
        <v>0.69550000000000001</v>
      </c>
      <c r="J80" s="3130">
        <v>0.69550000000000001</v>
      </c>
      <c r="K80" s="3130">
        <v>0.69550000000000001</v>
      </c>
      <c r="L80" s="3130">
        <v>0.69550000000000001</v>
      </c>
      <c r="M80" s="3131">
        <v>0.69550000000000001</v>
      </c>
    </row>
    <row r="81" spans="1:20">
      <c r="A81" s="3129">
        <v>8.8000000000000007</v>
      </c>
      <c r="B81" s="3130">
        <v>0.90059999999999996</v>
      </c>
      <c r="C81" s="3130">
        <v>0.90059999999999996</v>
      </c>
      <c r="D81" s="3130">
        <v>0.82830000000000004</v>
      </c>
      <c r="E81" s="3130">
        <v>0.82830000000000004</v>
      </c>
      <c r="F81" s="3130">
        <v>0.82830000000000004</v>
      </c>
      <c r="G81" s="3130">
        <v>0.82830000000000004</v>
      </c>
      <c r="H81" s="3130">
        <v>0.82830000000000004</v>
      </c>
      <c r="I81" s="3130">
        <v>0.69320000000000004</v>
      </c>
      <c r="J81" s="3130">
        <v>0.69320000000000004</v>
      </c>
      <c r="K81" s="3130">
        <v>0.69320000000000004</v>
      </c>
      <c r="L81" s="3130">
        <v>0.69320000000000004</v>
      </c>
      <c r="M81" s="3131">
        <v>0.69320000000000004</v>
      </c>
    </row>
    <row r="82" spans="1:20">
      <c r="A82" s="3129">
        <v>8.9</v>
      </c>
      <c r="B82" s="3130">
        <v>0.89939999999999998</v>
      </c>
      <c r="C82" s="3130">
        <v>0.89939999999999998</v>
      </c>
      <c r="D82" s="3130">
        <v>0.8266</v>
      </c>
      <c r="E82" s="3130">
        <v>0.8266</v>
      </c>
      <c r="F82" s="3130">
        <v>0.8266</v>
      </c>
      <c r="G82" s="3130">
        <v>0.8266</v>
      </c>
      <c r="H82" s="3130">
        <v>0.8266</v>
      </c>
      <c r="I82" s="3130">
        <v>0.69099999999999995</v>
      </c>
      <c r="J82" s="3130">
        <v>0.69099999999999995</v>
      </c>
      <c r="K82" s="3130">
        <v>0.69099999999999995</v>
      </c>
      <c r="L82" s="3130">
        <v>0.69099999999999995</v>
      </c>
      <c r="M82" s="3131">
        <v>0.69099999999999995</v>
      </c>
    </row>
    <row r="83" spans="1:20">
      <c r="A83" s="3132">
        <v>9</v>
      </c>
      <c r="B83" s="3130">
        <v>0.8982</v>
      </c>
      <c r="C83" s="3130">
        <v>0.8982</v>
      </c>
      <c r="D83" s="3130">
        <v>0.82489999999999997</v>
      </c>
      <c r="E83" s="3130">
        <v>0.82489999999999997</v>
      </c>
      <c r="F83" s="3130">
        <v>0.82489999999999997</v>
      </c>
      <c r="G83" s="3130">
        <v>0.82489999999999997</v>
      </c>
      <c r="H83" s="3130">
        <v>0.82489999999999997</v>
      </c>
      <c r="I83" s="3130">
        <v>0.68879999999999997</v>
      </c>
      <c r="J83" s="3130">
        <v>0.68879999999999997</v>
      </c>
      <c r="K83" s="3130">
        <v>0.68879999999999997</v>
      </c>
      <c r="L83" s="3130">
        <v>0.68879999999999997</v>
      </c>
      <c r="M83" s="3131">
        <v>0.68879999999999997</v>
      </c>
    </row>
    <row r="84" spans="1:20">
      <c r="A84" s="3132">
        <v>9.1</v>
      </c>
      <c r="B84" s="3130">
        <v>0.89700000000000002</v>
      </c>
      <c r="C84" s="3130">
        <v>0.89700000000000002</v>
      </c>
      <c r="D84" s="3130">
        <v>0.82320000000000004</v>
      </c>
      <c r="E84" s="3130">
        <v>0.82320000000000004</v>
      </c>
      <c r="F84" s="3130">
        <v>0.82320000000000004</v>
      </c>
      <c r="G84" s="3130">
        <v>0.82320000000000004</v>
      </c>
      <c r="H84" s="3130">
        <v>0.82320000000000004</v>
      </c>
      <c r="I84" s="3130">
        <v>0.68659999999999999</v>
      </c>
      <c r="J84" s="3130">
        <v>0.68659999999999999</v>
      </c>
      <c r="K84" s="3130">
        <v>0.68659999999999999</v>
      </c>
      <c r="L84" s="3130">
        <v>0.68659999999999999</v>
      </c>
      <c r="M84" s="3131">
        <v>0.68659999999999999</v>
      </c>
    </row>
    <row r="85" spans="1:20">
      <c r="A85" s="3132">
        <v>9.1999999999999993</v>
      </c>
      <c r="B85" s="3130">
        <v>0.89580000000000004</v>
      </c>
      <c r="C85" s="3130">
        <v>0.89580000000000004</v>
      </c>
      <c r="D85" s="3130">
        <v>0.82150000000000001</v>
      </c>
      <c r="E85" s="3130">
        <v>0.82150000000000001</v>
      </c>
      <c r="F85" s="3130">
        <v>0.82150000000000001</v>
      </c>
      <c r="G85" s="3130">
        <v>0.82150000000000001</v>
      </c>
      <c r="H85" s="3130">
        <v>0.82150000000000001</v>
      </c>
      <c r="I85" s="3130">
        <v>0.6845</v>
      </c>
      <c r="J85" s="3130">
        <v>0.6845</v>
      </c>
      <c r="K85" s="3130">
        <v>0.6845</v>
      </c>
      <c r="L85" s="3130">
        <v>0.6845</v>
      </c>
      <c r="M85" s="3131">
        <v>0.6845</v>
      </c>
    </row>
    <row r="86" spans="1:20">
      <c r="A86" s="3132">
        <v>9.3000000000000007</v>
      </c>
      <c r="B86" s="3130">
        <v>0.89459999999999995</v>
      </c>
      <c r="C86" s="3130">
        <v>0.89459999999999995</v>
      </c>
      <c r="D86" s="3130">
        <v>0.81989999999999996</v>
      </c>
      <c r="E86" s="3130">
        <v>0.81989999999999996</v>
      </c>
      <c r="F86" s="3130">
        <v>0.81989999999999996</v>
      </c>
      <c r="G86" s="3130">
        <v>0.81989999999999996</v>
      </c>
      <c r="H86" s="3130">
        <v>0.81989999999999996</v>
      </c>
      <c r="I86" s="3130">
        <v>0.68240000000000001</v>
      </c>
      <c r="J86" s="3130">
        <v>0.68240000000000001</v>
      </c>
      <c r="K86" s="3130">
        <v>0.68240000000000001</v>
      </c>
      <c r="L86" s="3130">
        <v>0.68240000000000001</v>
      </c>
      <c r="M86" s="3131">
        <v>0.68240000000000001</v>
      </c>
    </row>
    <row r="87" spans="1:20">
      <c r="A87" s="3132">
        <v>9.4</v>
      </c>
      <c r="B87" s="3130">
        <v>0.89339999999999997</v>
      </c>
      <c r="C87" s="3130">
        <v>0.89339999999999997</v>
      </c>
      <c r="D87" s="3130">
        <v>0.81830000000000003</v>
      </c>
      <c r="E87" s="3130">
        <v>0.81830000000000003</v>
      </c>
      <c r="F87" s="3130">
        <v>0.81830000000000003</v>
      </c>
      <c r="G87" s="3130">
        <v>0.81830000000000003</v>
      </c>
      <c r="H87" s="3130">
        <v>0.81830000000000003</v>
      </c>
      <c r="I87" s="3130">
        <v>0.68030000000000002</v>
      </c>
      <c r="J87" s="3130">
        <v>0.68030000000000002</v>
      </c>
      <c r="K87" s="3130">
        <v>0.68030000000000002</v>
      </c>
      <c r="L87" s="3130">
        <v>0.68030000000000002</v>
      </c>
      <c r="M87" s="3131">
        <v>0.68030000000000002</v>
      </c>
    </row>
    <row r="88" spans="1:20">
      <c r="A88" s="3132">
        <v>9.5</v>
      </c>
      <c r="B88" s="3130">
        <v>0.89229999999999998</v>
      </c>
      <c r="C88" s="3130">
        <v>0.89229999999999998</v>
      </c>
      <c r="D88" s="3130">
        <v>0.81669999999999998</v>
      </c>
      <c r="E88" s="3130">
        <v>0.81669999999999998</v>
      </c>
      <c r="F88" s="3130">
        <v>0.81669999999999998</v>
      </c>
      <c r="G88" s="3130">
        <v>0.81669999999999998</v>
      </c>
      <c r="H88" s="3130">
        <v>0.81669999999999998</v>
      </c>
      <c r="I88" s="3130">
        <v>0.67830000000000001</v>
      </c>
      <c r="J88" s="3130">
        <v>0.67830000000000001</v>
      </c>
      <c r="K88" s="3130">
        <v>0.67830000000000001</v>
      </c>
      <c r="L88" s="3130">
        <v>0.67830000000000001</v>
      </c>
      <c r="M88" s="3131">
        <v>0.67830000000000001</v>
      </c>
    </row>
    <row r="89" spans="1:20">
      <c r="A89" s="3132">
        <v>9.6</v>
      </c>
      <c r="B89" s="3130">
        <v>0.89119999999999999</v>
      </c>
      <c r="C89" s="3130">
        <v>0.89119999999999999</v>
      </c>
      <c r="D89" s="3130">
        <v>0.81510000000000005</v>
      </c>
      <c r="E89" s="3130">
        <v>0.81510000000000005</v>
      </c>
      <c r="F89" s="3130">
        <v>0.81510000000000005</v>
      </c>
      <c r="G89" s="3130">
        <v>0.81510000000000005</v>
      </c>
      <c r="H89" s="3130">
        <v>0.81510000000000005</v>
      </c>
      <c r="I89" s="3130">
        <v>0.67630000000000001</v>
      </c>
      <c r="J89" s="3130">
        <v>0.67630000000000001</v>
      </c>
      <c r="K89" s="3130">
        <v>0.67630000000000001</v>
      </c>
      <c r="L89" s="3130">
        <v>0.67630000000000001</v>
      </c>
      <c r="M89" s="3131">
        <v>0.67630000000000001</v>
      </c>
    </row>
    <row r="90" spans="1:20">
      <c r="A90" s="3132">
        <v>9.6999999999999993</v>
      </c>
      <c r="B90" s="3130">
        <v>0.8901</v>
      </c>
      <c r="C90" s="3130">
        <v>0.8901</v>
      </c>
      <c r="D90" s="3130">
        <v>0.8135</v>
      </c>
      <c r="E90" s="3130">
        <v>0.8135</v>
      </c>
      <c r="F90" s="3130">
        <v>0.8135</v>
      </c>
      <c r="G90" s="3130">
        <v>0.8135</v>
      </c>
      <c r="H90" s="3130">
        <v>0.8135</v>
      </c>
      <c r="I90" s="3130">
        <v>0.67430000000000001</v>
      </c>
      <c r="J90" s="3130">
        <v>0.67430000000000001</v>
      </c>
      <c r="K90" s="3130">
        <v>0.67430000000000001</v>
      </c>
      <c r="L90" s="3130">
        <v>0.67430000000000001</v>
      </c>
      <c r="M90" s="3131">
        <v>0.67430000000000001</v>
      </c>
    </row>
    <row r="91" spans="1:20">
      <c r="A91" s="3132">
        <v>9.8000000000000007</v>
      </c>
      <c r="B91" s="3130">
        <v>0.88900000000000001</v>
      </c>
      <c r="C91" s="3130">
        <v>0.88900000000000001</v>
      </c>
      <c r="D91" s="3130">
        <v>0.81200000000000006</v>
      </c>
      <c r="E91" s="3130">
        <v>0.81200000000000006</v>
      </c>
      <c r="F91" s="3130">
        <v>0.81200000000000006</v>
      </c>
      <c r="G91" s="3130">
        <v>0.81200000000000006</v>
      </c>
      <c r="H91" s="3130">
        <v>0.81200000000000006</v>
      </c>
      <c r="I91" s="3130">
        <v>0.6724</v>
      </c>
      <c r="J91" s="3130">
        <v>0.6724</v>
      </c>
      <c r="K91" s="3130">
        <v>0.6724</v>
      </c>
      <c r="L91" s="3130">
        <v>0.6724</v>
      </c>
      <c r="M91" s="3131">
        <v>0.6724</v>
      </c>
    </row>
    <row r="92" spans="1:20" ht="14.25" thickBot="1">
      <c r="A92" s="3133">
        <v>9.9</v>
      </c>
      <c r="B92" s="3134">
        <v>0.88790000000000002</v>
      </c>
      <c r="C92" s="3134">
        <v>0.88790000000000002</v>
      </c>
      <c r="D92" s="3134">
        <v>0.8105</v>
      </c>
      <c r="E92" s="3134">
        <v>0.8105</v>
      </c>
      <c r="F92" s="3134">
        <v>0.8105</v>
      </c>
      <c r="G92" s="3134">
        <v>0.8105</v>
      </c>
      <c r="H92" s="3134">
        <v>0.8105</v>
      </c>
      <c r="I92" s="3134">
        <v>0.67049999999999998</v>
      </c>
      <c r="J92" s="3134">
        <v>0.67049999999999998</v>
      </c>
      <c r="K92" s="3134">
        <v>0.67049999999999998</v>
      </c>
      <c r="L92" s="3134">
        <v>0.67049999999999998</v>
      </c>
      <c r="M92" s="3135">
        <v>0.67049999999999998</v>
      </c>
    </row>
    <row r="93" spans="1:20" ht="15" thickBot="1">
      <c r="A93" s="3123" t="s">
        <v>2801</v>
      </c>
      <c r="B93" s="3123"/>
      <c r="C93" s="3123"/>
      <c r="D93" s="3123"/>
      <c r="E93" s="3123"/>
      <c r="F93" s="3123"/>
      <c r="G93" s="3123"/>
      <c r="H93" s="3123"/>
      <c r="I93" s="3123"/>
      <c r="J93" s="3123"/>
      <c r="K93" s="3123"/>
      <c r="L93" s="3123"/>
      <c r="M93" s="3123"/>
    </row>
    <row r="94" spans="1:20">
      <c r="A94" s="3124" t="s">
        <v>2800</v>
      </c>
      <c r="B94" s="3125" t="s">
        <v>2596</v>
      </c>
      <c r="C94" s="3125" t="s">
        <v>2597</v>
      </c>
      <c r="D94" s="3125" t="s">
        <v>2598</v>
      </c>
      <c r="E94" s="3125" t="s">
        <v>2599</v>
      </c>
      <c r="F94" s="3125" t="s">
        <v>2600</v>
      </c>
      <c r="G94" s="3125" t="s">
        <v>2601</v>
      </c>
      <c r="H94" s="3126" t="s">
        <v>2602</v>
      </c>
      <c r="I94" s="3126" t="s">
        <v>2603</v>
      </c>
      <c r="J94" s="3127" t="s">
        <v>2604</v>
      </c>
      <c r="K94" s="3127" t="s">
        <v>2605</v>
      </c>
      <c r="L94" s="3127" t="s">
        <v>2606</v>
      </c>
      <c r="M94" s="3128" t="s">
        <v>2607</v>
      </c>
      <c r="N94" s="749">
        <f>SUMPRODUCT((A95:A184=ROUNDDOWN(基准地价修正!G3,1))*(B94:M94=基准地价修正!G2)*(B95:M184))</f>
        <v>1.0985</v>
      </c>
      <c r="Q94" s="3138" t="s">
        <v>2805</v>
      </c>
      <c r="R94" s="3138" t="s">
        <v>2806</v>
      </c>
      <c r="S94" s="3138" t="s">
        <v>2807</v>
      </c>
      <c r="T94" s="3138" t="s">
        <v>2808</v>
      </c>
    </row>
    <row r="95" spans="1:20">
      <c r="A95" s="3129">
        <v>1</v>
      </c>
      <c r="B95" s="3130">
        <v>1.2501</v>
      </c>
      <c r="C95" s="3130">
        <v>1.2501</v>
      </c>
      <c r="D95" s="3130">
        <v>1.2158</v>
      </c>
      <c r="E95" s="3130">
        <v>1.2158</v>
      </c>
      <c r="F95" s="3130">
        <v>1.2158</v>
      </c>
      <c r="G95" s="3130">
        <v>1.2158</v>
      </c>
      <c r="H95" s="3130">
        <v>1.2158</v>
      </c>
      <c r="I95" s="3130">
        <v>1.2302</v>
      </c>
      <c r="J95" s="3130">
        <v>1.2302</v>
      </c>
      <c r="K95" s="3130">
        <v>1.2302</v>
      </c>
      <c r="L95" s="3130">
        <v>1.2302</v>
      </c>
      <c r="M95" s="3131">
        <v>1.2302</v>
      </c>
      <c r="Q95" s="3138">
        <v>10</v>
      </c>
      <c r="R95" s="3138">
        <f>ROUND(0.993-0.0112*Q95,4)</f>
        <v>0.88100000000000001</v>
      </c>
      <c r="S95" s="3138">
        <f>ROUND(0.9415-0.0142*Q95,4)</f>
        <v>0.79949999999999999</v>
      </c>
      <c r="T95" s="3138">
        <f>ROUND(0.8438-0.0182*Q95,4)</f>
        <v>0.66180000000000005</v>
      </c>
    </row>
    <row r="96" spans="1:20">
      <c r="A96" s="3129">
        <v>1.1000000000000001</v>
      </c>
      <c r="B96" s="3130">
        <v>1.2310000000000001</v>
      </c>
      <c r="C96" s="3130">
        <v>1.2310000000000001</v>
      </c>
      <c r="D96" s="3130">
        <v>1.1947000000000001</v>
      </c>
      <c r="E96" s="3130">
        <v>1.1947000000000001</v>
      </c>
      <c r="F96" s="3130">
        <v>1.1947000000000001</v>
      </c>
      <c r="G96" s="3130">
        <v>1.1947000000000001</v>
      </c>
      <c r="H96" s="3130">
        <v>1.1947000000000001</v>
      </c>
      <c r="I96" s="3130">
        <v>1.2008000000000001</v>
      </c>
      <c r="J96" s="3130">
        <v>1.2008000000000001</v>
      </c>
      <c r="K96" s="3130">
        <v>1.2008000000000001</v>
      </c>
      <c r="L96" s="3130">
        <v>1.2008000000000001</v>
      </c>
      <c r="M96" s="3131">
        <v>1.2008000000000001</v>
      </c>
    </row>
    <row r="97" spans="1:14">
      <c r="A97" s="3129">
        <v>1.2</v>
      </c>
      <c r="B97" s="3130">
        <v>1.2130000000000001</v>
      </c>
      <c r="C97" s="3130">
        <v>1.2130000000000001</v>
      </c>
      <c r="D97" s="3130">
        <v>1.1748000000000001</v>
      </c>
      <c r="E97" s="3130">
        <v>1.1748000000000001</v>
      </c>
      <c r="F97" s="3130">
        <v>1.1748000000000001</v>
      </c>
      <c r="G97" s="3130">
        <v>1.1748000000000001</v>
      </c>
      <c r="H97" s="3130">
        <v>1.1748000000000001</v>
      </c>
      <c r="I97" s="3130">
        <v>1.173</v>
      </c>
      <c r="J97" s="3130">
        <v>1.173</v>
      </c>
      <c r="K97" s="3130">
        <v>1.173</v>
      </c>
      <c r="L97" s="3130">
        <v>1.173</v>
      </c>
      <c r="M97" s="3131">
        <v>1.173</v>
      </c>
    </row>
    <row r="98" spans="1:14">
      <c r="A98" s="3129">
        <v>1.3</v>
      </c>
      <c r="B98" s="3130">
        <v>1.196</v>
      </c>
      <c r="C98" s="3130">
        <v>1.196</v>
      </c>
      <c r="D98" s="3130">
        <v>1.1559999999999999</v>
      </c>
      <c r="E98" s="3130">
        <v>1.1559999999999999</v>
      </c>
      <c r="F98" s="3130">
        <v>1.1559999999999999</v>
      </c>
      <c r="G98" s="3130">
        <v>1.1559999999999999</v>
      </c>
      <c r="H98" s="3130">
        <v>1.1559999999999999</v>
      </c>
      <c r="I98" s="3130">
        <v>1.1468</v>
      </c>
      <c r="J98" s="3130">
        <v>1.1468</v>
      </c>
      <c r="K98" s="3130">
        <v>1.1468</v>
      </c>
      <c r="L98" s="3130">
        <v>1.1468</v>
      </c>
      <c r="M98" s="3131">
        <v>1.1468</v>
      </c>
    </row>
    <row r="99" spans="1:14">
      <c r="A99" s="3129">
        <v>1.4</v>
      </c>
      <c r="B99" s="3130">
        <v>1.18</v>
      </c>
      <c r="C99" s="3130">
        <v>1.18</v>
      </c>
      <c r="D99" s="3130">
        <v>1.1382000000000001</v>
      </c>
      <c r="E99" s="3130">
        <v>1.1382000000000001</v>
      </c>
      <c r="F99" s="3130">
        <v>1.1382000000000001</v>
      </c>
      <c r="G99" s="3130">
        <v>1.1382000000000001</v>
      </c>
      <c r="H99" s="3130">
        <v>1.1382000000000001</v>
      </c>
      <c r="I99" s="3130">
        <v>1.1220000000000001</v>
      </c>
      <c r="J99" s="3130">
        <v>1.1220000000000001</v>
      </c>
      <c r="K99" s="3130">
        <v>1.1220000000000001</v>
      </c>
      <c r="L99" s="3130">
        <v>1.1220000000000001</v>
      </c>
      <c r="M99" s="3131">
        <v>1.1220000000000001</v>
      </c>
    </row>
    <row r="100" spans="1:14">
      <c r="A100" s="3129">
        <v>1.5</v>
      </c>
      <c r="B100" s="3130">
        <v>1.1649</v>
      </c>
      <c r="C100" s="3130">
        <v>1.1649</v>
      </c>
      <c r="D100" s="3130">
        <v>1.1214999999999999</v>
      </c>
      <c r="E100" s="3130">
        <v>1.1214999999999999</v>
      </c>
      <c r="F100" s="3130">
        <v>1.1214999999999999</v>
      </c>
      <c r="G100" s="3130">
        <v>1.1214999999999999</v>
      </c>
      <c r="H100" s="3130">
        <v>1.1214999999999999</v>
      </c>
      <c r="I100" s="3130">
        <v>1.0985</v>
      </c>
      <c r="J100" s="3130">
        <v>1.0985</v>
      </c>
      <c r="K100" s="3130">
        <v>1.0985</v>
      </c>
      <c r="L100" s="3130">
        <v>1.0985</v>
      </c>
      <c r="M100" s="3131">
        <v>1.0985</v>
      </c>
    </row>
    <row r="101" spans="1:14">
      <c r="A101" s="3129">
        <v>1.6</v>
      </c>
      <c r="B101" s="3130">
        <v>1.1507000000000001</v>
      </c>
      <c r="C101" s="3130">
        <v>1.1507000000000001</v>
      </c>
      <c r="D101" s="3130">
        <v>1.1056999999999999</v>
      </c>
      <c r="E101" s="3130">
        <v>1.1056999999999999</v>
      </c>
      <c r="F101" s="3130">
        <v>1.1056999999999999</v>
      </c>
      <c r="G101" s="3130">
        <v>1.1056999999999999</v>
      </c>
      <c r="H101" s="3130">
        <v>1.1056999999999999</v>
      </c>
      <c r="I101" s="3130">
        <v>1.0764</v>
      </c>
      <c r="J101" s="3130">
        <v>1.0764</v>
      </c>
      <c r="K101" s="3130">
        <v>1.0764</v>
      </c>
      <c r="L101" s="3130">
        <v>1.0764</v>
      </c>
      <c r="M101" s="3131">
        <v>1.0764</v>
      </c>
    </row>
    <row r="102" spans="1:14">
      <c r="A102" s="3129">
        <v>1.7</v>
      </c>
      <c r="B102" s="3130">
        <v>1.1373</v>
      </c>
      <c r="C102" s="3130">
        <v>1.1373</v>
      </c>
      <c r="D102" s="3130">
        <v>1.0908</v>
      </c>
      <c r="E102" s="3130">
        <v>1.0908</v>
      </c>
      <c r="F102" s="3130">
        <v>1.0908</v>
      </c>
      <c r="G102" s="3130">
        <v>1.0908</v>
      </c>
      <c r="H102" s="3130">
        <v>1.0908</v>
      </c>
      <c r="I102" s="3130">
        <v>1.0556000000000001</v>
      </c>
      <c r="J102" s="3130">
        <v>1.0556000000000001</v>
      </c>
      <c r="K102" s="3130">
        <v>1.0556000000000001</v>
      </c>
      <c r="L102" s="3130">
        <v>1.0556000000000001</v>
      </c>
      <c r="M102" s="3131">
        <v>1.0556000000000001</v>
      </c>
    </row>
    <row r="103" spans="1:14" ht="14.25">
      <c r="A103" s="3129">
        <v>1.8</v>
      </c>
      <c r="B103" s="3130">
        <v>1.1247</v>
      </c>
      <c r="C103" s="3130">
        <v>1.1247</v>
      </c>
      <c r="D103" s="3130">
        <v>1.0768</v>
      </c>
      <c r="E103" s="3130">
        <v>1.0768</v>
      </c>
      <c r="F103" s="3130">
        <v>1.0768</v>
      </c>
      <c r="G103" s="3130">
        <v>1.0768</v>
      </c>
      <c r="H103" s="3130">
        <v>1.0768</v>
      </c>
      <c r="I103" s="3130">
        <v>1.0359</v>
      </c>
      <c r="J103" s="3130">
        <v>1.0359</v>
      </c>
      <c r="K103" s="3130">
        <v>1.0359</v>
      </c>
      <c r="L103" s="3130">
        <v>1.0359</v>
      </c>
      <c r="M103" s="3131">
        <v>1.0359</v>
      </c>
      <c r="N103" s="748"/>
    </row>
    <row r="104" spans="1:14" ht="14.25">
      <c r="A104" s="3129">
        <v>1.9</v>
      </c>
      <c r="B104" s="3130">
        <v>1.1128</v>
      </c>
      <c r="C104" s="3130">
        <v>1.1128</v>
      </c>
      <c r="D104" s="3130">
        <v>1.0637000000000001</v>
      </c>
      <c r="E104" s="3130">
        <v>1.0637000000000001</v>
      </c>
      <c r="F104" s="3130">
        <v>1.0637000000000001</v>
      </c>
      <c r="G104" s="3130">
        <v>1.0637000000000001</v>
      </c>
      <c r="H104" s="3130">
        <v>1.0637000000000001</v>
      </c>
      <c r="I104" s="3130">
        <v>1.0174000000000001</v>
      </c>
      <c r="J104" s="3130">
        <v>1.0174000000000001</v>
      </c>
      <c r="K104" s="3130">
        <v>1.0174000000000001</v>
      </c>
      <c r="L104" s="3130">
        <v>1.0174000000000001</v>
      </c>
      <c r="M104" s="3131">
        <v>1.0174000000000001</v>
      </c>
      <c r="N104" s="748"/>
    </row>
    <row r="105" spans="1:14">
      <c r="A105" s="3129">
        <v>2</v>
      </c>
      <c r="B105" s="3130">
        <v>1.1016999999999999</v>
      </c>
      <c r="C105" s="3130">
        <v>1.1016999999999999</v>
      </c>
      <c r="D105" s="3130">
        <v>1.0512999999999999</v>
      </c>
      <c r="E105" s="3130">
        <v>1.0512999999999999</v>
      </c>
      <c r="F105" s="3130">
        <v>1.0512999999999999</v>
      </c>
      <c r="G105" s="3130">
        <v>1.0512999999999999</v>
      </c>
      <c r="H105" s="3130">
        <v>1.0512999999999999</v>
      </c>
      <c r="I105" s="3130">
        <v>1</v>
      </c>
      <c r="J105" s="3130">
        <v>1</v>
      </c>
      <c r="K105" s="3130">
        <v>1</v>
      </c>
      <c r="L105" s="3130">
        <v>1</v>
      </c>
      <c r="M105" s="3131">
        <v>1</v>
      </c>
    </row>
    <row r="106" spans="1:14">
      <c r="A106" s="3132">
        <v>2.1</v>
      </c>
      <c r="B106" s="3130">
        <v>1.0912999999999999</v>
      </c>
      <c r="C106" s="3130">
        <v>1.0912999999999999</v>
      </c>
      <c r="D106" s="3130">
        <v>1.0397000000000001</v>
      </c>
      <c r="E106" s="3130">
        <v>1.0397000000000001</v>
      </c>
      <c r="F106" s="3130">
        <v>1.0397000000000001</v>
      </c>
      <c r="G106" s="3130">
        <v>1.0397000000000001</v>
      </c>
      <c r="H106" s="3130">
        <v>1.0397000000000001</v>
      </c>
      <c r="I106" s="3130">
        <v>0.98360000000000003</v>
      </c>
      <c r="J106" s="3130">
        <v>0.98360000000000003</v>
      </c>
      <c r="K106" s="3130">
        <v>0.98360000000000003</v>
      </c>
      <c r="L106" s="3130">
        <v>0.98360000000000003</v>
      </c>
      <c r="M106" s="3131">
        <v>0.98360000000000003</v>
      </c>
    </row>
    <row r="107" spans="1:14">
      <c r="A107" s="3132">
        <v>2.2000000000000002</v>
      </c>
      <c r="B107" s="3130">
        <v>1.0814999999999999</v>
      </c>
      <c r="C107" s="3130">
        <v>1.0814999999999999</v>
      </c>
      <c r="D107" s="3130">
        <v>1.0287999999999999</v>
      </c>
      <c r="E107" s="3130">
        <v>1.0287999999999999</v>
      </c>
      <c r="F107" s="3130">
        <v>1.0287999999999999</v>
      </c>
      <c r="G107" s="3130">
        <v>1.0287999999999999</v>
      </c>
      <c r="H107" s="3130">
        <v>1.0287999999999999</v>
      </c>
      <c r="I107" s="3130">
        <v>0.96819999999999995</v>
      </c>
      <c r="J107" s="3130">
        <v>0.96819999999999995</v>
      </c>
      <c r="K107" s="3130">
        <v>0.96819999999999995</v>
      </c>
      <c r="L107" s="3130">
        <v>0.96819999999999995</v>
      </c>
      <c r="M107" s="3131">
        <v>0.96819999999999995</v>
      </c>
    </row>
    <row r="108" spans="1:14">
      <c r="A108" s="3132">
        <v>2.2999999999999998</v>
      </c>
      <c r="B108" s="3130">
        <v>1.0724</v>
      </c>
      <c r="C108" s="3130">
        <v>1.0724</v>
      </c>
      <c r="D108" s="3130">
        <v>1.0185999999999999</v>
      </c>
      <c r="E108" s="3130">
        <v>1.0185999999999999</v>
      </c>
      <c r="F108" s="3130">
        <v>1.0185999999999999</v>
      </c>
      <c r="G108" s="3130">
        <v>1.0185999999999999</v>
      </c>
      <c r="H108" s="3130">
        <v>1.0185999999999999</v>
      </c>
      <c r="I108" s="3130">
        <v>0.95369999999999999</v>
      </c>
      <c r="J108" s="3130">
        <v>0.95369999999999999</v>
      </c>
      <c r="K108" s="3130">
        <v>0.95369999999999999</v>
      </c>
      <c r="L108" s="3130">
        <v>0.95369999999999999</v>
      </c>
      <c r="M108" s="3131">
        <v>0.95369999999999999</v>
      </c>
    </row>
    <row r="109" spans="1:14">
      <c r="A109" s="3132">
        <v>2.4</v>
      </c>
      <c r="B109" s="3130">
        <v>1.0638000000000001</v>
      </c>
      <c r="C109" s="3130">
        <v>1.0638000000000001</v>
      </c>
      <c r="D109" s="3130">
        <v>1.0089999999999999</v>
      </c>
      <c r="E109" s="3130">
        <v>1.0089999999999999</v>
      </c>
      <c r="F109" s="3130">
        <v>1.0089999999999999</v>
      </c>
      <c r="G109" s="3130">
        <v>1.0089999999999999</v>
      </c>
      <c r="H109" s="3130">
        <v>1.0089999999999999</v>
      </c>
      <c r="I109" s="3130">
        <v>0.94010000000000005</v>
      </c>
      <c r="J109" s="3130">
        <v>0.94010000000000005</v>
      </c>
      <c r="K109" s="3130">
        <v>0.94010000000000005</v>
      </c>
      <c r="L109" s="3130">
        <v>0.94010000000000005</v>
      </c>
      <c r="M109" s="3131">
        <v>0.94010000000000005</v>
      </c>
    </row>
    <row r="110" spans="1:14">
      <c r="A110" s="3132">
        <v>2.5</v>
      </c>
      <c r="B110" s="3130">
        <v>1.0558000000000001</v>
      </c>
      <c r="C110" s="3130">
        <v>1.0558000000000001</v>
      </c>
      <c r="D110" s="3130">
        <v>1</v>
      </c>
      <c r="E110" s="3130">
        <v>1</v>
      </c>
      <c r="F110" s="3130">
        <v>1</v>
      </c>
      <c r="G110" s="3130">
        <v>1</v>
      </c>
      <c r="H110" s="3130">
        <v>1</v>
      </c>
      <c r="I110" s="3130">
        <v>0.9274</v>
      </c>
      <c r="J110" s="3130">
        <v>0.9274</v>
      </c>
      <c r="K110" s="3130">
        <v>0.9274</v>
      </c>
      <c r="L110" s="3130">
        <v>0.9274</v>
      </c>
      <c r="M110" s="3131">
        <v>0.9274</v>
      </c>
    </row>
    <row r="111" spans="1:14">
      <c r="A111" s="3132">
        <v>2.6</v>
      </c>
      <c r="B111" s="3130">
        <v>1.0483</v>
      </c>
      <c r="C111" s="3130">
        <v>1.0483</v>
      </c>
      <c r="D111" s="3130">
        <v>0.99160000000000004</v>
      </c>
      <c r="E111" s="3130">
        <v>0.99160000000000004</v>
      </c>
      <c r="F111" s="3130">
        <v>0.99160000000000004</v>
      </c>
      <c r="G111" s="3130">
        <v>0.99160000000000004</v>
      </c>
      <c r="H111" s="3130">
        <v>0.99160000000000004</v>
      </c>
      <c r="I111" s="3130">
        <v>0.91539999999999999</v>
      </c>
      <c r="J111" s="3130">
        <v>0.91539999999999999</v>
      </c>
      <c r="K111" s="3130">
        <v>0.91539999999999999</v>
      </c>
      <c r="L111" s="3130">
        <v>0.91539999999999999</v>
      </c>
      <c r="M111" s="3131">
        <v>0.91539999999999999</v>
      </c>
    </row>
    <row r="112" spans="1:14">
      <c r="A112" s="3132">
        <v>2.7</v>
      </c>
      <c r="B112" s="3130">
        <v>1.0412999999999999</v>
      </c>
      <c r="C112" s="3130">
        <v>1.0412999999999999</v>
      </c>
      <c r="D112" s="3130">
        <v>0.98370000000000002</v>
      </c>
      <c r="E112" s="3130">
        <v>0.98370000000000002</v>
      </c>
      <c r="F112" s="3130">
        <v>0.98370000000000002</v>
      </c>
      <c r="G112" s="3130">
        <v>0.98370000000000002</v>
      </c>
      <c r="H112" s="3130">
        <v>0.98370000000000002</v>
      </c>
      <c r="I112" s="3130">
        <v>0.90429999999999999</v>
      </c>
      <c r="J112" s="3130">
        <v>0.90429999999999999</v>
      </c>
      <c r="K112" s="3130">
        <v>0.90429999999999999</v>
      </c>
      <c r="L112" s="3130">
        <v>0.90429999999999999</v>
      </c>
      <c r="M112" s="3131">
        <v>0.90429999999999999</v>
      </c>
    </row>
    <row r="113" spans="1:13">
      <c r="A113" s="3132">
        <v>2.8</v>
      </c>
      <c r="B113" s="3130">
        <v>1.0347999999999999</v>
      </c>
      <c r="C113" s="3130">
        <v>1.0347999999999999</v>
      </c>
      <c r="D113" s="3130">
        <v>0.97640000000000005</v>
      </c>
      <c r="E113" s="3130">
        <v>0.97640000000000005</v>
      </c>
      <c r="F113" s="3130">
        <v>0.97640000000000005</v>
      </c>
      <c r="G113" s="3130">
        <v>0.97640000000000005</v>
      </c>
      <c r="H113" s="3130">
        <v>0.97640000000000005</v>
      </c>
      <c r="I113" s="3130">
        <v>0.89370000000000005</v>
      </c>
      <c r="J113" s="3130">
        <v>0.89370000000000005</v>
      </c>
      <c r="K113" s="3130">
        <v>0.89370000000000005</v>
      </c>
      <c r="L113" s="3130">
        <v>0.89370000000000005</v>
      </c>
      <c r="M113" s="3131">
        <v>0.89370000000000005</v>
      </c>
    </row>
    <row r="114" spans="1:13">
      <c r="A114" s="3132">
        <v>2.9</v>
      </c>
      <c r="B114" s="3130">
        <v>1.0286999999999999</v>
      </c>
      <c r="C114" s="3130">
        <v>1.0286999999999999</v>
      </c>
      <c r="D114" s="3130">
        <v>0.96950000000000003</v>
      </c>
      <c r="E114" s="3130">
        <v>0.96950000000000003</v>
      </c>
      <c r="F114" s="3130">
        <v>0.96950000000000003</v>
      </c>
      <c r="G114" s="3130">
        <v>0.96950000000000003</v>
      </c>
      <c r="H114" s="3130">
        <v>0.96950000000000003</v>
      </c>
      <c r="I114" s="3130">
        <v>0.88390000000000002</v>
      </c>
      <c r="J114" s="3130">
        <v>0.88390000000000002</v>
      </c>
      <c r="K114" s="3130">
        <v>0.88390000000000002</v>
      </c>
      <c r="L114" s="3130">
        <v>0.88390000000000002</v>
      </c>
      <c r="M114" s="3131">
        <v>0.88390000000000002</v>
      </c>
    </row>
    <row r="115" spans="1:13">
      <c r="A115" s="3132">
        <v>3</v>
      </c>
      <c r="B115" s="3130">
        <v>1.0229999999999999</v>
      </c>
      <c r="C115" s="3130">
        <v>1.0229999999999999</v>
      </c>
      <c r="D115" s="3130">
        <v>0.96309999999999996</v>
      </c>
      <c r="E115" s="3130">
        <v>0.96309999999999996</v>
      </c>
      <c r="F115" s="3130">
        <v>0.96309999999999996</v>
      </c>
      <c r="G115" s="3130">
        <v>0.96309999999999996</v>
      </c>
      <c r="H115" s="3130">
        <v>0.96309999999999996</v>
      </c>
      <c r="I115" s="3130">
        <v>0.87460000000000004</v>
      </c>
      <c r="J115" s="3130">
        <v>0.87460000000000004</v>
      </c>
      <c r="K115" s="3130">
        <v>0.87460000000000004</v>
      </c>
      <c r="L115" s="3130">
        <v>0.87460000000000004</v>
      </c>
      <c r="M115" s="3131">
        <v>0.87460000000000004</v>
      </c>
    </row>
    <row r="116" spans="1:13">
      <c r="A116" s="3132">
        <v>3.1</v>
      </c>
      <c r="B116" s="3130">
        <v>1.0177</v>
      </c>
      <c r="C116" s="3130">
        <v>1.0177</v>
      </c>
      <c r="D116" s="3130">
        <v>0.95709999999999995</v>
      </c>
      <c r="E116" s="3130">
        <v>0.95709999999999995</v>
      </c>
      <c r="F116" s="3130">
        <v>0.95709999999999995</v>
      </c>
      <c r="G116" s="3130">
        <v>0.95709999999999995</v>
      </c>
      <c r="H116" s="3130">
        <v>0.95709999999999995</v>
      </c>
      <c r="I116" s="3130">
        <v>0.8659</v>
      </c>
      <c r="J116" s="3130">
        <v>0.8659</v>
      </c>
      <c r="K116" s="3130">
        <v>0.8659</v>
      </c>
      <c r="L116" s="3130">
        <v>0.8659</v>
      </c>
      <c r="M116" s="3131">
        <v>0.8659</v>
      </c>
    </row>
    <row r="117" spans="1:13">
      <c r="A117" s="3132">
        <v>3.2</v>
      </c>
      <c r="B117" s="3130">
        <v>1.0127999999999999</v>
      </c>
      <c r="C117" s="3130">
        <v>1.0127999999999999</v>
      </c>
      <c r="D117" s="3130">
        <v>0.9516</v>
      </c>
      <c r="E117" s="3130">
        <v>0.9516</v>
      </c>
      <c r="F117" s="3130">
        <v>0.9516</v>
      </c>
      <c r="G117" s="3130">
        <v>0.9516</v>
      </c>
      <c r="H117" s="3130">
        <v>0.9516</v>
      </c>
      <c r="I117" s="3130">
        <v>0.85780000000000001</v>
      </c>
      <c r="J117" s="3130">
        <v>0.85780000000000001</v>
      </c>
      <c r="K117" s="3130">
        <v>0.85780000000000001</v>
      </c>
      <c r="L117" s="3130">
        <v>0.85780000000000001</v>
      </c>
      <c r="M117" s="3131">
        <v>0.85780000000000001</v>
      </c>
    </row>
    <row r="118" spans="1:13">
      <c r="A118" s="3132">
        <v>3.3</v>
      </c>
      <c r="B118" s="3130">
        <v>1.0082</v>
      </c>
      <c r="C118" s="3130">
        <v>1.0082</v>
      </c>
      <c r="D118" s="3130">
        <v>0.94640000000000002</v>
      </c>
      <c r="E118" s="3130">
        <v>0.94640000000000002</v>
      </c>
      <c r="F118" s="3130">
        <v>0.94640000000000002</v>
      </c>
      <c r="G118" s="3130">
        <v>0.94640000000000002</v>
      </c>
      <c r="H118" s="3130">
        <v>0.94640000000000002</v>
      </c>
      <c r="I118" s="3130">
        <v>0.85029999999999994</v>
      </c>
      <c r="J118" s="3130">
        <v>0.85029999999999994</v>
      </c>
      <c r="K118" s="3130">
        <v>0.85029999999999994</v>
      </c>
      <c r="L118" s="3130">
        <v>0.85029999999999994</v>
      </c>
      <c r="M118" s="3131">
        <v>0.85029999999999994</v>
      </c>
    </row>
    <row r="119" spans="1:13">
      <c r="A119" s="3132">
        <v>3.4</v>
      </c>
      <c r="B119" s="3130">
        <v>1.004</v>
      </c>
      <c r="C119" s="3130">
        <v>1.004</v>
      </c>
      <c r="D119" s="3130">
        <v>0.9415</v>
      </c>
      <c r="E119" s="3130">
        <v>0.9415</v>
      </c>
      <c r="F119" s="3130">
        <v>0.9415</v>
      </c>
      <c r="G119" s="3130">
        <v>0.9415</v>
      </c>
      <c r="H119" s="3130">
        <v>0.9415</v>
      </c>
      <c r="I119" s="3130">
        <v>0.84319999999999995</v>
      </c>
      <c r="J119" s="3130">
        <v>0.84319999999999995</v>
      </c>
      <c r="K119" s="3130">
        <v>0.84319999999999995</v>
      </c>
      <c r="L119" s="3130">
        <v>0.84319999999999995</v>
      </c>
      <c r="M119" s="3131">
        <v>0.84319999999999995</v>
      </c>
    </row>
    <row r="120" spans="1:13">
      <c r="A120" s="3132">
        <v>3.5</v>
      </c>
      <c r="B120" s="3130">
        <v>1</v>
      </c>
      <c r="C120" s="3130">
        <v>1</v>
      </c>
      <c r="D120" s="3130">
        <v>0.93700000000000006</v>
      </c>
      <c r="E120" s="3130">
        <v>0.93700000000000006</v>
      </c>
      <c r="F120" s="3130">
        <v>0.93700000000000006</v>
      </c>
      <c r="G120" s="3130">
        <v>0.93700000000000006</v>
      </c>
      <c r="H120" s="3130">
        <v>0.93700000000000006</v>
      </c>
      <c r="I120" s="3130">
        <v>0.83660000000000001</v>
      </c>
      <c r="J120" s="3130">
        <v>0.83660000000000001</v>
      </c>
      <c r="K120" s="3130">
        <v>0.83660000000000001</v>
      </c>
      <c r="L120" s="3130">
        <v>0.83660000000000001</v>
      </c>
      <c r="M120" s="3131">
        <v>0.83660000000000001</v>
      </c>
    </row>
    <row r="121" spans="1:13">
      <c r="A121" s="3132">
        <v>3.6</v>
      </c>
      <c r="B121" s="3130">
        <v>0.99629999999999996</v>
      </c>
      <c r="C121" s="3130">
        <v>0.99629999999999996</v>
      </c>
      <c r="D121" s="3130">
        <v>0.93279999999999996</v>
      </c>
      <c r="E121" s="3130">
        <v>0.93279999999999996</v>
      </c>
      <c r="F121" s="3130">
        <v>0.93279999999999996</v>
      </c>
      <c r="G121" s="3130">
        <v>0.93279999999999996</v>
      </c>
      <c r="H121" s="3130">
        <v>0.93279999999999996</v>
      </c>
      <c r="I121" s="3130">
        <v>0.83040000000000003</v>
      </c>
      <c r="J121" s="3130">
        <v>0.83040000000000003</v>
      </c>
      <c r="K121" s="3130">
        <v>0.83040000000000003</v>
      </c>
      <c r="L121" s="3130">
        <v>0.83040000000000003</v>
      </c>
      <c r="M121" s="3131">
        <v>0.83040000000000003</v>
      </c>
    </row>
    <row r="122" spans="1:13">
      <c r="A122" s="3132">
        <v>3.7</v>
      </c>
      <c r="B122" s="3130">
        <v>0.9929</v>
      </c>
      <c r="C122" s="3130">
        <v>0.9929</v>
      </c>
      <c r="D122" s="3130">
        <v>0.92879999999999996</v>
      </c>
      <c r="E122" s="3130">
        <v>0.92879999999999996</v>
      </c>
      <c r="F122" s="3130">
        <v>0.92879999999999996</v>
      </c>
      <c r="G122" s="3130">
        <v>0.92879999999999996</v>
      </c>
      <c r="H122" s="3130">
        <v>0.92879999999999996</v>
      </c>
      <c r="I122" s="3130">
        <v>0.8246</v>
      </c>
      <c r="J122" s="3130">
        <v>0.8246</v>
      </c>
      <c r="K122" s="3130">
        <v>0.8246</v>
      </c>
      <c r="L122" s="3130">
        <v>0.8246</v>
      </c>
      <c r="M122" s="3131">
        <v>0.8246</v>
      </c>
    </row>
    <row r="123" spans="1:13">
      <c r="A123" s="3132">
        <v>3.8</v>
      </c>
      <c r="B123" s="3130">
        <v>0.98970000000000002</v>
      </c>
      <c r="C123" s="3130">
        <v>0.98970000000000002</v>
      </c>
      <c r="D123" s="3130">
        <v>0.92520000000000002</v>
      </c>
      <c r="E123" s="3130">
        <v>0.92520000000000002</v>
      </c>
      <c r="F123" s="3130">
        <v>0.92520000000000002</v>
      </c>
      <c r="G123" s="3130">
        <v>0.92520000000000002</v>
      </c>
      <c r="H123" s="3130">
        <v>0.92520000000000002</v>
      </c>
      <c r="I123" s="3130">
        <v>0.81920000000000004</v>
      </c>
      <c r="J123" s="3130">
        <v>0.81920000000000004</v>
      </c>
      <c r="K123" s="3130">
        <v>0.81920000000000004</v>
      </c>
      <c r="L123" s="3130">
        <v>0.81920000000000004</v>
      </c>
      <c r="M123" s="3131">
        <v>0.81920000000000004</v>
      </c>
    </row>
    <row r="124" spans="1:13">
      <c r="A124" s="3132">
        <v>3.9</v>
      </c>
      <c r="B124" s="3130">
        <v>0.98670000000000002</v>
      </c>
      <c r="C124" s="3130">
        <v>0.98670000000000002</v>
      </c>
      <c r="D124" s="3130">
        <v>0.92179999999999995</v>
      </c>
      <c r="E124" s="3130">
        <v>0.92179999999999995</v>
      </c>
      <c r="F124" s="3130">
        <v>0.92179999999999995</v>
      </c>
      <c r="G124" s="3130">
        <v>0.92179999999999995</v>
      </c>
      <c r="H124" s="3130">
        <v>0.92179999999999995</v>
      </c>
      <c r="I124" s="3130">
        <v>0.81410000000000005</v>
      </c>
      <c r="J124" s="3130">
        <v>0.81410000000000005</v>
      </c>
      <c r="K124" s="3130">
        <v>0.81410000000000005</v>
      </c>
      <c r="L124" s="3130">
        <v>0.81410000000000005</v>
      </c>
      <c r="M124" s="3131">
        <v>0.81410000000000005</v>
      </c>
    </row>
    <row r="125" spans="1:13">
      <c r="A125" s="3132">
        <v>4</v>
      </c>
      <c r="B125" s="3130">
        <v>0.98380000000000001</v>
      </c>
      <c r="C125" s="3130">
        <v>0.98380000000000001</v>
      </c>
      <c r="D125" s="3130">
        <v>0.91859999999999997</v>
      </c>
      <c r="E125" s="3130">
        <v>0.91859999999999997</v>
      </c>
      <c r="F125" s="3130">
        <v>0.91859999999999997</v>
      </c>
      <c r="G125" s="3130">
        <v>0.91859999999999997</v>
      </c>
      <c r="H125" s="3130">
        <v>0.91859999999999997</v>
      </c>
      <c r="I125" s="3130">
        <v>0.80940000000000001</v>
      </c>
      <c r="J125" s="3130">
        <v>0.80940000000000001</v>
      </c>
      <c r="K125" s="3130">
        <v>0.80940000000000001</v>
      </c>
      <c r="L125" s="3130">
        <v>0.80940000000000001</v>
      </c>
      <c r="M125" s="3131">
        <v>0.80940000000000001</v>
      </c>
    </row>
    <row r="126" spans="1:13">
      <c r="A126" s="3132">
        <v>4.0999999999999996</v>
      </c>
      <c r="B126" s="3130">
        <v>0.98099999999999998</v>
      </c>
      <c r="C126" s="3130">
        <v>0.98099999999999998</v>
      </c>
      <c r="D126" s="3130">
        <v>0.91559999999999997</v>
      </c>
      <c r="E126" s="3130">
        <v>0.91559999999999997</v>
      </c>
      <c r="F126" s="3130">
        <v>0.91559999999999997</v>
      </c>
      <c r="G126" s="3130">
        <v>0.91559999999999997</v>
      </c>
      <c r="H126" s="3130">
        <v>0.91559999999999997</v>
      </c>
      <c r="I126" s="3130">
        <v>0.80489999999999995</v>
      </c>
      <c r="J126" s="3130">
        <v>0.80489999999999995</v>
      </c>
      <c r="K126" s="3130">
        <v>0.80489999999999995</v>
      </c>
      <c r="L126" s="3130">
        <v>0.80489999999999995</v>
      </c>
      <c r="M126" s="3131">
        <v>0.80489999999999995</v>
      </c>
    </row>
    <row r="127" spans="1:13">
      <c r="A127" s="3132">
        <v>4.2</v>
      </c>
      <c r="B127" s="3130">
        <v>0.97829999999999995</v>
      </c>
      <c r="C127" s="3130">
        <v>0.97829999999999995</v>
      </c>
      <c r="D127" s="3130">
        <v>0.91269999999999996</v>
      </c>
      <c r="E127" s="3130">
        <v>0.91269999999999996</v>
      </c>
      <c r="F127" s="3130">
        <v>0.91269999999999996</v>
      </c>
      <c r="G127" s="3130">
        <v>0.91269999999999996</v>
      </c>
      <c r="H127" s="3130">
        <v>0.91269999999999996</v>
      </c>
      <c r="I127" s="3130">
        <v>0.80059999999999998</v>
      </c>
      <c r="J127" s="3130">
        <v>0.80059999999999998</v>
      </c>
      <c r="K127" s="3130">
        <v>0.80059999999999998</v>
      </c>
      <c r="L127" s="3130">
        <v>0.80059999999999998</v>
      </c>
      <c r="M127" s="3131">
        <v>0.80059999999999998</v>
      </c>
    </row>
    <row r="128" spans="1:13">
      <c r="A128" s="3132">
        <v>4.3</v>
      </c>
      <c r="B128" s="3130">
        <v>0.97570000000000001</v>
      </c>
      <c r="C128" s="3130">
        <v>0.97570000000000001</v>
      </c>
      <c r="D128" s="3130">
        <v>0.90990000000000004</v>
      </c>
      <c r="E128" s="3130">
        <v>0.90990000000000004</v>
      </c>
      <c r="F128" s="3130">
        <v>0.90990000000000004</v>
      </c>
      <c r="G128" s="3130">
        <v>0.90990000000000004</v>
      </c>
      <c r="H128" s="3130">
        <v>0.90990000000000004</v>
      </c>
      <c r="I128" s="3130">
        <v>0.79649999999999999</v>
      </c>
      <c r="J128" s="3130">
        <v>0.79649999999999999</v>
      </c>
      <c r="K128" s="3130">
        <v>0.79649999999999999</v>
      </c>
      <c r="L128" s="3130">
        <v>0.79649999999999999</v>
      </c>
      <c r="M128" s="3131">
        <v>0.79649999999999999</v>
      </c>
    </row>
    <row r="129" spans="1:13">
      <c r="A129" s="3132">
        <v>4.4000000000000004</v>
      </c>
      <c r="B129" s="3130">
        <v>0.97319999999999995</v>
      </c>
      <c r="C129" s="3130">
        <v>0.97319999999999995</v>
      </c>
      <c r="D129" s="3130">
        <v>0.90720000000000001</v>
      </c>
      <c r="E129" s="3130">
        <v>0.90720000000000001</v>
      </c>
      <c r="F129" s="3130">
        <v>0.90720000000000001</v>
      </c>
      <c r="G129" s="3130">
        <v>0.90720000000000001</v>
      </c>
      <c r="H129" s="3130">
        <v>0.90720000000000001</v>
      </c>
      <c r="I129" s="3130">
        <v>0.79259999999999997</v>
      </c>
      <c r="J129" s="3130">
        <v>0.79259999999999997</v>
      </c>
      <c r="K129" s="3130">
        <v>0.79259999999999997</v>
      </c>
      <c r="L129" s="3130">
        <v>0.79259999999999997</v>
      </c>
      <c r="M129" s="3131">
        <v>0.79259999999999997</v>
      </c>
    </row>
    <row r="130" spans="1:13">
      <c r="A130" s="3132">
        <v>4.5</v>
      </c>
      <c r="B130" s="3130">
        <v>0.9708</v>
      </c>
      <c r="C130" s="3130">
        <v>0.9708</v>
      </c>
      <c r="D130" s="3130">
        <v>0.90459999999999996</v>
      </c>
      <c r="E130" s="3130">
        <v>0.90459999999999996</v>
      </c>
      <c r="F130" s="3130">
        <v>0.90459999999999996</v>
      </c>
      <c r="G130" s="3130">
        <v>0.90459999999999996</v>
      </c>
      <c r="H130" s="3130">
        <v>0.90459999999999996</v>
      </c>
      <c r="I130" s="3130">
        <v>0.78890000000000005</v>
      </c>
      <c r="J130" s="3130">
        <v>0.78890000000000005</v>
      </c>
      <c r="K130" s="3130">
        <v>0.78890000000000005</v>
      </c>
      <c r="L130" s="3130">
        <v>0.78890000000000005</v>
      </c>
      <c r="M130" s="3131">
        <v>0.78890000000000005</v>
      </c>
    </row>
    <row r="131" spans="1:13">
      <c r="A131" s="3132">
        <v>4.5999999999999996</v>
      </c>
      <c r="B131" s="3130">
        <v>0.96850000000000003</v>
      </c>
      <c r="C131" s="3130">
        <v>0.96850000000000003</v>
      </c>
      <c r="D131" s="3130">
        <v>0.90210000000000001</v>
      </c>
      <c r="E131" s="3130">
        <v>0.90210000000000001</v>
      </c>
      <c r="F131" s="3130">
        <v>0.90210000000000001</v>
      </c>
      <c r="G131" s="3130">
        <v>0.90210000000000001</v>
      </c>
      <c r="H131" s="3130">
        <v>0.90210000000000001</v>
      </c>
      <c r="I131" s="3130">
        <v>0.78539999999999999</v>
      </c>
      <c r="J131" s="3130">
        <v>0.78539999999999999</v>
      </c>
      <c r="K131" s="3130">
        <v>0.78539999999999999</v>
      </c>
      <c r="L131" s="3130">
        <v>0.78539999999999999</v>
      </c>
      <c r="M131" s="3131">
        <v>0.78539999999999999</v>
      </c>
    </row>
    <row r="132" spans="1:13">
      <c r="A132" s="3132">
        <v>4.7</v>
      </c>
      <c r="B132" s="3130">
        <v>0.96630000000000005</v>
      </c>
      <c r="C132" s="3130">
        <v>0.96630000000000005</v>
      </c>
      <c r="D132" s="3130">
        <v>0.89959999999999996</v>
      </c>
      <c r="E132" s="3130">
        <v>0.89959999999999996</v>
      </c>
      <c r="F132" s="3130">
        <v>0.89959999999999996</v>
      </c>
      <c r="G132" s="3130">
        <v>0.89959999999999996</v>
      </c>
      <c r="H132" s="3130">
        <v>0.89959999999999996</v>
      </c>
      <c r="I132" s="3130">
        <v>0.78210000000000002</v>
      </c>
      <c r="J132" s="3130">
        <v>0.78210000000000002</v>
      </c>
      <c r="K132" s="3130">
        <v>0.78210000000000002</v>
      </c>
      <c r="L132" s="3130">
        <v>0.78210000000000002</v>
      </c>
      <c r="M132" s="3131">
        <v>0.78210000000000002</v>
      </c>
    </row>
    <row r="133" spans="1:13">
      <c r="A133" s="3132">
        <v>4.8</v>
      </c>
      <c r="B133" s="3130">
        <v>0.96409999999999996</v>
      </c>
      <c r="C133" s="3130">
        <v>0.96409999999999996</v>
      </c>
      <c r="D133" s="3130">
        <v>0.8972</v>
      </c>
      <c r="E133" s="3130">
        <v>0.8972</v>
      </c>
      <c r="F133" s="3130">
        <v>0.8972</v>
      </c>
      <c r="G133" s="3130">
        <v>0.8972</v>
      </c>
      <c r="H133" s="3130">
        <v>0.8972</v>
      </c>
      <c r="I133" s="3130">
        <v>0.77890000000000004</v>
      </c>
      <c r="J133" s="3130">
        <v>0.77890000000000004</v>
      </c>
      <c r="K133" s="3130">
        <v>0.77890000000000004</v>
      </c>
      <c r="L133" s="3130">
        <v>0.77890000000000004</v>
      </c>
      <c r="M133" s="3131">
        <v>0.77890000000000004</v>
      </c>
    </row>
    <row r="134" spans="1:13">
      <c r="A134" s="3132">
        <v>4.9000000000000004</v>
      </c>
      <c r="B134" s="3130">
        <v>0.96199999999999997</v>
      </c>
      <c r="C134" s="3130">
        <v>0.96199999999999997</v>
      </c>
      <c r="D134" s="3130">
        <v>0.89480000000000004</v>
      </c>
      <c r="E134" s="3130">
        <v>0.89480000000000004</v>
      </c>
      <c r="F134" s="3130">
        <v>0.89480000000000004</v>
      </c>
      <c r="G134" s="3130">
        <v>0.89480000000000004</v>
      </c>
      <c r="H134" s="3130">
        <v>0.89480000000000004</v>
      </c>
      <c r="I134" s="3130">
        <v>0.77580000000000005</v>
      </c>
      <c r="J134" s="3130">
        <v>0.77580000000000005</v>
      </c>
      <c r="K134" s="3130">
        <v>0.77580000000000005</v>
      </c>
      <c r="L134" s="3130">
        <v>0.77580000000000005</v>
      </c>
      <c r="M134" s="3131">
        <v>0.77580000000000005</v>
      </c>
    </row>
    <row r="135" spans="1:13">
      <c r="A135" s="3132">
        <v>5</v>
      </c>
      <c r="B135" s="3130">
        <v>0.95989999999999998</v>
      </c>
      <c r="C135" s="3130">
        <v>0.95989999999999998</v>
      </c>
      <c r="D135" s="3130">
        <v>0.89239999999999997</v>
      </c>
      <c r="E135" s="3130">
        <v>0.89239999999999997</v>
      </c>
      <c r="F135" s="3130">
        <v>0.89239999999999997</v>
      </c>
      <c r="G135" s="3130">
        <v>0.89239999999999997</v>
      </c>
      <c r="H135" s="3130">
        <v>0.89239999999999997</v>
      </c>
      <c r="I135" s="3130">
        <v>0.77280000000000004</v>
      </c>
      <c r="J135" s="3130">
        <v>0.77280000000000004</v>
      </c>
      <c r="K135" s="3130">
        <v>0.77280000000000004</v>
      </c>
      <c r="L135" s="3130">
        <v>0.77280000000000004</v>
      </c>
      <c r="M135" s="3131">
        <v>0.77280000000000004</v>
      </c>
    </row>
    <row r="136" spans="1:13">
      <c r="A136" s="3129">
        <v>5.0999999999999996</v>
      </c>
      <c r="B136" s="3130">
        <v>0.95779999999999998</v>
      </c>
      <c r="C136" s="3130">
        <v>0.95779999999999998</v>
      </c>
      <c r="D136" s="3130">
        <v>0.8901</v>
      </c>
      <c r="E136" s="3130">
        <v>0.8901</v>
      </c>
      <c r="F136" s="3130">
        <v>0.8901</v>
      </c>
      <c r="G136" s="3130">
        <v>0.8901</v>
      </c>
      <c r="H136" s="3130">
        <v>0.8901</v>
      </c>
      <c r="I136" s="3130">
        <v>0.76990000000000003</v>
      </c>
      <c r="J136" s="3130">
        <v>0.76990000000000003</v>
      </c>
      <c r="K136" s="3130">
        <v>0.76990000000000003</v>
      </c>
      <c r="L136" s="3130">
        <v>0.76990000000000003</v>
      </c>
      <c r="M136" s="3131">
        <v>0.76990000000000003</v>
      </c>
    </row>
    <row r="137" spans="1:13">
      <c r="A137" s="3129">
        <v>5.2</v>
      </c>
      <c r="B137" s="3130">
        <v>0.95579999999999998</v>
      </c>
      <c r="C137" s="3130">
        <v>0.95579999999999998</v>
      </c>
      <c r="D137" s="3130">
        <v>0.88780000000000003</v>
      </c>
      <c r="E137" s="3130">
        <v>0.88780000000000003</v>
      </c>
      <c r="F137" s="3130">
        <v>0.88780000000000003</v>
      </c>
      <c r="G137" s="3130">
        <v>0.88780000000000003</v>
      </c>
      <c r="H137" s="3130">
        <v>0.88780000000000003</v>
      </c>
      <c r="I137" s="3130">
        <v>0.76700000000000002</v>
      </c>
      <c r="J137" s="3130">
        <v>0.76700000000000002</v>
      </c>
      <c r="K137" s="3130">
        <v>0.76700000000000002</v>
      </c>
      <c r="L137" s="3130">
        <v>0.76700000000000002</v>
      </c>
      <c r="M137" s="3131">
        <v>0.76700000000000002</v>
      </c>
    </row>
    <row r="138" spans="1:13">
      <c r="A138" s="3129">
        <v>5.3</v>
      </c>
      <c r="B138" s="3130">
        <v>0.95379999999999998</v>
      </c>
      <c r="C138" s="3130">
        <v>0.95379999999999998</v>
      </c>
      <c r="D138" s="3130">
        <v>0.88549999999999995</v>
      </c>
      <c r="E138" s="3130">
        <v>0.88549999999999995</v>
      </c>
      <c r="F138" s="3130">
        <v>0.88549999999999995</v>
      </c>
      <c r="G138" s="3130">
        <v>0.88549999999999995</v>
      </c>
      <c r="H138" s="3130">
        <v>0.88549999999999995</v>
      </c>
      <c r="I138" s="3130">
        <v>0.76419999999999999</v>
      </c>
      <c r="J138" s="3130">
        <v>0.76419999999999999</v>
      </c>
      <c r="K138" s="3130">
        <v>0.76419999999999999</v>
      </c>
      <c r="L138" s="3130">
        <v>0.76419999999999999</v>
      </c>
      <c r="M138" s="3131">
        <v>0.76419999999999999</v>
      </c>
    </row>
    <row r="139" spans="1:13">
      <c r="A139" s="3129">
        <v>5.4</v>
      </c>
      <c r="B139" s="3130">
        <v>0.95179999999999998</v>
      </c>
      <c r="C139" s="3130">
        <v>0.95179999999999998</v>
      </c>
      <c r="D139" s="3130">
        <v>0.88329999999999997</v>
      </c>
      <c r="E139" s="3130">
        <v>0.88329999999999997</v>
      </c>
      <c r="F139" s="3130">
        <v>0.88329999999999997</v>
      </c>
      <c r="G139" s="3130">
        <v>0.88329999999999997</v>
      </c>
      <c r="H139" s="3130">
        <v>0.88329999999999997</v>
      </c>
      <c r="I139" s="3130">
        <v>0.76139999999999997</v>
      </c>
      <c r="J139" s="3130">
        <v>0.76139999999999997</v>
      </c>
      <c r="K139" s="3130">
        <v>0.76139999999999997</v>
      </c>
      <c r="L139" s="3130">
        <v>0.76139999999999997</v>
      </c>
      <c r="M139" s="3131">
        <v>0.76139999999999997</v>
      </c>
    </row>
    <row r="140" spans="1:13">
      <c r="A140" s="3129">
        <v>5.5</v>
      </c>
      <c r="B140" s="3130">
        <v>0.94979999999999998</v>
      </c>
      <c r="C140" s="3130">
        <v>0.94979999999999998</v>
      </c>
      <c r="D140" s="3130">
        <v>0.88109999999999999</v>
      </c>
      <c r="E140" s="3130">
        <v>0.88109999999999999</v>
      </c>
      <c r="F140" s="3130">
        <v>0.88109999999999999</v>
      </c>
      <c r="G140" s="3130">
        <v>0.88109999999999999</v>
      </c>
      <c r="H140" s="3130">
        <v>0.88109999999999999</v>
      </c>
      <c r="I140" s="3130">
        <v>0.75860000000000005</v>
      </c>
      <c r="J140" s="3130">
        <v>0.75860000000000005</v>
      </c>
      <c r="K140" s="3130">
        <v>0.75860000000000005</v>
      </c>
      <c r="L140" s="3130">
        <v>0.75860000000000005</v>
      </c>
      <c r="M140" s="3131">
        <v>0.75860000000000005</v>
      </c>
    </row>
    <row r="141" spans="1:13">
      <c r="A141" s="3129">
        <v>5.6</v>
      </c>
      <c r="B141" s="3130">
        <v>0.94789999999999996</v>
      </c>
      <c r="C141" s="3130">
        <v>0.94789999999999996</v>
      </c>
      <c r="D141" s="3130">
        <v>0.87890000000000001</v>
      </c>
      <c r="E141" s="3130">
        <v>0.87890000000000001</v>
      </c>
      <c r="F141" s="3130">
        <v>0.87890000000000001</v>
      </c>
      <c r="G141" s="3130">
        <v>0.87890000000000001</v>
      </c>
      <c r="H141" s="3130">
        <v>0.87890000000000001</v>
      </c>
      <c r="I141" s="3130">
        <v>0.75590000000000002</v>
      </c>
      <c r="J141" s="3130">
        <v>0.75590000000000002</v>
      </c>
      <c r="K141" s="3130">
        <v>0.75590000000000002</v>
      </c>
      <c r="L141" s="3130">
        <v>0.75590000000000002</v>
      </c>
      <c r="M141" s="3131">
        <v>0.75590000000000002</v>
      </c>
    </row>
    <row r="142" spans="1:13">
      <c r="A142" s="3132">
        <v>5.7</v>
      </c>
      <c r="B142" s="3130">
        <v>0.94599999999999995</v>
      </c>
      <c r="C142" s="3130">
        <v>0.94599999999999995</v>
      </c>
      <c r="D142" s="3130">
        <v>0.87670000000000003</v>
      </c>
      <c r="E142" s="3130">
        <v>0.87670000000000003</v>
      </c>
      <c r="F142" s="3130">
        <v>0.87670000000000003</v>
      </c>
      <c r="G142" s="3130">
        <v>0.87670000000000003</v>
      </c>
      <c r="H142" s="3130">
        <v>0.87670000000000003</v>
      </c>
      <c r="I142" s="3130">
        <v>0.75319999999999998</v>
      </c>
      <c r="J142" s="3130">
        <v>0.75319999999999998</v>
      </c>
      <c r="K142" s="3130">
        <v>0.75319999999999998</v>
      </c>
      <c r="L142" s="3130">
        <v>0.75319999999999998</v>
      </c>
      <c r="M142" s="3131">
        <v>0.75319999999999998</v>
      </c>
    </row>
    <row r="143" spans="1:13">
      <c r="A143" s="3129">
        <v>5.8</v>
      </c>
      <c r="B143" s="3130">
        <v>0.94410000000000005</v>
      </c>
      <c r="C143" s="3130">
        <v>0.94410000000000005</v>
      </c>
      <c r="D143" s="3130">
        <v>0.87460000000000004</v>
      </c>
      <c r="E143" s="3130">
        <v>0.87460000000000004</v>
      </c>
      <c r="F143" s="3130">
        <v>0.87460000000000004</v>
      </c>
      <c r="G143" s="3130">
        <v>0.87460000000000004</v>
      </c>
      <c r="H143" s="3130">
        <v>0.87460000000000004</v>
      </c>
      <c r="I143" s="3130">
        <v>0.75049999999999994</v>
      </c>
      <c r="J143" s="3130">
        <v>0.75049999999999994</v>
      </c>
      <c r="K143" s="3130">
        <v>0.75049999999999994</v>
      </c>
      <c r="L143" s="3130">
        <v>0.75049999999999994</v>
      </c>
      <c r="M143" s="3131">
        <v>0.75049999999999994</v>
      </c>
    </row>
    <row r="144" spans="1:13">
      <c r="A144" s="3129">
        <v>5.9</v>
      </c>
      <c r="B144" s="3130">
        <v>0.94220000000000004</v>
      </c>
      <c r="C144" s="3130">
        <v>0.94220000000000004</v>
      </c>
      <c r="D144" s="3130">
        <v>0.87250000000000005</v>
      </c>
      <c r="E144" s="3130">
        <v>0.87250000000000005</v>
      </c>
      <c r="F144" s="3130">
        <v>0.87250000000000005</v>
      </c>
      <c r="G144" s="3130">
        <v>0.87250000000000005</v>
      </c>
      <c r="H144" s="3130">
        <v>0.87250000000000005</v>
      </c>
      <c r="I144" s="3130">
        <v>0.74780000000000002</v>
      </c>
      <c r="J144" s="3130">
        <v>0.74780000000000002</v>
      </c>
      <c r="K144" s="3130">
        <v>0.74780000000000002</v>
      </c>
      <c r="L144" s="3130">
        <v>0.74780000000000002</v>
      </c>
      <c r="M144" s="3131">
        <v>0.74780000000000002</v>
      </c>
    </row>
    <row r="145" spans="1:13">
      <c r="A145" s="3129">
        <v>6</v>
      </c>
      <c r="B145" s="3130">
        <v>0.94040000000000001</v>
      </c>
      <c r="C145" s="3130">
        <v>0.94040000000000001</v>
      </c>
      <c r="D145" s="3130">
        <v>0.87039999999999995</v>
      </c>
      <c r="E145" s="3130">
        <v>0.87039999999999995</v>
      </c>
      <c r="F145" s="3130">
        <v>0.87039999999999995</v>
      </c>
      <c r="G145" s="3130">
        <v>0.87039999999999995</v>
      </c>
      <c r="H145" s="3130">
        <v>0.87039999999999995</v>
      </c>
      <c r="I145" s="3130">
        <v>0.74519999999999997</v>
      </c>
      <c r="J145" s="3130">
        <v>0.74519999999999997</v>
      </c>
      <c r="K145" s="3130">
        <v>0.74519999999999997</v>
      </c>
      <c r="L145" s="3130">
        <v>0.74519999999999997</v>
      </c>
      <c r="M145" s="3131">
        <v>0.74519999999999997</v>
      </c>
    </row>
    <row r="146" spans="1:13">
      <c r="A146" s="3129">
        <v>6.1</v>
      </c>
      <c r="B146" s="3130">
        <v>0.93859999999999999</v>
      </c>
      <c r="C146" s="3130">
        <v>0.93859999999999999</v>
      </c>
      <c r="D146" s="3130">
        <v>0.86829999999999996</v>
      </c>
      <c r="E146" s="3130">
        <v>0.86829999999999996</v>
      </c>
      <c r="F146" s="3130">
        <v>0.86829999999999996</v>
      </c>
      <c r="G146" s="3130">
        <v>0.86829999999999996</v>
      </c>
      <c r="H146" s="3130">
        <v>0.86829999999999996</v>
      </c>
      <c r="I146" s="3130">
        <v>0.74260000000000004</v>
      </c>
      <c r="J146" s="3130">
        <v>0.74260000000000004</v>
      </c>
      <c r="K146" s="3130">
        <v>0.74260000000000004</v>
      </c>
      <c r="L146" s="3130">
        <v>0.74260000000000004</v>
      </c>
      <c r="M146" s="3131">
        <v>0.74260000000000004</v>
      </c>
    </row>
    <row r="147" spans="1:13">
      <c r="A147" s="3129">
        <v>6.2</v>
      </c>
      <c r="B147" s="3130">
        <v>0.93679999999999997</v>
      </c>
      <c r="C147" s="3130">
        <v>0.93679999999999997</v>
      </c>
      <c r="D147" s="3130">
        <v>0.86619999999999997</v>
      </c>
      <c r="E147" s="3130">
        <v>0.86619999999999997</v>
      </c>
      <c r="F147" s="3130">
        <v>0.86619999999999997</v>
      </c>
      <c r="G147" s="3130">
        <v>0.86619999999999997</v>
      </c>
      <c r="H147" s="3130">
        <v>0.86619999999999997</v>
      </c>
      <c r="I147" s="3130">
        <v>0.74</v>
      </c>
      <c r="J147" s="3130">
        <v>0.74</v>
      </c>
      <c r="K147" s="3130">
        <v>0.74</v>
      </c>
      <c r="L147" s="3130">
        <v>0.74</v>
      </c>
      <c r="M147" s="3131">
        <v>0.74</v>
      </c>
    </row>
    <row r="148" spans="1:13">
      <c r="A148" s="3129">
        <v>6.3</v>
      </c>
      <c r="B148" s="3130">
        <v>0.93500000000000005</v>
      </c>
      <c r="C148" s="3130">
        <v>0.93500000000000005</v>
      </c>
      <c r="D148" s="3130">
        <v>0.86409999999999998</v>
      </c>
      <c r="E148" s="3130">
        <v>0.86409999999999998</v>
      </c>
      <c r="F148" s="3130">
        <v>0.86409999999999998</v>
      </c>
      <c r="G148" s="3130">
        <v>0.86409999999999998</v>
      </c>
      <c r="H148" s="3130">
        <v>0.86409999999999998</v>
      </c>
      <c r="I148" s="3130">
        <v>0.73740000000000006</v>
      </c>
      <c r="J148" s="3130">
        <v>0.73740000000000006</v>
      </c>
      <c r="K148" s="3130">
        <v>0.73740000000000006</v>
      </c>
      <c r="L148" s="3130">
        <v>0.73740000000000006</v>
      </c>
      <c r="M148" s="3131">
        <v>0.73740000000000006</v>
      </c>
    </row>
    <row r="149" spans="1:13">
      <c r="A149" s="3129">
        <v>6.4</v>
      </c>
      <c r="B149" s="3130">
        <v>0.93320000000000003</v>
      </c>
      <c r="C149" s="3130">
        <v>0.93320000000000003</v>
      </c>
      <c r="D149" s="3130">
        <v>0.86209999999999998</v>
      </c>
      <c r="E149" s="3130">
        <v>0.86209999999999998</v>
      </c>
      <c r="F149" s="3130">
        <v>0.86209999999999998</v>
      </c>
      <c r="G149" s="3130">
        <v>0.86209999999999998</v>
      </c>
      <c r="H149" s="3130">
        <v>0.86209999999999998</v>
      </c>
      <c r="I149" s="3130">
        <v>0.73480000000000001</v>
      </c>
      <c r="J149" s="3130">
        <v>0.73480000000000001</v>
      </c>
      <c r="K149" s="3130">
        <v>0.73480000000000001</v>
      </c>
      <c r="L149" s="3130">
        <v>0.73480000000000001</v>
      </c>
      <c r="M149" s="3131">
        <v>0.73480000000000001</v>
      </c>
    </row>
    <row r="150" spans="1:13">
      <c r="A150" s="3129">
        <v>6.5</v>
      </c>
      <c r="B150" s="3130">
        <v>0.93149999999999999</v>
      </c>
      <c r="C150" s="3130">
        <v>0.93149999999999999</v>
      </c>
      <c r="D150" s="3130">
        <v>0.86009999999999998</v>
      </c>
      <c r="E150" s="3130">
        <v>0.86009999999999998</v>
      </c>
      <c r="F150" s="3130">
        <v>0.86009999999999998</v>
      </c>
      <c r="G150" s="3130">
        <v>0.86009999999999998</v>
      </c>
      <c r="H150" s="3130">
        <v>0.86009999999999998</v>
      </c>
      <c r="I150" s="3130">
        <v>0.73229999999999995</v>
      </c>
      <c r="J150" s="3130">
        <v>0.73229999999999995</v>
      </c>
      <c r="K150" s="3130">
        <v>0.73229999999999995</v>
      </c>
      <c r="L150" s="3130">
        <v>0.73229999999999995</v>
      </c>
      <c r="M150" s="3131">
        <v>0.73229999999999995</v>
      </c>
    </row>
    <row r="151" spans="1:13">
      <c r="A151" s="3129">
        <v>6.6</v>
      </c>
      <c r="B151" s="3130">
        <v>0.92979999999999996</v>
      </c>
      <c r="C151" s="3130">
        <v>0.92979999999999996</v>
      </c>
      <c r="D151" s="3130">
        <v>0.85809999999999997</v>
      </c>
      <c r="E151" s="3130">
        <v>0.85809999999999997</v>
      </c>
      <c r="F151" s="3130">
        <v>0.85809999999999997</v>
      </c>
      <c r="G151" s="3130">
        <v>0.85809999999999997</v>
      </c>
      <c r="H151" s="3130">
        <v>0.85809999999999997</v>
      </c>
      <c r="I151" s="3130">
        <v>0.7298</v>
      </c>
      <c r="J151" s="3130">
        <v>0.7298</v>
      </c>
      <c r="K151" s="3130">
        <v>0.7298</v>
      </c>
      <c r="L151" s="3130">
        <v>0.7298</v>
      </c>
      <c r="M151" s="3131">
        <v>0.7298</v>
      </c>
    </row>
    <row r="152" spans="1:13">
      <c r="A152" s="3129">
        <v>6.7</v>
      </c>
      <c r="B152" s="3130">
        <v>0.92810000000000004</v>
      </c>
      <c r="C152" s="3130">
        <v>0.92810000000000004</v>
      </c>
      <c r="D152" s="3130">
        <v>0.85609999999999997</v>
      </c>
      <c r="E152" s="3130">
        <v>0.85609999999999997</v>
      </c>
      <c r="F152" s="3130">
        <v>0.85609999999999997</v>
      </c>
      <c r="G152" s="3130">
        <v>0.85609999999999997</v>
      </c>
      <c r="H152" s="3130">
        <v>0.85609999999999997</v>
      </c>
      <c r="I152" s="3130">
        <v>0.72729999999999995</v>
      </c>
      <c r="J152" s="3130">
        <v>0.72729999999999995</v>
      </c>
      <c r="K152" s="3130">
        <v>0.72729999999999995</v>
      </c>
      <c r="L152" s="3130">
        <v>0.72729999999999995</v>
      </c>
      <c r="M152" s="3131">
        <v>0.72729999999999995</v>
      </c>
    </row>
    <row r="153" spans="1:13">
      <c r="A153" s="3129">
        <v>6.8</v>
      </c>
      <c r="B153" s="3130">
        <v>0.9264</v>
      </c>
      <c r="C153" s="3130">
        <v>0.9264</v>
      </c>
      <c r="D153" s="3130">
        <v>0.85409999999999997</v>
      </c>
      <c r="E153" s="3130">
        <v>0.85409999999999997</v>
      </c>
      <c r="F153" s="3130">
        <v>0.85409999999999997</v>
      </c>
      <c r="G153" s="3130">
        <v>0.85409999999999997</v>
      </c>
      <c r="H153" s="3130">
        <v>0.85409999999999997</v>
      </c>
      <c r="I153" s="3130">
        <v>0.7248</v>
      </c>
      <c r="J153" s="3130">
        <v>0.7248</v>
      </c>
      <c r="K153" s="3130">
        <v>0.7248</v>
      </c>
      <c r="L153" s="3130">
        <v>0.7248</v>
      </c>
      <c r="M153" s="3131">
        <v>0.7248</v>
      </c>
    </row>
    <row r="154" spans="1:13">
      <c r="A154" s="3129">
        <v>6.9</v>
      </c>
      <c r="B154" s="3130">
        <v>0.92469999999999997</v>
      </c>
      <c r="C154" s="3130">
        <v>0.92469999999999997</v>
      </c>
      <c r="D154" s="3130">
        <v>0.85209999999999997</v>
      </c>
      <c r="E154" s="3130">
        <v>0.85209999999999997</v>
      </c>
      <c r="F154" s="3130">
        <v>0.85209999999999997</v>
      </c>
      <c r="G154" s="3130">
        <v>0.85209999999999997</v>
      </c>
      <c r="H154" s="3130">
        <v>0.85209999999999997</v>
      </c>
      <c r="I154" s="3130">
        <v>0.72230000000000005</v>
      </c>
      <c r="J154" s="3130">
        <v>0.72230000000000005</v>
      </c>
      <c r="K154" s="3130">
        <v>0.72230000000000005</v>
      </c>
      <c r="L154" s="3130">
        <v>0.72230000000000005</v>
      </c>
      <c r="M154" s="3131">
        <v>0.72230000000000005</v>
      </c>
    </row>
    <row r="155" spans="1:13">
      <c r="A155" s="3129">
        <v>7</v>
      </c>
      <c r="B155" s="3130">
        <v>0.92300000000000004</v>
      </c>
      <c r="C155" s="3130">
        <v>0.92300000000000004</v>
      </c>
      <c r="D155" s="3130">
        <v>0.85019999999999996</v>
      </c>
      <c r="E155" s="3130">
        <v>0.85019999999999996</v>
      </c>
      <c r="F155" s="3130">
        <v>0.85019999999999996</v>
      </c>
      <c r="G155" s="3130">
        <v>0.85019999999999996</v>
      </c>
      <c r="H155" s="3130">
        <v>0.85019999999999996</v>
      </c>
      <c r="I155" s="3130">
        <v>0.71989999999999998</v>
      </c>
      <c r="J155" s="3130">
        <v>0.71989999999999998</v>
      </c>
      <c r="K155" s="3130">
        <v>0.71989999999999998</v>
      </c>
      <c r="L155" s="3130">
        <v>0.71989999999999998</v>
      </c>
      <c r="M155" s="3131">
        <v>0.71989999999999998</v>
      </c>
    </row>
    <row r="156" spans="1:13">
      <c r="A156" s="3129">
        <v>7.1</v>
      </c>
      <c r="B156" s="3130">
        <v>0.9214</v>
      </c>
      <c r="C156" s="3130">
        <v>0.9214</v>
      </c>
      <c r="D156" s="3130">
        <v>0.84830000000000005</v>
      </c>
      <c r="E156" s="3130">
        <v>0.84830000000000005</v>
      </c>
      <c r="F156" s="3130">
        <v>0.84830000000000005</v>
      </c>
      <c r="G156" s="3130">
        <v>0.84830000000000005</v>
      </c>
      <c r="H156" s="3130">
        <v>0.84830000000000005</v>
      </c>
      <c r="I156" s="3130">
        <v>0.71750000000000003</v>
      </c>
      <c r="J156" s="3130">
        <v>0.71750000000000003</v>
      </c>
      <c r="K156" s="3130">
        <v>0.71750000000000003</v>
      </c>
      <c r="L156" s="3130">
        <v>0.71750000000000003</v>
      </c>
      <c r="M156" s="3131">
        <v>0.71750000000000003</v>
      </c>
    </row>
    <row r="157" spans="1:13">
      <c r="A157" s="3129">
        <v>7.2</v>
      </c>
      <c r="B157" s="3130">
        <v>0.91979999999999995</v>
      </c>
      <c r="C157" s="3130">
        <v>0.91979999999999995</v>
      </c>
      <c r="D157" s="3130">
        <v>0.84640000000000004</v>
      </c>
      <c r="E157" s="3130">
        <v>0.84640000000000004</v>
      </c>
      <c r="F157" s="3130">
        <v>0.84640000000000004</v>
      </c>
      <c r="G157" s="3130">
        <v>0.84640000000000004</v>
      </c>
      <c r="H157" s="3130">
        <v>0.84640000000000004</v>
      </c>
      <c r="I157" s="3130">
        <v>0.71509999999999996</v>
      </c>
      <c r="J157" s="3130">
        <v>0.71509999999999996</v>
      </c>
      <c r="K157" s="3130">
        <v>0.71509999999999996</v>
      </c>
      <c r="L157" s="3130">
        <v>0.71509999999999996</v>
      </c>
      <c r="M157" s="3131">
        <v>0.71509999999999996</v>
      </c>
    </row>
    <row r="158" spans="1:13">
      <c r="A158" s="3129">
        <v>7.3</v>
      </c>
      <c r="B158" s="3130">
        <v>0.91820000000000002</v>
      </c>
      <c r="C158" s="3130">
        <v>0.91820000000000002</v>
      </c>
      <c r="D158" s="3130">
        <v>0.84450000000000003</v>
      </c>
      <c r="E158" s="3130">
        <v>0.84450000000000003</v>
      </c>
      <c r="F158" s="3130">
        <v>0.84450000000000003</v>
      </c>
      <c r="G158" s="3130">
        <v>0.84450000000000003</v>
      </c>
      <c r="H158" s="3130">
        <v>0.84450000000000003</v>
      </c>
      <c r="I158" s="3130">
        <v>0.7127</v>
      </c>
      <c r="J158" s="3130">
        <v>0.7127</v>
      </c>
      <c r="K158" s="3130">
        <v>0.7127</v>
      </c>
      <c r="L158" s="3130">
        <v>0.7127</v>
      </c>
      <c r="M158" s="3131">
        <v>0.7127</v>
      </c>
    </row>
    <row r="159" spans="1:13">
      <c r="A159" s="3129">
        <v>7.4</v>
      </c>
      <c r="B159" s="3130">
        <v>0.91659999999999997</v>
      </c>
      <c r="C159" s="3130">
        <v>0.91659999999999997</v>
      </c>
      <c r="D159" s="3130">
        <v>0.84260000000000002</v>
      </c>
      <c r="E159" s="3130">
        <v>0.84260000000000002</v>
      </c>
      <c r="F159" s="3130">
        <v>0.84260000000000002</v>
      </c>
      <c r="G159" s="3130">
        <v>0.84260000000000002</v>
      </c>
      <c r="H159" s="3130">
        <v>0.84260000000000002</v>
      </c>
      <c r="I159" s="3130">
        <v>0.71030000000000004</v>
      </c>
      <c r="J159" s="3130">
        <v>0.71030000000000004</v>
      </c>
      <c r="K159" s="3130">
        <v>0.71030000000000004</v>
      </c>
      <c r="L159" s="3130">
        <v>0.71030000000000004</v>
      </c>
      <c r="M159" s="3131">
        <v>0.71030000000000004</v>
      </c>
    </row>
    <row r="160" spans="1:13">
      <c r="A160" s="3129">
        <v>7.5</v>
      </c>
      <c r="B160" s="3130">
        <v>0.91500000000000004</v>
      </c>
      <c r="C160" s="3130">
        <v>0.91500000000000004</v>
      </c>
      <c r="D160" s="3130">
        <v>0.8407</v>
      </c>
      <c r="E160" s="3130">
        <v>0.8407</v>
      </c>
      <c r="F160" s="3130">
        <v>0.8407</v>
      </c>
      <c r="G160" s="3130">
        <v>0.8407</v>
      </c>
      <c r="H160" s="3130">
        <v>0.8407</v>
      </c>
      <c r="I160" s="3130">
        <v>0.70799999999999996</v>
      </c>
      <c r="J160" s="3130">
        <v>0.70799999999999996</v>
      </c>
      <c r="K160" s="3130">
        <v>0.70799999999999996</v>
      </c>
      <c r="L160" s="3130">
        <v>0.70799999999999996</v>
      </c>
      <c r="M160" s="3131">
        <v>0.70799999999999996</v>
      </c>
    </row>
    <row r="161" spans="1:13">
      <c r="A161" s="3129">
        <v>7.6</v>
      </c>
      <c r="B161" s="3130">
        <v>0.91339999999999999</v>
      </c>
      <c r="C161" s="3130">
        <v>0.91339999999999999</v>
      </c>
      <c r="D161" s="3130">
        <v>0.83889999999999998</v>
      </c>
      <c r="E161" s="3130">
        <v>0.83889999999999998</v>
      </c>
      <c r="F161" s="3130">
        <v>0.83889999999999998</v>
      </c>
      <c r="G161" s="3130">
        <v>0.83889999999999998</v>
      </c>
      <c r="H161" s="3130">
        <v>0.83889999999999998</v>
      </c>
      <c r="I161" s="3130">
        <v>0.70569999999999999</v>
      </c>
      <c r="J161" s="3130">
        <v>0.70569999999999999</v>
      </c>
      <c r="K161" s="3130">
        <v>0.70569999999999999</v>
      </c>
      <c r="L161" s="3130">
        <v>0.70569999999999999</v>
      </c>
      <c r="M161" s="3131">
        <v>0.70569999999999999</v>
      </c>
    </row>
    <row r="162" spans="1:13">
      <c r="A162" s="3129">
        <v>7.7</v>
      </c>
      <c r="B162" s="3130">
        <v>0.91190000000000004</v>
      </c>
      <c r="C162" s="3130">
        <v>0.91190000000000004</v>
      </c>
      <c r="D162" s="3130">
        <v>0.83709999999999996</v>
      </c>
      <c r="E162" s="3130">
        <v>0.83709999999999996</v>
      </c>
      <c r="F162" s="3130">
        <v>0.83709999999999996</v>
      </c>
      <c r="G162" s="3130">
        <v>0.83709999999999996</v>
      </c>
      <c r="H162" s="3130">
        <v>0.83709999999999996</v>
      </c>
      <c r="I162" s="3130">
        <v>0.70340000000000003</v>
      </c>
      <c r="J162" s="3130">
        <v>0.70340000000000003</v>
      </c>
      <c r="K162" s="3130">
        <v>0.70340000000000003</v>
      </c>
      <c r="L162" s="3130">
        <v>0.70340000000000003</v>
      </c>
      <c r="M162" s="3131">
        <v>0.70340000000000003</v>
      </c>
    </row>
    <row r="163" spans="1:13">
      <c r="A163" s="3129">
        <v>7.8</v>
      </c>
      <c r="B163" s="3130">
        <v>0.91039999999999999</v>
      </c>
      <c r="C163" s="3130">
        <v>0.91039999999999999</v>
      </c>
      <c r="D163" s="3130">
        <v>0.83530000000000004</v>
      </c>
      <c r="E163" s="3130">
        <v>0.83530000000000004</v>
      </c>
      <c r="F163" s="3130">
        <v>0.83530000000000004</v>
      </c>
      <c r="G163" s="3130">
        <v>0.83530000000000004</v>
      </c>
      <c r="H163" s="3130">
        <v>0.83530000000000004</v>
      </c>
      <c r="I163" s="3130">
        <v>0.70109999999999995</v>
      </c>
      <c r="J163" s="3130">
        <v>0.70109999999999995</v>
      </c>
      <c r="K163" s="3130">
        <v>0.70109999999999995</v>
      </c>
      <c r="L163" s="3130">
        <v>0.70109999999999995</v>
      </c>
      <c r="M163" s="3131">
        <v>0.70109999999999995</v>
      </c>
    </row>
    <row r="164" spans="1:13">
      <c r="A164" s="3129">
        <v>7.9</v>
      </c>
      <c r="B164" s="3130">
        <v>0.90890000000000004</v>
      </c>
      <c r="C164" s="3130">
        <v>0.90890000000000004</v>
      </c>
      <c r="D164" s="3130">
        <v>0.83350000000000002</v>
      </c>
      <c r="E164" s="3130">
        <v>0.83350000000000002</v>
      </c>
      <c r="F164" s="3130">
        <v>0.83350000000000002</v>
      </c>
      <c r="G164" s="3130">
        <v>0.83350000000000002</v>
      </c>
      <c r="H164" s="3130">
        <v>0.83350000000000002</v>
      </c>
      <c r="I164" s="3130">
        <v>0.69879999999999998</v>
      </c>
      <c r="J164" s="3130">
        <v>0.69879999999999998</v>
      </c>
      <c r="K164" s="3130">
        <v>0.69879999999999998</v>
      </c>
      <c r="L164" s="3130">
        <v>0.69879999999999998</v>
      </c>
      <c r="M164" s="3131">
        <v>0.69879999999999998</v>
      </c>
    </row>
    <row r="165" spans="1:13">
      <c r="A165" s="3129">
        <v>8</v>
      </c>
      <c r="B165" s="3130">
        <v>0.90739999999999998</v>
      </c>
      <c r="C165" s="3130">
        <v>0.90739999999999998</v>
      </c>
      <c r="D165" s="3130">
        <v>0.83169999999999999</v>
      </c>
      <c r="E165" s="3130">
        <v>0.83169999999999999</v>
      </c>
      <c r="F165" s="3130">
        <v>0.83169999999999999</v>
      </c>
      <c r="G165" s="3130">
        <v>0.83169999999999999</v>
      </c>
      <c r="H165" s="3130">
        <v>0.83169999999999999</v>
      </c>
      <c r="I165" s="3130">
        <v>0.6966</v>
      </c>
      <c r="J165" s="3130">
        <v>0.6966</v>
      </c>
      <c r="K165" s="3130">
        <v>0.6966</v>
      </c>
      <c r="L165" s="3130">
        <v>0.6966</v>
      </c>
      <c r="M165" s="3131">
        <v>0.6966</v>
      </c>
    </row>
    <row r="166" spans="1:13">
      <c r="A166" s="3129">
        <v>8.1</v>
      </c>
      <c r="B166" s="3130">
        <v>0.90590000000000004</v>
      </c>
      <c r="C166" s="3130">
        <v>0.90590000000000004</v>
      </c>
      <c r="D166" s="3130">
        <v>0.82989999999999997</v>
      </c>
      <c r="E166" s="3130">
        <v>0.82989999999999997</v>
      </c>
      <c r="F166" s="3130">
        <v>0.82989999999999997</v>
      </c>
      <c r="G166" s="3130">
        <v>0.82989999999999997</v>
      </c>
      <c r="H166" s="3130">
        <v>0.82989999999999997</v>
      </c>
      <c r="I166" s="3130">
        <v>0.69440000000000002</v>
      </c>
      <c r="J166" s="3130">
        <v>0.69440000000000002</v>
      </c>
      <c r="K166" s="3130">
        <v>0.69440000000000002</v>
      </c>
      <c r="L166" s="3130">
        <v>0.69440000000000002</v>
      </c>
      <c r="M166" s="3131">
        <v>0.69440000000000002</v>
      </c>
    </row>
    <row r="167" spans="1:13">
      <c r="A167" s="3129">
        <v>8.1999999999999993</v>
      </c>
      <c r="B167" s="3130">
        <v>0.90439999999999998</v>
      </c>
      <c r="C167" s="3130">
        <v>0.90439999999999998</v>
      </c>
      <c r="D167" s="3130">
        <v>0.82820000000000005</v>
      </c>
      <c r="E167" s="3130">
        <v>0.82820000000000005</v>
      </c>
      <c r="F167" s="3130">
        <v>0.82820000000000005</v>
      </c>
      <c r="G167" s="3130">
        <v>0.82820000000000005</v>
      </c>
      <c r="H167" s="3130">
        <v>0.82820000000000005</v>
      </c>
      <c r="I167" s="3130">
        <v>0.69220000000000004</v>
      </c>
      <c r="J167" s="3130">
        <v>0.69220000000000004</v>
      </c>
      <c r="K167" s="3130">
        <v>0.69220000000000004</v>
      </c>
      <c r="L167" s="3130">
        <v>0.69220000000000004</v>
      </c>
      <c r="M167" s="3131">
        <v>0.69220000000000004</v>
      </c>
    </row>
    <row r="168" spans="1:13">
      <c r="A168" s="3129">
        <v>8.3000000000000007</v>
      </c>
      <c r="B168" s="3130">
        <v>0.90300000000000002</v>
      </c>
      <c r="C168" s="3130">
        <v>0.90300000000000002</v>
      </c>
      <c r="D168" s="3130">
        <v>0.82650000000000001</v>
      </c>
      <c r="E168" s="3130">
        <v>0.82650000000000001</v>
      </c>
      <c r="F168" s="3130">
        <v>0.82650000000000001</v>
      </c>
      <c r="G168" s="3130">
        <v>0.82650000000000001</v>
      </c>
      <c r="H168" s="3130">
        <v>0.82650000000000001</v>
      </c>
      <c r="I168" s="3130">
        <v>0.69</v>
      </c>
      <c r="J168" s="3130">
        <v>0.69</v>
      </c>
      <c r="K168" s="3130">
        <v>0.69</v>
      </c>
      <c r="L168" s="3130">
        <v>0.69</v>
      </c>
      <c r="M168" s="3131">
        <v>0.69</v>
      </c>
    </row>
    <row r="169" spans="1:13">
      <c r="A169" s="3129">
        <v>8.4</v>
      </c>
      <c r="B169" s="3130">
        <v>0.90159999999999996</v>
      </c>
      <c r="C169" s="3130">
        <v>0.90159999999999996</v>
      </c>
      <c r="D169" s="3130">
        <v>0.82479999999999998</v>
      </c>
      <c r="E169" s="3130">
        <v>0.82479999999999998</v>
      </c>
      <c r="F169" s="3130">
        <v>0.82479999999999998</v>
      </c>
      <c r="G169" s="3130">
        <v>0.82479999999999998</v>
      </c>
      <c r="H169" s="3130">
        <v>0.82479999999999998</v>
      </c>
      <c r="I169" s="3130">
        <v>0.68779999999999997</v>
      </c>
      <c r="J169" s="3130">
        <v>0.68779999999999997</v>
      </c>
      <c r="K169" s="3130">
        <v>0.68779999999999997</v>
      </c>
      <c r="L169" s="3130">
        <v>0.68779999999999997</v>
      </c>
      <c r="M169" s="3131">
        <v>0.68779999999999997</v>
      </c>
    </row>
    <row r="170" spans="1:13">
      <c r="A170" s="3129">
        <v>8.5</v>
      </c>
      <c r="B170" s="3130">
        <v>0.9002</v>
      </c>
      <c r="C170" s="3130">
        <v>0.9002</v>
      </c>
      <c r="D170" s="3130">
        <v>0.82310000000000005</v>
      </c>
      <c r="E170" s="3130">
        <v>0.82310000000000005</v>
      </c>
      <c r="F170" s="3130">
        <v>0.82310000000000005</v>
      </c>
      <c r="G170" s="3130">
        <v>0.82310000000000005</v>
      </c>
      <c r="H170" s="3130">
        <v>0.82310000000000005</v>
      </c>
      <c r="I170" s="3130">
        <v>0.68569999999999998</v>
      </c>
      <c r="J170" s="3130">
        <v>0.68569999999999998</v>
      </c>
      <c r="K170" s="3130">
        <v>0.68569999999999998</v>
      </c>
      <c r="L170" s="3130">
        <v>0.68569999999999998</v>
      </c>
      <c r="M170" s="3131">
        <v>0.68569999999999998</v>
      </c>
    </row>
    <row r="171" spans="1:13">
      <c r="A171" s="3129">
        <v>8.6</v>
      </c>
      <c r="B171" s="3130">
        <v>0.89880000000000004</v>
      </c>
      <c r="C171" s="3130">
        <v>0.89880000000000004</v>
      </c>
      <c r="D171" s="3130">
        <v>0.82140000000000002</v>
      </c>
      <c r="E171" s="3130">
        <v>0.82140000000000002</v>
      </c>
      <c r="F171" s="3130">
        <v>0.82140000000000002</v>
      </c>
      <c r="G171" s="3130">
        <v>0.82140000000000002</v>
      </c>
      <c r="H171" s="3130">
        <v>0.82140000000000002</v>
      </c>
      <c r="I171" s="3130">
        <v>0.68359999999999999</v>
      </c>
      <c r="J171" s="3130">
        <v>0.68359999999999999</v>
      </c>
      <c r="K171" s="3130">
        <v>0.68359999999999999</v>
      </c>
      <c r="L171" s="3130">
        <v>0.68359999999999999</v>
      </c>
      <c r="M171" s="3131">
        <v>0.68359999999999999</v>
      </c>
    </row>
    <row r="172" spans="1:13">
      <c r="A172" s="3129">
        <v>8.6999999999999993</v>
      </c>
      <c r="B172" s="3130">
        <v>0.89739999999999998</v>
      </c>
      <c r="C172" s="3130">
        <v>0.89739999999999998</v>
      </c>
      <c r="D172" s="3130">
        <v>0.81969999999999998</v>
      </c>
      <c r="E172" s="3130">
        <v>0.81969999999999998</v>
      </c>
      <c r="F172" s="3130">
        <v>0.81969999999999998</v>
      </c>
      <c r="G172" s="3130">
        <v>0.81969999999999998</v>
      </c>
      <c r="H172" s="3130">
        <v>0.81969999999999998</v>
      </c>
      <c r="I172" s="3130">
        <v>0.68149999999999999</v>
      </c>
      <c r="J172" s="3130">
        <v>0.68149999999999999</v>
      </c>
      <c r="K172" s="3130">
        <v>0.68149999999999999</v>
      </c>
      <c r="L172" s="3130">
        <v>0.68149999999999999</v>
      </c>
      <c r="M172" s="3131">
        <v>0.68149999999999999</v>
      </c>
    </row>
    <row r="173" spans="1:13">
      <c r="A173" s="3129">
        <v>8.8000000000000007</v>
      </c>
      <c r="B173" s="3130">
        <v>0.89600000000000002</v>
      </c>
      <c r="C173" s="3130">
        <v>0.89600000000000002</v>
      </c>
      <c r="D173" s="3130">
        <v>0.81810000000000005</v>
      </c>
      <c r="E173" s="3130">
        <v>0.81810000000000005</v>
      </c>
      <c r="F173" s="3130">
        <v>0.81810000000000005</v>
      </c>
      <c r="G173" s="3130">
        <v>0.81810000000000005</v>
      </c>
      <c r="H173" s="3130">
        <v>0.81810000000000005</v>
      </c>
      <c r="I173" s="3130">
        <v>0.6794</v>
      </c>
      <c r="J173" s="3130">
        <v>0.6794</v>
      </c>
      <c r="K173" s="3130">
        <v>0.6794</v>
      </c>
      <c r="L173" s="3130">
        <v>0.6794</v>
      </c>
      <c r="M173" s="3131">
        <v>0.6794</v>
      </c>
    </row>
    <row r="174" spans="1:13">
      <c r="A174" s="3129">
        <v>8.9</v>
      </c>
      <c r="B174" s="3130">
        <v>0.89470000000000005</v>
      </c>
      <c r="C174" s="3130">
        <v>0.89470000000000005</v>
      </c>
      <c r="D174" s="3130">
        <v>0.8165</v>
      </c>
      <c r="E174" s="3130">
        <v>0.8165</v>
      </c>
      <c r="F174" s="3130">
        <v>0.8165</v>
      </c>
      <c r="G174" s="3130">
        <v>0.8165</v>
      </c>
      <c r="H174" s="3130">
        <v>0.8165</v>
      </c>
      <c r="I174" s="3130">
        <v>0.6774</v>
      </c>
      <c r="J174" s="3130">
        <v>0.6774</v>
      </c>
      <c r="K174" s="3130">
        <v>0.6774</v>
      </c>
      <c r="L174" s="3130">
        <v>0.6774</v>
      </c>
      <c r="M174" s="3131">
        <v>0.6774</v>
      </c>
    </row>
    <row r="175" spans="1:13">
      <c r="A175" s="3132">
        <v>9</v>
      </c>
      <c r="B175" s="3130">
        <v>0.89339999999999997</v>
      </c>
      <c r="C175" s="3130">
        <v>0.89339999999999997</v>
      </c>
      <c r="D175" s="3130">
        <v>0.81489999999999996</v>
      </c>
      <c r="E175" s="3130">
        <v>0.81489999999999996</v>
      </c>
      <c r="F175" s="3130">
        <v>0.81489999999999996</v>
      </c>
      <c r="G175" s="3130">
        <v>0.81489999999999996</v>
      </c>
      <c r="H175" s="3130">
        <v>0.81489999999999996</v>
      </c>
      <c r="I175" s="3130">
        <v>0.6754</v>
      </c>
      <c r="J175" s="3130">
        <v>0.6754</v>
      </c>
      <c r="K175" s="3130">
        <v>0.6754</v>
      </c>
      <c r="L175" s="3130">
        <v>0.6754</v>
      </c>
      <c r="M175" s="3131">
        <v>0.6754</v>
      </c>
    </row>
    <row r="176" spans="1:13">
      <c r="A176" s="3132">
        <v>9.1</v>
      </c>
      <c r="B176" s="3130">
        <v>0.8921</v>
      </c>
      <c r="C176" s="3130">
        <v>0.8921</v>
      </c>
      <c r="D176" s="3130">
        <v>0.81330000000000002</v>
      </c>
      <c r="E176" s="3130">
        <v>0.81330000000000002</v>
      </c>
      <c r="F176" s="3130">
        <v>0.81330000000000002</v>
      </c>
      <c r="G176" s="3130">
        <v>0.81330000000000002</v>
      </c>
      <c r="H176" s="3130">
        <v>0.81330000000000002</v>
      </c>
      <c r="I176" s="3130">
        <v>0.6734</v>
      </c>
      <c r="J176" s="3130">
        <v>0.6734</v>
      </c>
      <c r="K176" s="3130">
        <v>0.6734</v>
      </c>
      <c r="L176" s="3130">
        <v>0.6734</v>
      </c>
      <c r="M176" s="3131">
        <v>0.6734</v>
      </c>
    </row>
    <row r="177" spans="1:20">
      <c r="A177" s="3132">
        <v>9.1999999999999993</v>
      </c>
      <c r="B177" s="3130">
        <v>0.89080000000000004</v>
      </c>
      <c r="C177" s="3130">
        <v>0.89080000000000004</v>
      </c>
      <c r="D177" s="3130">
        <v>0.81169999999999998</v>
      </c>
      <c r="E177" s="3130">
        <v>0.81169999999999998</v>
      </c>
      <c r="F177" s="3130">
        <v>0.81169999999999998</v>
      </c>
      <c r="G177" s="3130">
        <v>0.81169999999999998</v>
      </c>
      <c r="H177" s="3130">
        <v>0.81169999999999998</v>
      </c>
      <c r="I177" s="3130">
        <v>0.6714</v>
      </c>
      <c r="J177" s="3130">
        <v>0.6714</v>
      </c>
      <c r="K177" s="3130">
        <v>0.6714</v>
      </c>
      <c r="L177" s="3130">
        <v>0.6714</v>
      </c>
      <c r="M177" s="3131">
        <v>0.6714</v>
      </c>
    </row>
    <row r="178" spans="1:20">
      <c r="A178" s="3132">
        <v>9.3000000000000007</v>
      </c>
      <c r="B178" s="3130">
        <v>0.88949999999999996</v>
      </c>
      <c r="C178" s="3130">
        <v>0.88949999999999996</v>
      </c>
      <c r="D178" s="3130">
        <v>0.81010000000000004</v>
      </c>
      <c r="E178" s="3130">
        <v>0.81010000000000004</v>
      </c>
      <c r="F178" s="3130">
        <v>0.81010000000000004</v>
      </c>
      <c r="G178" s="3130">
        <v>0.81010000000000004</v>
      </c>
      <c r="H178" s="3130">
        <v>0.81010000000000004</v>
      </c>
      <c r="I178" s="3130">
        <v>0.6694</v>
      </c>
      <c r="J178" s="3130">
        <v>0.6694</v>
      </c>
      <c r="K178" s="3130">
        <v>0.6694</v>
      </c>
      <c r="L178" s="3130">
        <v>0.6694</v>
      </c>
      <c r="M178" s="3131">
        <v>0.6694</v>
      </c>
    </row>
    <row r="179" spans="1:20">
      <c r="A179" s="3132">
        <v>9.4</v>
      </c>
      <c r="B179" s="3130">
        <v>0.88819999999999999</v>
      </c>
      <c r="C179" s="3130">
        <v>0.88819999999999999</v>
      </c>
      <c r="D179" s="3130">
        <v>0.8085</v>
      </c>
      <c r="E179" s="3130">
        <v>0.8085</v>
      </c>
      <c r="F179" s="3130">
        <v>0.8085</v>
      </c>
      <c r="G179" s="3130">
        <v>0.8085</v>
      </c>
      <c r="H179" s="3130">
        <v>0.8085</v>
      </c>
      <c r="I179" s="3130">
        <v>0.66739999999999999</v>
      </c>
      <c r="J179" s="3130">
        <v>0.66739999999999999</v>
      </c>
      <c r="K179" s="3130">
        <v>0.66739999999999999</v>
      </c>
      <c r="L179" s="3130">
        <v>0.66739999999999999</v>
      </c>
      <c r="M179" s="3131">
        <v>0.66739999999999999</v>
      </c>
    </row>
    <row r="180" spans="1:20">
      <c r="A180" s="3132">
        <v>9.5</v>
      </c>
      <c r="B180" s="3130">
        <v>0.88700000000000001</v>
      </c>
      <c r="C180" s="3130">
        <v>0.88700000000000001</v>
      </c>
      <c r="D180" s="3130">
        <v>0.80700000000000005</v>
      </c>
      <c r="E180" s="3130">
        <v>0.80700000000000005</v>
      </c>
      <c r="F180" s="3130">
        <v>0.80700000000000005</v>
      </c>
      <c r="G180" s="3130">
        <v>0.80700000000000005</v>
      </c>
      <c r="H180" s="3130">
        <v>0.80700000000000005</v>
      </c>
      <c r="I180" s="3130">
        <v>0.66549999999999998</v>
      </c>
      <c r="J180" s="3130">
        <v>0.66549999999999998</v>
      </c>
      <c r="K180" s="3130">
        <v>0.66549999999999998</v>
      </c>
      <c r="L180" s="3130">
        <v>0.66549999999999998</v>
      </c>
      <c r="M180" s="3131">
        <v>0.66549999999999998</v>
      </c>
    </row>
    <row r="181" spans="1:20">
      <c r="A181" s="3132">
        <v>9.6</v>
      </c>
      <c r="B181" s="3130">
        <v>0.88580000000000003</v>
      </c>
      <c r="C181" s="3130">
        <v>0.88580000000000003</v>
      </c>
      <c r="D181" s="3130">
        <v>0.80549999999999999</v>
      </c>
      <c r="E181" s="3130">
        <v>0.80549999999999999</v>
      </c>
      <c r="F181" s="3130">
        <v>0.80549999999999999</v>
      </c>
      <c r="G181" s="3130">
        <v>0.80549999999999999</v>
      </c>
      <c r="H181" s="3130">
        <v>0.80549999999999999</v>
      </c>
      <c r="I181" s="3130">
        <v>0.66359999999999997</v>
      </c>
      <c r="J181" s="3130">
        <v>0.66359999999999997</v>
      </c>
      <c r="K181" s="3130">
        <v>0.66359999999999997</v>
      </c>
      <c r="L181" s="3130">
        <v>0.66359999999999997</v>
      </c>
      <c r="M181" s="3131">
        <v>0.66359999999999997</v>
      </c>
    </row>
    <row r="182" spans="1:20">
      <c r="A182" s="3132">
        <v>9.6999999999999993</v>
      </c>
      <c r="B182" s="3130">
        <v>0.88460000000000005</v>
      </c>
      <c r="C182" s="3130">
        <v>0.88460000000000005</v>
      </c>
      <c r="D182" s="3130">
        <v>0.80400000000000005</v>
      </c>
      <c r="E182" s="3130">
        <v>0.80400000000000005</v>
      </c>
      <c r="F182" s="3130">
        <v>0.80400000000000005</v>
      </c>
      <c r="G182" s="3130">
        <v>0.80400000000000005</v>
      </c>
      <c r="H182" s="3130">
        <v>0.80400000000000005</v>
      </c>
      <c r="I182" s="3130">
        <v>0.66169999999999995</v>
      </c>
      <c r="J182" s="3130">
        <v>0.66169999999999995</v>
      </c>
      <c r="K182" s="3130">
        <v>0.66169999999999995</v>
      </c>
      <c r="L182" s="3130">
        <v>0.66169999999999995</v>
      </c>
      <c r="M182" s="3131">
        <v>0.66169999999999995</v>
      </c>
    </row>
    <row r="183" spans="1:20">
      <c r="A183" s="3132">
        <v>9.8000000000000007</v>
      </c>
      <c r="B183" s="3130">
        <v>0.88339999999999996</v>
      </c>
      <c r="C183" s="3130">
        <v>0.88339999999999996</v>
      </c>
      <c r="D183" s="3130">
        <v>0.80249999999999999</v>
      </c>
      <c r="E183" s="3130">
        <v>0.80249999999999999</v>
      </c>
      <c r="F183" s="3130">
        <v>0.80249999999999999</v>
      </c>
      <c r="G183" s="3130">
        <v>0.80249999999999999</v>
      </c>
      <c r="H183" s="3130">
        <v>0.80249999999999999</v>
      </c>
      <c r="I183" s="3130">
        <v>0.65980000000000005</v>
      </c>
      <c r="J183" s="3130">
        <v>0.65980000000000005</v>
      </c>
      <c r="K183" s="3130">
        <v>0.65980000000000005</v>
      </c>
      <c r="L183" s="3130">
        <v>0.65980000000000005</v>
      </c>
      <c r="M183" s="3131">
        <v>0.65980000000000005</v>
      </c>
    </row>
    <row r="184" spans="1:20" ht="14.25" thickBot="1">
      <c r="A184" s="3133">
        <v>9.9</v>
      </c>
      <c r="B184" s="3134">
        <v>0.88219999999999998</v>
      </c>
      <c r="C184" s="3134">
        <v>0.88219999999999998</v>
      </c>
      <c r="D184" s="3134">
        <v>0.80100000000000005</v>
      </c>
      <c r="E184" s="3134">
        <v>0.80100000000000005</v>
      </c>
      <c r="F184" s="3134">
        <v>0.80100000000000005</v>
      </c>
      <c r="G184" s="3134">
        <v>0.80100000000000005</v>
      </c>
      <c r="H184" s="3134">
        <v>0.80100000000000005</v>
      </c>
      <c r="I184" s="3134">
        <v>0.65790000000000004</v>
      </c>
      <c r="J184" s="3134">
        <v>0.65790000000000004</v>
      </c>
      <c r="K184" s="3134">
        <v>0.65790000000000004</v>
      </c>
      <c r="L184" s="3134">
        <v>0.65790000000000004</v>
      </c>
      <c r="M184" s="3135">
        <v>0.65790000000000004</v>
      </c>
    </row>
    <row r="185" spans="1:20" ht="15" thickBot="1">
      <c r="A185" s="3123" t="s">
        <v>2802</v>
      </c>
      <c r="B185" s="3123"/>
      <c r="C185" s="3123"/>
      <c r="D185" s="3123"/>
      <c r="E185" s="3123"/>
      <c r="F185" s="3123"/>
      <c r="G185" s="3123"/>
      <c r="H185" s="3123"/>
      <c r="I185" s="3123"/>
      <c r="J185" s="3123"/>
      <c r="K185" s="3123"/>
      <c r="L185" s="3123"/>
      <c r="M185" s="3123"/>
    </row>
    <row r="186" spans="1:20">
      <c r="A186" s="3124" t="s">
        <v>2800</v>
      </c>
      <c r="B186" s="3125" t="s">
        <v>2596</v>
      </c>
      <c r="C186" s="3125" t="s">
        <v>2597</v>
      </c>
      <c r="D186" s="3125" t="s">
        <v>2598</v>
      </c>
      <c r="E186" s="3125" t="s">
        <v>2599</v>
      </c>
      <c r="F186" s="3125" t="s">
        <v>2600</v>
      </c>
      <c r="G186" s="3125" t="s">
        <v>2601</v>
      </c>
      <c r="H186" s="3126" t="s">
        <v>2602</v>
      </c>
      <c r="I186" s="3126" t="s">
        <v>2603</v>
      </c>
      <c r="J186" s="3127" t="s">
        <v>2604</v>
      </c>
      <c r="K186" s="3127" t="s">
        <v>2605</v>
      </c>
      <c r="L186" s="3127" t="s">
        <v>2606</v>
      </c>
      <c r="M186" s="3128" t="s">
        <v>2607</v>
      </c>
      <c r="Q186" s="3138" t="s">
        <v>2805</v>
      </c>
      <c r="R186" s="3138" t="s">
        <v>2806</v>
      </c>
      <c r="S186" s="3138" t="s">
        <v>2807</v>
      </c>
      <c r="T186" s="3138" t="s">
        <v>2808</v>
      </c>
    </row>
    <row r="187" spans="1:20">
      <c r="A187" s="3129">
        <v>1</v>
      </c>
      <c r="B187" s="3130">
        <v>1.1901999999999999</v>
      </c>
      <c r="C187" s="3130">
        <v>1.1901999999999999</v>
      </c>
      <c r="D187" s="3130">
        <v>1.222</v>
      </c>
      <c r="E187" s="3130">
        <v>1.222</v>
      </c>
      <c r="F187" s="3130">
        <v>1.222</v>
      </c>
      <c r="G187" s="3130">
        <v>1.222</v>
      </c>
      <c r="H187" s="3130">
        <v>1.222</v>
      </c>
      <c r="I187" s="3130">
        <v>1.1054999999999999</v>
      </c>
      <c r="J187" s="3130">
        <v>1.1054999999999999</v>
      </c>
      <c r="K187" s="3130">
        <v>1.1054999999999999</v>
      </c>
      <c r="L187" s="3130">
        <v>1.1054999999999999</v>
      </c>
      <c r="M187" s="3131">
        <v>1.1054999999999999</v>
      </c>
      <c r="Q187" s="3138">
        <v>10</v>
      </c>
      <c r="R187" s="3138">
        <f>ROUND(0.9448-0.0115*Q187,4)</f>
        <v>0.82979999999999998</v>
      </c>
      <c r="S187" s="3138">
        <f>ROUND(0.937-0.0145*Q187,4)</f>
        <v>0.79200000000000004</v>
      </c>
      <c r="T187" s="3138">
        <f>ROUND(0.7965-0.0185*Q187,4)</f>
        <v>0.61150000000000004</v>
      </c>
    </row>
    <row r="188" spans="1:20">
      <c r="A188" s="3129">
        <v>1.1000000000000001</v>
      </c>
      <c r="B188" s="3130">
        <v>1.1715</v>
      </c>
      <c r="C188" s="3130">
        <v>1.1715</v>
      </c>
      <c r="D188" s="3130">
        <v>1.2002999999999999</v>
      </c>
      <c r="E188" s="3130">
        <v>1.2002999999999999</v>
      </c>
      <c r="F188" s="3130">
        <v>1.2002999999999999</v>
      </c>
      <c r="G188" s="3130">
        <v>1.2002999999999999</v>
      </c>
      <c r="H188" s="3130">
        <v>1.2002999999999999</v>
      </c>
      <c r="I188" s="3130">
        <v>1.0819000000000001</v>
      </c>
      <c r="J188" s="3130">
        <v>1.0819000000000001</v>
      </c>
      <c r="K188" s="3130">
        <v>1.0819000000000001</v>
      </c>
      <c r="L188" s="3130">
        <v>1.0819000000000001</v>
      </c>
      <c r="M188" s="3131">
        <v>1.0819000000000001</v>
      </c>
    </row>
    <row r="189" spans="1:20">
      <c r="A189" s="3129">
        <v>1.2</v>
      </c>
      <c r="B189" s="3130">
        <v>1.1538999999999999</v>
      </c>
      <c r="C189" s="3130">
        <v>1.1538999999999999</v>
      </c>
      <c r="D189" s="3130">
        <v>1.1798</v>
      </c>
      <c r="E189" s="3130">
        <v>1.1798</v>
      </c>
      <c r="F189" s="3130">
        <v>1.1798</v>
      </c>
      <c r="G189" s="3130">
        <v>1.1798</v>
      </c>
      <c r="H189" s="3130">
        <v>1.1798</v>
      </c>
      <c r="I189" s="3130">
        <v>1.0597000000000001</v>
      </c>
      <c r="J189" s="3130">
        <v>1.0597000000000001</v>
      </c>
      <c r="K189" s="3130">
        <v>1.0597000000000001</v>
      </c>
      <c r="L189" s="3130">
        <v>1.0597000000000001</v>
      </c>
      <c r="M189" s="3131">
        <v>1.0597000000000001</v>
      </c>
    </row>
    <row r="190" spans="1:20">
      <c r="A190" s="3129">
        <v>1.3</v>
      </c>
      <c r="B190" s="3130">
        <v>1.1372</v>
      </c>
      <c r="C190" s="3130">
        <v>1.1372</v>
      </c>
      <c r="D190" s="3130">
        <v>1.1605000000000001</v>
      </c>
      <c r="E190" s="3130">
        <v>1.1605000000000001</v>
      </c>
      <c r="F190" s="3130">
        <v>1.1605000000000001</v>
      </c>
      <c r="G190" s="3130">
        <v>1.1605000000000001</v>
      </c>
      <c r="H190" s="3130">
        <v>1.1605000000000001</v>
      </c>
      <c r="I190" s="3130">
        <v>1.0386</v>
      </c>
      <c r="J190" s="3130">
        <v>1.0386</v>
      </c>
      <c r="K190" s="3130">
        <v>1.0386</v>
      </c>
      <c r="L190" s="3130">
        <v>1.0386</v>
      </c>
      <c r="M190" s="3131">
        <v>1.0386</v>
      </c>
    </row>
    <row r="191" spans="1:20">
      <c r="A191" s="3129">
        <v>1.4</v>
      </c>
      <c r="B191" s="3130">
        <v>1.1215999999999999</v>
      </c>
      <c r="C191" s="3130">
        <v>1.1215999999999999</v>
      </c>
      <c r="D191" s="3130">
        <v>1.1422000000000001</v>
      </c>
      <c r="E191" s="3130">
        <v>1.1422000000000001</v>
      </c>
      <c r="F191" s="3130">
        <v>1.1422000000000001</v>
      </c>
      <c r="G191" s="3130">
        <v>1.1422000000000001</v>
      </c>
      <c r="H191" s="3130">
        <v>1.1422000000000001</v>
      </c>
      <c r="I191" s="3130">
        <v>1.0187999999999999</v>
      </c>
      <c r="J191" s="3130">
        <v>1.0187999999999999</v>
      </c>
      <c r="K191" s="3130">
        <v>1.0187999999999999</v>
      </c>
      <c r="L191" s="3130">
        <v>1.0187999999999999</v>
      </c>
      <c r="M191" s="3131">
        <v>1.0187999999999999</v>
      </c>
    </row>
    <row r="192" spans="1:20">
      <c r="A192" s="3129">
        <v>1.5</v>
      </c>
      <c r="B192" s="3130">
        <v>1.1069</v>
      </c>
      <c r="C192" s="3130">
        <v>1.1069</v>
      </c>
      <c r="D192" s="3130">
        <v>1.125</v>
      </c>
      <c r="E192" s="3130">
        <v>1.125</v>
      </c>
      <c r="F192" s="3130">
        <v>1.125</v>
      </c>
      <c r="G192" s="3130">
        <v>1.125</v>
      </c>
      <c r="H192" s="3130">
        <v>1.125</v>
      </c>
      <c r="I192" s="3130">
        <v>1</v>
      </c>
      <c r="J192" s="3130">
        <v>1</v>
      </c>
      <c r="K192" s="3130">
        <v>1</v>
      </c>
      <c r="L192" s="3130">
        <v>1</v>
      </c>
      <c r="M192" s="3131">
        <v>1</v>
      </c>
    </row>
    <row r="193" spans="1:13">
      <c r="A193" s="3129">
        <v>1.6</v>
      </c>
      <c r="B193" s="3130">
        <v>1.0929</v>
      </c>
      <c r="C193" s="3130">
        <v>1.0929</v>
      </c>
      <c r="D193" s="3130">
        <v>1.1087</v>
      </c>
      <c r="E193" s="3130">
        <v>1.1087</v>
      </c>
      <c r="F193" s="3130">
        <v>1.1087</v>
      </c>
      <c r="G193" s="3130">
        <v>1.1087</v>
      </c>
      <c r="H193" s="3130">
        <v>1.1087</v>
      </c>
      <c r="I193" s="3130">
        <v>0.98229999999999995</v>
      </c>
      <c r="J193" s="3130">
        <v>0.98229999999999995</v>
      </c>
      <c r="K193" s="3130">
        <v>0.98229999999999995</v>
      </c>
      <c r="L193" s="3130">
        <v>0.98229999999999995</v>
      </c>
      <c r="M193" s="3131">
        <v>0.98229999999999995</v>
      </c>
    </row>
    <row r="194" spans="1:13">
      <c r="A194" s="3129">
        <v>1.7</v>
      </c>
      <c r="B194" s="3130">
        <v>1.0798000000000001</v>
      </c>
      <c r="C194" s="3130">
        <v>1.0798000000000001</v>
      </c>
      <c r="D194" s="3130">
        <v>1.0933999999999999</v>
      </c>
      <c r="E194" s="3130">
        <v>1.0933999999999999</v>
      </c>
      <c r="F194" s="3130">
        <v>1.0933999999999999</v>
      </c>
      <c r="G194" s="3130">
        <v>1.0933999999999999</v>
      </c>
      <c r="H194" s="3130">
        <v>1.0933999999999999</v>
      </c>
      <c r="I194" s="3130">
        <v>0.96560000000000001</v>
      </c>
      <c r="J194" s="3130">
        <v>0.96560000000000001</v>
      </c>
      <c r="K194" s="3130">
        <v>0.96560000000000001</v>
      </c>
      <c r="L194" s="3130">
        <v>0.96560000000000001</v>
      </c>
      <c r="M194" s="3131">
        <v>0.96560000000000001</v>
      </c>
    </row>
    <row r="195" spans="1:13">
      <c r="A195" s="3129">
        <v>1.8</v>
      </c>
      <c r="B195" s="3130">
        <v>1.0674999999999999</v>
      </c>
      <c r="C195" s="3130">
        <v>1.0674999999999999</v>
      </c>
      <c r="D195" s="3130">
        <v>1.0790999999999999</v>
      </c>
      <c r="E195" s="3130">
        <v>1.0790999999999999</v>
      </c>
      <c r="F195" s="3130">
        <v>1.0790999999999999</v>
      </c>
      <c r="G195" s="3130">
        <v>1.0790999999999999</v>
      </c>
      <c r="H195" s="3130">
        <v>1.0790999999999999</v>
      </c>
      <c r="I195" s="3130">
        <v>0.94989999999999997</v>
      </c>
      <c r="J195" s="3130">
        <v>0.94989999999999997</v>
      </c>
      <c r="K195" s="3130">
        <v>0.94989999999999997</v>
      </c>
      <c r="L195" s="3130">
        <v>0.94989999999999997</v>
      </c>
      <c r="M195" s="3131">
        <v>0.94989999999999997</v>
      </c>
    </row>
    <row r="196" spans="1:13">
      <c r="A196" s="3129">
        <v>1.9</v>
      </c>
      <c r="B196" s="3130">
        <v>1.0558000000000001</v>
      </c>
      <c r="C196" s="3130">
        <v>1.0558000000000001</v>
      </c>
      <c r="D196" s="3130">
        <v>1.0654999999999999</v>
      </c>
      <c r="E196" s="3130">
        <v>1.0654999999999999</v>
      </c>
      <c r="F196" s="3130">
        <v>1.0654999999999999</v>
      </c>
      <c r="G196" s="3130">
        <v>1.0654999999999999</v>
      </c>
      <c r="H196" s="3130">
        <v>1.0654999999999999</v>
      </c>
      <c r="I196" s="3130">
        <v>0.93520000000000003</v>
      </c>
      <c r="J196" s="3130">
        <v>0.93520000000000003</v>
      </c>
      <c r="K196" s="3130">
        <v>0.93520000000000003</v>
      </c>
      <c r="L196" s="3130">
        <v>0.93520000000000003</v>
      </c>
      <c r="M196" s="3131">
        <v>0.93520000000000003</v>
      </c>
    </row>
    <row r="197" spans="1:13">
      <c r="A197" s="3129">
        <v>2</v>
      </c>
      <c r="B197" s="3130">
        <v>1.0449999999999999</v>
      </c>
      <c r="C197" s="3130">
        <v>1.0449999999999999</v>
      </c>
      <c r="D197" s="3130">
        <v>1.0528</v>
      </c>
      <c r="E197" s="3130">
        <v>1.0528</v>
      </c>
      <c r="F197" s="3130">
        <v>1.0528</v>
      </c>
      <c r="G197" s="3130">
        <v>1.0528</v>
      </c>
      <c r="H197" s="3130">
        <v>1.0528</v>
      </c>
      <c r="I197" s="3130">
        <v>0.92130000000000001</v>
      </c>
      <c r="J197" s="3130">
        <v>0.92130000000000001</v>
      </c>
      <c r="K197" s="3130">
        <v>0.92130000000000001</v>
      </c>
      <c r="L197" s="3130">
        <v>0.92130000000000001</v>
      </c>
      <c r="M197" s="3131">
        <v>0.92130000000000001</v>
      </c>
    </row>
    <row r="198" spans="1:13">
      <c r="A198" s="3132">
        <v>2.1</v>
      </c>
      <c r="B198" s="3130">
        <v>1.0347999999999999</v>
      </c>
      <c r="C198" s="3130">
        <v>1.0347999999999999</v>
      </c>
      <c r="D198" s="3130">
        <v>1.0407999999999999</v>
      </c>
      <c r="E198" s="3130">
        <v>1.0407999999999999</v>
      </c>
      <c r="F198" s="3130">
        <v>1.0407999999999999</v>
      </c>
      <c r="G198" s="3130">
        <v>1.0407999999999999</v>
      </c>
      <c r="H198" s="3130">
        <v>1.0407999999999999</v>
      </c>
      <c r="I198" s="3130">
        <v>0.90820000000000001</v>
      </c>
      <c r="J198" s="3130">
        <v>0.90820000000000001</v>
      </c>
      <c r="K198" s="3130">
        <v>0.90820000000000001</v>
      </c>
      <c r="L198" s="3130">
        <v>0.90820000000000001</v>
      </c>
      <c r="M198" s="3131">
        <v>0.90820000000000001</v>
      </c>
    </row>
    <row r="199" spans="1:13">
      <c r="A199" s="3132">
        <v>2.2000000000000002</v>
      </c>
      <c r="B199" s="3130">
        <v>1.0251999999999999</v>
      </c>
      <c r="C199" s="3130">
        <v>1.0251999999999999</v>
      </c>
      <c r="D199" s="3130">
        <v>1.0296000000000001</v>
      </c>
      <c r="E199" s="3130">
        <v>1.0296000000000001</v>
      </c>
      <c r="F199" s="3130">
        <v>1.0296000000000001</v>
      </c>
      <c r="G199" s="3130">
        <v>1.0296000000000001</v>
      </c>
      <c r="H199" s="3130">
        <v>1.0296000000000001</v>
      </c>
      <c r="I199" s="3130">
        <v>0.89570000000000005</v>
      </c>
      <c r="J199" s="3130">
        <v>0.89570000000000005</v>
      </c>
      <c r="K199" s="3130">
        <v>0.89570000000000005</v>
      </c>
      <c r="L199" s="3130">
        <v>0.89570000000000005</v>
      </c>
      <c r="M199" s="3131">
        <v>0.89570000000000005</v>
      </c>
    </row>
    <row r="200" spans="1:13">
      <c r="A200" s="3132">
        <v>2.2999999999999998</v>
      </c>
      <c r="B200" s="3130">
        <v>1.0162</v>
      </c>
      <c r="C200" s="3130">
        <v>1.0162</v>
      </c>
      <c r="D200" s="3130">
        <v>1.0190999999999999</v>
      </c>
      <c r="E200" s="3130">
        <v>1.0190999999999999</v>
      </c>
      <c r="F200" s="3130">
        <v>1.0190999999999999</v>
      </c>
      <c r="G200" s="3130">
        <v>1.0190999999999999</v>
      </c>
      <c r="H200" s="3130">
        <v>1.0190999999999999</v>
      </c>
      <c r="I200" s="3130">
        <v>0.88419999999999999</v>
      </c>
      <c r="J200" s="3130">
        <v>0.88419999999999999</v>
      </c>
      <c r="K200" s="3130">
        <v>0.88419999999999999</v>
      </c>
      <c r="L200" s="3130">
        <v>0.88419999999999999</v>
      </c>
      <c r="M200" s="3131">
        <v>0.88419999999999999</v>
      </c>
    </row>
    <row r="201" spans="1:13">
      <c r="A201" s="3132">
        <v>2.4</v>
      </c>
      <c r="B201" s="3130">
        <v>1.0078</v>
      </c>
      <c r="C201" s="3130">
        <v>1.0078</v>
      </c>
      <c r="D201" s="3130">
        <v>1.0092000000000001</v>
      </c>
      <c r="E201" s="3130">
        <v>1.0092000000000001</v>
      </c>
      <c r="F201" s="3130">
        <v>1.0092000000000001</v>
      </c>
      <c r="G201" s="3130">
        <v>1.0092000000000001</v>
      </c>
      <c r="H201" s="3130">
        <v>1.0092000000000001</v>
      </c>
      <c r="I201" s="3130">
        <v>0.87329999999999997</v>
      </c>
      <c r="J201" s="3130">
        <v>0.87329999999999997</v>
      </c>
      <c r="K201" s="3130">
        <v>0.87329999999999997</v>
      </c>
      <c r="L201" s="3130">
        <v>0.87329999999999997</v>
      </c>
      <c r="M201" s="3131">
        <v>0.87329999999999997</v>
      </c>
    </row>
    <row r="202" spans="1:13">
      <c r="A202" s="3132">
        <v>2.5</v>
      </c>
      <c r="B202" s="3130">
        <v>1</v>
      </c>
      <c r="C202" s="3130">
        <v>1</v>
      </c>
      <c r="D202" s="3130">
        <v>1</v>
      </c>
      <c r="E202" s="3130">
        <v>1</v>
      </c>
      <c r="F202" s="3130">
        <v>1</v>
      </c>
      <c r="G202" s="3130">
        <v>1</v>
      </c>
      <c r="H202" s="3130">
        <v>1</v>
      </c>
      <c r="I202" s="3130">
        <v>0.86299999999999999</v>
      </c>
      <c r="J202" s="3130">
        <v>0.86299999999999999</v>
      </c>
      <c r="K202" s="3130">
        <v>0.86299999999999999</v>
      </c>
      <c r="L202" s="3130">
        <v>0.86299999999999999</v>
      </c>
      <c r="M202" s="3131">
        <v>0.86299999999999999</v>
      </c>
    </row>
    <row r="203" spans="1:13">
      <c r="A203" s="3132">
        <v>2.6</v>
      </c>
      <c r="B203" s="3130">
        <v>0.99270000000000003</v>
      </c>
      <c r="C203" s="3130">
        <v>0.99270000000000003</v>
      </c>
      <c r="D203" s="3130">
        <v>0.99139999999999995</v>
      </c>
      <c r="E203" s="3130">
        <v>0.99139999999999995</v>
      </c>
      <c r="F203" s="3130">
        <v>0.99139999999999995</v>
      </c>
      <c r="G203" s="3130">
        <v>0.99139999999999995</v>
      </c>
      <c r="H203" s="3130">
        <v>0.99139999999999995</v>
      </c>
      <c r="I203" s="3130">
        <v>0.85340000000000005</v>
      </c>
      <c r="J203" s="3130">
        <v>0.85340000000000005</v>
      </c>
      <c r="K203" s="3130">
        <v>0.85340000000000005</v>
      </c>
      <c r="L203" s="3130">
        <v>0.85340000000000005</v>
      </c>
      <c r="M203" s="3131">
        <v>0.85340000000000005</v>
      </c>
    </row>
    <row r="204" spans="1:13">
      <c r="A204" s="3132">
        <v>2.7</v>
      </c>
      <c r="B204" s="3130">
        <v>0.98580000000000001</v>
      </c>
      <c r="C204" s="3130">
        <v>0.98580000000000001</v>
      </c>
      <c r="D204" s="3130">
        <v>0.98329999999999995</v>
      </c>
      <c r="E204" s="3130">
        <v>0.98329999999999995</v>
      </c>
      <c r="F204" s="3130">
        <v>0.98329999999999995</v>
      </c>
      <c r="G204" s="3130">
        <v>0.98329999999999995</v>
      </c>
      <c r="H204" s="3130">
        <v>0.98329999999999995</v>
      </c>
      <c r="I204" s="3130">
        <v>0.84440000000000004</v>
      </c>
      <c r="J204" s="3130">
        <v>0.84440000000000004</v>
      </c>
      <c r="K204" s="3130">
        <v>0.84440000000000004</v>
      </c>
      <c r="L204" s="3130">
        <v>0.84440000000000004</v>
      </c>
      <c r="M204" s="3131">
        <v>0.84440000000000004</v>
      </c>
    </row>
    <row r="205" spans="1:13">
      <c r="A205" s="3132">
        <v>2.8</v>
      </c>
      <c r="B205" s="3130">
        <v>0.97940000000000005</v>
      </c>
      <c r="C205" s="3130">
        <v>0.97940000000000005</v>
      </c>
      <c r="D205" s="3130">
        <v>0.97570000000000001</v>
      </c>
      <c r="E205" s="3130">
        <v>0.97570000000000001</v>
      </c>
      <c r="F205" s="3130">
        <v>0.97570000000000001</v>
      </c>
      <c r="G205" s="3130">
        <v>0.97570000000000001</v>
      </c>
      <c r="H205" s="3130">
        <v>0.97570000000000001</v>
      </c>
      <c r="I205" s="3130">
        <v>0.83599999999999997</v>
      </c>
      <c r="J205" s="3130">
        <v>0.83599999999999997</v>
      </c>
      <c r="K205" s="3130">
        <v>0.83599999999999997</v>
      </c>
      <c r="L205" s="3130">
        <v>0.83599999999999997</v>
      </c>
      <c r="M205" s="3131">
        <v>0.83599999999999997</v>
      </c>
    </row>
    <row r="206" spans="1:13">
      <c r="A206" s="3132">
        <v>2.9</v>
      </c>
      <c r="B206" s="3130">
        <v>0.97350000000000003</v>
      </c>
      <c r="C206" s="3130">
        <v>0.97350000000000003</v>
      </c>
      <c r="D206" s="3130">
        <v>0.96870000000000001</v>
      </c>
      <c r="E206" s="3130">
        <v>0.96870000000000001</v>
      </c>
      <c r="F206" s="3130">
        <v>0.96870000000000001</v>
      </c>
      <c r="G206" s="3130">
        <v>0.96870000000000001</v>
      </c>
      <c r="H206" s="3130">
        <v>0.96870000000000001</v>
      </c>
      <c r="I206" s="3130">
        <v>0.82820000000000005</v>
      </c>
      <c r="J206" s="3130">
        <v>0.82820000000000005</v>
      </c>
      <c r="K206" s="3130">
        <v>0.82820000000000005</v>
      </c>
      <c r="L206" s="3130">
        <v>0.82820000000000005</v>
      </c>
      <c r="M206" s="3131">
        <v>0.82820000000000005</v>
      </c>
    </row>
    <row r="207" spans="1:13">
      <c r="A207" s="3132">
        <v>3</v>
      </c>
      <c r="B207" s="3130">
        <v>0.96789999999999998</v>
      </c>
      <c r="C207" s="3130">
        <v>0.96789999999999998</v>
      </c>
      <c r="D207" s="3130">
        <v>0.96209999999999996</v>
      </c>
      <c r="E207" s="3130">
        <v>0.96209999999999996</v>
      </c>
      <c r="F207" s="3130">
        <v>0.96209999999999996</v>
      </c>
      <c r="G207" s="3130">
        <v>0.96209999999999996</v>
      </c>
      <c r="H207" s="3130">
        <v>0.96209999999999996</v>
      </c>
      <c r="I207" s="3130">
        <v>0.82079999999999997</v>
      </c>
      <c r="J207" s="3130">
        <v>0.82079999999999997</v>
      </c>
      <c r="K207" s="3130">
        <v>0.82079999999999997</v>
      </c>
      <c r="L207" s="3130">
        <v>0.82079999999999997</v>
      </c>
      <c r="M207" s="3131">
        <v>0.82079999999999997</v>
      </c>
    </row>
    <row r="208" spans="1:13">
      <c r="A208" s="3132">
        <v>3.1</v>
      </c>
      <c r="B208" s="3130">
        <v>0.9627</v>
      </c>
      <c r="C208" s="3130">
        <v>0.9627</v>
      </c>
      <c r="D208" s="3130">
        <v>0.95589999999999997</v>
      </c>
      <c r="E208" s="3130">
        <v>0.95589999999999997</v>
      </c>
      <c r="F208" s="3130">
        <v>0.95589999999999997</v>
      </c>
      <c r="G208" s="3130">
        <v>0.95589999999999997</v>
      </c>
      <c r="H208" s="3130">
        <v>0.95589999999999997</v>
      </c>
      <c r="I208" s="3130">
        <v>0.81389999999999996</v>
      </c>
      <c r="J208" s="3130">
        <v>0.81389999999999996</v>
      </c>
      <c r="K208" s="3130">
        <v>0.81389999999999996</v>
      </c>
      <c r="L208" s="3130">
        <v>0.81389999999999996</v>
      </c>
      <c r="M208" s="3131">
        <v>0.81389999999999996</v>
      </c>
    </row>
    <row r="209" spans="1:13">
      <c r="A209" s="3132">
        <v>3.2</v>
      </c>
      <c r="B209" s="3130">
        <v>0.95789999999999997</v>
      </c>
      <c r="C209" s="3130">
        <v>0.95789999999999997</v>
      </c>
      <c r="D209" s="3130">
        <v>0.95020000000000004</v>
      </c>
      <c r="E209" s="3130">
        <v>0.95020000000000004</v>
      </c>
      <c r="F209" s="3130">
        <v>0.95020000000000004</v>
      </c>
      <c r="G209" s="3130">
        <v>0.95020000000000004</v>
      </c>
      <c r="H209" s="3130">
        <v>0.95020000000000004</v>
      </c>
      <c r="I209" s="3130">
        <v>0.8075</v>
      </c>
      <c r="J209" s="3130">
        <v>0.8075</v>
      </c>
      <c r="K209" s="3130">
        <v>0.8075</v>
      </c>
      <c r="L209" s="3130">
        <v>0.8075</v>
      </c>
      <c r="M209" s="3131">
        <v>0.8075</v>
      </c>
    </row>
    <row r="210" spans="1:13">
      <c r="A210" s="3132">
        <v>3.3</v>
      </c>
      <c r="B210" s="3130">
        <v>0.95340000000000003</v>
      </c>
      <c r="C210" s="3130">
        <v>0.95340000000000003</v>
      </c>
      <c r="D210" s="3130">
        <v>0.94479999999999997</v>
      </c>
      <c r="E210" s="3130">
        <v>0.94479999999999997</v>
      </c>
      <c r="F210" s="3130">
        <v>0.94479999999999997</v>
      </c>
      <c r="G210" s="3130">
        <v>0.94479999999999997</v>
      </c>
      <c r="H210" s="3130">
        <v>0.94479999999999997</v>
      </c>
      <c r="I210" s="3130">
        <v>0.80149999999999999</v>
      </c>
      <c r="J210" s="3130">
        <v>0.80149999999999999</v>
      </c>
      <c r="K210" s="3130">
        <v>0.80149999999999999</v>
      </c>
      <c r="L210" s="3130">
        <v>0.80149999999999999</v>
      </c>
      <c r="M210" s="3131">
        <v>0.80149999999999999</v>
      </c>
    </row>
    <row r="211" spans="1:13">
      <c r="A211" s="3132">
        <v>3.4</v>
      </c>
      <c r="B211" s="3130">
        <v>0.94920000000000004</v>
      </c>
      <c r="C211" s="3130">
        <v>0.94920000000000004</v>
      </c>
      <c r="D211" s="3130">
        <v>0.93989999999999996</v>
      </c>
      <c r="E211" s="3130">
        <v>0.93989999999999996</v>
      </c>
      <c r="F211" s="3130">
        <v>0.93989999999999996</v>
      </c>
      <c r="G211" s="3130">
        <v>0.93989999999999996</v>
      </c>
      <c r="H211" s="3130">
        <v>0.93989999999999996</v>
      </c>
      <c r="I211" s="3130">
        <v>0.79590000000000005</v>
      </c>
      <c r="J211" s="3130">
        <v>0.79590000000000005</v>
      </c>
      <c r="K211" s="3130">
        <v>0.79590000000000005</v>
      </c>
      <c r="L211" s="3130">
        <v>0.79590000000000005</v>
      </c>
      <c r="M211" s="3131">
        <v>0.79590000000000005</v>
      </c>
    </row>
    <row r="212" spans="1:13">
      <c r="A212" s="3132">
        <v>3.5</v>
      </c>
      <c r="B212" s="3130">
        <v>0.94540000000000002</v>
      </c>
      <c r="C212" s="3130">
        <v>0.94540000000000002</v>
      </c>
      <c r="D212" s="3130">
        <v>0.93520000000000003</v>
      </c>
      <c r="E212" s="3130">
        <v>0.93520000000000003</v>
      </c>
      <c r="F212" s="3130">
        <v>0.93520000000000003</v>
      </c>
      <c r="G212" s="3130">
        <v>0.93520000000000003</v>
      </c>
      <c r="H212" s="3130">
        <v>0.93520000000000003</v>
      </c>
      <c r="I212" s="3130">
        <v>0.79059999999999997</v>
      </c>
      <c r="J212" s="3130">
        <v>0.79059999999999997</v>
      </c>
      <c r="K212" s="3130">
        <v>0.79059999999999997</v>
      </c>
      <c r="L212" s="3130">
        <v>0.79059999999999997</v>
      </c>
      <c r="M212" s="3131">
        <v>0.79059999999999997</v>
      </c>
    </row>
    <row r="213" spans="1:13">
      <c r="A213" s="3132">
        <v>3.6</v>
      </c>
      <c r="B213" s="3130">
        <v>0.94179999999999997</v>
      </c>
      <c r="C213" s="3130">
        <v>0.94179999999999997</v>
      </c>
      <c r="D213" s="3130">
        <v>0.93089999999999995</v>
      </c>
      <c r="E213" s="3130">
        <v>0.93089999999999995</v>
      </c>
      <c r="F213" s="3130">
        <v>0.93089999999999995</v>
      </c>
      <c r="G213" s="3130">
        <v>0.93089999999999995</v>
      </c>
      <c r="H213" s="3130">
        <v>0.93089999999999995</v>
      </c>
      <c r="I213" s="3130">
        <v>0.78569999999999995</v>
      </c>
      <c r="J213" s="3130">
        <v>0.78569999999999995</v>
      </c>
      <c r="K213" s="3130">
        <v>0.78569999999999995</v>
      </c>
      <c r="L213" s="3130">
        <v>0.78569999999999995</v>
      </c>
      <c r="M213" s="3131">
        <v>0.78569999999999995</v>
      </c>
    </row>
    <row r="214" spans="1:13">
      <c r="A214" s="3132">
        <v>3.7</v>
      </c>
      <c r="B214" s="3130">
        <v>0.93840000000000001</v>
      </c>
      <c r="C214" s="3130">
        <v>0.93840000000000001</v>
      </c>
      <c r="D214" s="3130">
        <v>0.92689999999999995</v>
      </c>
      <c r="E214" s="3130">
        <v>0.92689999999999995</v>
      </c>
      <c r="F214" s="3130">
        <v>0.92689999999999995</v>
      </c>
      <c r="G214" s="3130">
        <v>0.92689999999999995</v>
      </c>
      <c r="H214" s="3130">
        <v>0.92689999999999995</v>
      </c>
      <c r="I214" s="3130">
        <v>0.78110000000000002</v>
      </c>
      <c r="J214" s="3130">
        <v>0.78110000000000002</v>
      </c>
      <c r="K214" s="3130">
        <v>0.78110000000000002</v>
      </c>
      <c r="L214" s="3130">
        <v>0.78110000000000002</v>
      </c>
      <c r="M214" s="3131">
        <v>0.78110000000000002</v>
      </c>
    </row>
    <row r="215" spans="1:13">
      <c r="A215" s="3132">
        <v>3.8</v>
      </c>
      <c r="B215" s="3130">
        <v>0.93530000000000002</v>
      </c>
      <c r="C215" s="3130">
        <v>0.93530000000000002</v>
      </c>
      <c r="D215" s="3130">
        <v>0.92310000000000003</v>
      </c>
      <c r="E215" s="3130">
        <v>0.92310000000000003</v>
      </c>
      <c r="F215" s="3130">
        <v>0.92310000000000003</v>
      </c>
      <c r="G215" s="3130">
        <v>0.92310000000000003</v>
      </c>
      <c r="H215" s="3130">
        <v>0.92310000000000003</v>
      </c>
      <c r="I215" s="3130">
        <v>0.77680000000000005</v>
      </c>
      <c r="J215" s="3130">
        <v>0.77680000000000005</v>
      </c>
      <c r="K215" s="3130">
        <v>0.77680000000000005</v>
      </c>
      <c r="L215" s="3130">
        <v>0.77680000000000005</v>
      </c>
      <c r="M215" s="3131">
        <v>0.77680000000000005</v>
      </c>
    </row>
    <row r="216" spans="1:13">
      <c r="A216" s="3132">
        <v>3.9</v>
      </c>
      <c r="B216" s="3130">
        <v>0.93240000000000001</v>
      </c>
      <c r="C216" s="3130">
        <v>0.93240000000000001</v>
      </c>
      <c r="D216" s="3130">
        <v>0.91959999999999997</v>
      </c>
      <c r="E216" s="3130">
        <v>0.91959999999999997</v>
      </c>
      <c r="F216" s="3130">
        <v>0.91959999999999997</v>
      </c>
      <c r="G216" s="3130">
        <v>0.91959999999999997</v>
      </c>
      <c r="H216" s="3130">
        <v>0.91959999999999997</v>
      </c>
      <c r="I216" s="3130">
        <v>0.77270000000000005</v>
      </c>
      <c r="J216" s="3130">
        <v>0.77270000000000005</v>
      </c>
      <c r="K216" s="3130">
        <v>0.77270000000000005</v>
      </c>
      <c r="L216" s="3130">
        <v>0.77270000000000005</v>
      </c>
      <c r="M216" s="3131">
        <v>0.77270000000000005</v>
      </c>
    </row>
    <row r="217" spans="1:13">
      <c r="A217" s="3132">
        <v>4</v>
      </c>
      <c r="B217" s="3130">
        <v>0.92969999999999997</v>
      </c>
      <c r="C217" s="3130">
        <v>0.92969999999999997</v>
      </c>
      <c r="D217" s="3130">
        <v>0.9163</v>
      </c>
      <c r="E217" s="3130">
        <v>0.9163</v>
      </c>
      <c r="F217" s="3130">
        <v>0.9163</v>
      </c>
      <c r="G217" s="3130">
        <v>0.9163</v>
      </c>
      <c r="H217" s="3130">
        <v>0.9163</v>
      </c>
      <c r="I217" s="3130">
        <v>0.76880000000000004</v>
      </c>
      <c r="J217" s="3130">
        <v>0.76880000000000004</v>
      </c>
      <c r="K217" s="3130">
        <v>0.76880000000000004</v>
      </c>
      <c r="L217" s="3130">
        <v>0.76880000000000004</v>
      </c>
      <c r="M217" s="3131">
        <v>0.76880000000000004</v>
      </c>
    </row>
    <row r="218" spans="1:13">
      <c r="A218" s="3132">
        <v>4.0999999999999996</v>
      </c>
      <c r="B218" s="3130">
        <v>0.92720000000000002</v>
      </c>
      <c r="C218" s="3130">
        <v>0.92720000000000002</v>
      </c>
      <c r="D218" s="3130">
        <v>0.91320000000000001</v>
      </c>
      <c r="E218" s="3130">
        <v>0.91320000000000001</v>
      </c>
      <c r="F218" s="3130">
        <v>0.91320000000000001</v>
      </c>
      <c r="G218" s="3130">
        <v>0.91320000000000001</v>
      </c>
      <c r="H218" s="3130">
        <v>0.91320000000000001</v>
      </c>
      <c r="I218" s="3130">
        <v>0.7651</v>
      </c>
      <c r="J218" s="3130">
        <v>0.7651</v>
      </c>
      <c r="K218" s="3130">
        <v>0.7651</v>
      </c>
      <c r="L218" s="3130">
        <v>0.7651</v>
      </c>
      <c r="M218" s="3131">
        <v>0.7651</v>
      </c>
    </row>
    <row r="219" spans="1:13">
      <c r="A219" s="3132">
        <v>4.2</v>
      </c>
      <c r="B219" s="3130">
        <v>0.92479999999999996</v>
      </c>
      <c r="C219" s="3130">
        <v>0.92479999999999996</v>
      </c>
      <c r="D219" s="3130">
        <v>0.91020000000000001</v>
      </c>
      <c r="E219" s="3130">
        <v>0.91020000000000001</v>
      </c>
      <c r="F219" s="3130">
        <v>0.91020000000000001</v>
      </c>
      <c r="G219" s="3130">
        <v>0.91020000000000001</v>
      </c>
      <c r="H219" s="3130">
        <v>0.91020000000000001</v>
      </c>
      <c r="I219" s="3130">
        <v>0.76149999999999995</v>
      </c>
      <c r="J219" s="3130">
        <v>0.76149999999999995</v>
      </c>
      <c r="K219" s="3130">
        <v>0.76149999999999995</v>
      </c>
      <c r="L219" s="3130">
        <v>0.76149999999999995</v>
      </c>
      <c r="M219" s="3131">
        <v>0.76149999999999995</v>
      </c>
    </row>
    <row r="220" spans="1:13">
      <c r="A220" s="3132">
        <v>4.3</v>
      </c>
      <c r="B220" s="3130">
        <v>0.92249999999999999</v>
      </c>
      <c r="C220" s="3130">
        <v>0.92249999999999999</v>
      </c>
      <c r="D220" s="3130">
        <v>0.9073</v>
      </c>
      <c r="E220" s="3130">
        <v>0.9073</v>
      </c>
      <c r="F220" s="3130">
        <v>0.9073</v>
      </c>
      <c r="G220" s="3130">
        <v>0.9073</v>
      </c>
      <c r="H220" s="3130">
        <v>0.9073</v>
      </c>
      <c r="I220" s="3130">
        <v>0.75800000000000001</v>
      </c>
      <c r="J220" s="3130">
        <v>0.75800000000000001</v>
      </c>
      <c r="K220" s="3130">
        <v>0.75800000000000001</v>
      </c>
      <c r="L220" s="3130">
        <v>0.75800000000000001</v>
      </c>
      <c r="M220" s="3131">
        <v>0.75800000000000001</v>
      </c>
    </row>
    <row r="221" spans="1:13">
      <c r="A221" s="3132">
        <v>4.4000000000000004</v>
      </c>
      <c r="B221" s="3130">
        <v>0.92030000000000001</v>
      </c>
      <c r="C221" s="3130">
        <v>0.92030000000000001</v>
      </c>
      <c r="D221" s="3130">
        <v>0.90449999999999997</v>
      </c>
      <c r="E221" s="3130">
        <v>0.90449999999999997</v>
      </c>
      <c r="F221" s="3130">
        <v>0.90449999999999997</v>
      </c>
      <c r="G221" s="3130">
        <v>0.90449999999999997</v>
      </c>
      <c r="H221" s="3130">
        <v>0.90449999999999997</v>
      </c>
      <c r="I221" s="3130">
        <v>0.75460000000000005</v>
      </c>
      <c r="J221" s="3130">
        <v>0.75460000000000005</v>
      </c>
      <c r="K221" s="3130">
        <v>0.75460000000000005</v>
      </c>
      <c r="L221" s="3130">
        <v>0.75460000000000005</v>
      </c>
      <c r="M221" s="3131">
        <v>0.75460000000000005</v>
      </c>
    </row>
    <row r="222" spans="1:13">
      <c r="A222" s="3132">
        <v>4.5</v>
      </c>
      <c r="B222" s="3130">
        <v>0.91810000000000003</v>
      </c>
      <c r="C222" s="3130">
        <v>0.91810000000000003</v>
      </c>
      <c r="D222" s="3130">
        <v>0.90180000000000005</v>
      </c>
      <c r="E222" s="3130">
        <v>0.90180000000000005</v>
      </c>
      <c r="F222" s="3130">
        <v>0.90180000000000005</v>
      </c>
      <c r="G222" s="3130">
        <v>0.90180000000000005</v>
      </c>
      <c r="H222" s="3130">
        <v>0.90180000000000005</v>
      </c>
      <c r="I222" s="3130">
        <v>0.75129999999999997</v>
      </c>
      <c r="J222" s="3130">
        <v>0.75129999999999997</v>
      </c>
      <c r="K222" s="3130">
        <v>0.75129999999999997</v>
      </c>
      <c r="L222" s="3130">
        <v>0.75129999999999997</v>
      </c>
      <c r="M222" s="3131">
        <v>0.75129999999999997</v>
      </c>
    </row>
    <row r="223" spans="1:13">
      <c r="A223" s="3132">
        <v>4.5999999999999996</v>
      </c>
      <c r="B223" s="3130">
        <v>0.91600000000000004</v>
      </c>
      <c r="C223" s="3130">
        <v>0.91600000000000004</v>
      </c>
      <c r="D223" s="3130">
        <v>0.8992</v>
      </c>
      <c r="E223" s="3130">
        <v>0.8992</v>
      </c>
      <c r="F223" s="3130">
        <v>0.8992</v>
      </c>
      <c r="G223" s="3130">
        <v>0.8992</v>
      </c>
      <c r="H223" s="3130">
        <v>0.8992</v>
      </c>
      <c r="I223" s="3130">
        <v>0.748</v>
      </c>
      <c r="J223" s="3130">
        <v>0.748</v>
      </c>
      <c r="K223" s="3130">
        <v>0.748</v>
      </c>
      <c r="L223" s="3130">
        <v>0.748</v>
      </c>
      <c r="M223" s="3131">
        <v>0.748</v>
      </c>
    </row>
    <row r="224" spans="1:13">
      <c r="A224" s="3132">
        <v>4.7</v>
      </c>
      <c r="B224" s="3130">
        <v>0.91390000000000005</v>
      </c>
      <c r="C224" s="3130">
        <v>0.91390000000000005</v>
      </c>
      <c r="D224" s="3130">
        <v>0.89659999999999995</v>
      </c>
      <c r="E224" s="3130">
        <v>0.89659999999999995</v>
      </c>
      <c r="F224" s="3130">
        <v>0.89659999999999995</v>
      </c>
      <c r="G224" s="3130">
        <v>0.89659999999999995</v>
      </c>
      <c r="H224" s="3130">
        <v>0.89659999999999995</v>
      </c>
      <c r="I224" s="3130">
        <v>0.74480000000000002</v>
      </c>
      <c r="J224" s="3130">
        <v>0.74480000000000002</v>
      </c>
      <c r="K224" s="3130">
        <v>0.74480000000000002</v>
      </c>
      <c r="L224" s="3130">
        <v>0.74480000000000002</v>
      </c>
      <c r="M224" s="3131">
        <v>0.74480000000000002</v>
      </c>
    </row>
    <row r="225" spans="1:13">
      <c r="A225" s="3132">
        <v>4.8</v>
      </c>
      <c r="B225" s="3130">
        <v>0.91180000000000005</v>
      </c>
      <c r="C225" s="3130">
        <v>0.91180000000000005</v>
      </c>
      <c r="D225" s="3130">
        <v>0.89410000000000001</v>
      </c>
      <c r="E225" s="3130">
        <v>0.89410000000000001</v>
      </c>
      <c r="F225" s="3130">
        <v>0.89410000000000001</v>
      </c>
      <c r="G225" s="3130">
        <v>0.89410000000000001</v>
      </c>
      <c r="H225" s="3130">
        <v>0.89410000000000001</v>
      </c>
      <c r="I225" s="3130">
        <v>0.74160000000000004</v>
      </c>
      <c r="J225" s="3130">
        <v>0.74160000000000004</v>
      </c>
      <c r="K225" s="3130">
        <v>0.74160000000000004</v>
      </c>
      <c r="L225" s="3130">
        <v>0.74160000000000004</v>
      </c>
      <c r="M225" s="3131">
        <v>0.74160000000000004</v>
      </c>
    </row>
    <row r="226" spans="1:13">
      <c r="A226" s="3132">
        <v>4.9000000000000004</v>
      </c>
      <c r="B226" s="3130">
        <v>0.90980000000000005</v>
      </c>
      <c r="C226" s="3130">
        <v>0.90980000000000005</v>
      </c>
      <c r="D226" s="3130">
        <v>0.89159999999999995</v>
      </c>
      <c r="E226" s="3130">
        <v>0.89159999999999995</v>
      </c>
      <c r="F226" s="3130">
        <v>0.89159999999999995</v>
      </c>
      <c r="G226" s="3130">
        <v>0.89159999999999995</v>
      </c>
      <c r="H226" s="3130">
        <v>0.89159999999999995</v>
      </c>
      <c r="I226" s="3130">
        <v>0.73839999999999995</v>
      </c>
      <c r="J226" s="3130">
        <v>0.73839999999999995</v>
      </c>
      <c r="K226" s="3130">
        <v>0.73839999999999995</v>
      </c>
      <c r="L226" s="3130">
        <v>0.73839999999999995</v>
      </c>
      <c r="M226" s="3131">
        <v>0.73839999999999995</v>
      </c>
    </row>
    <row r="227" spans="1:13">
      <c r="A227" s="3132">
        <v>5</v>
      </c>
      <c r="B227" s="3130">
        <v>0.90780000000000005</v>
      </c>
      <c r="C227" s="3130">
        <v>0.90780000000000005</v>
      </c>
      <c r="D227" s="3130">
        <v>0.8891</v>
      </c>
      <c r="E227" s="3130">
        <v>0.8891</v>
      </c>
      <c r="F227" s="3130">
        <v>0.8891</v>
      </c>
      <c r="G227" s="3130">
        <v>0.8891</v>
      </c>
      <c r="H227" s="3130">
        <v>0.8891</v>
      </c>
      <c r="I227" s="3130">
        <v>0.73529999999999995</v>
      </c>
      <c r="J227" s="3130">
        <v>0.73529999999999995</v>
      </c>
      <c r="K227" s="3130">
        <v>0.73529999999999995</v>
      </c>
      <c r="L227" s="3130">
        <v>0.73529999999999995</v>
      </c>
      <c r="M227" s="3131">
        <v>0.73529999999999995</v>
      </c>
    </row>
    <row r="228" spans="1:13">
      <c r="A228" s="3129">
        <v>5.0999999999999996</v>
      </c>
      <c r="B228" s="3130">
        <v>0.90580000000000005</v>
      </c>
      <c r="C228" s="3130">
        <v>0.90580000000000005</v>
      </c>
      <c r="D228" s="3130">
        <v>0.88670000000000004</v>
      </c>
      <c r="E228" s="3130">
        <v>0.88670000000000004</v>
      </c>
      <c r="F228" s="3130">
        <v>0.88670000000000004</v>
      </c>
      <c r="G228" s="3130">
        <v>0.88670000000000004</v>
      </c>
      <c r="H228" s="3130">
        <v>0.88670000000000004</v>
      </c>
      <c r="I228" s="3130">
        <v>0.73219999999999996</v>
      </c>
      <c r="J228" s="3130">
        <v>0.73219999999999996</v>
      </c>
      <c r="K228" s="3130">
        <v>0.73219999999999996</v>
      </c>
      <c r="L228" s="3130">
        <v>0.73219999999999996</v>
      </c>
      <c r="M228" s="3131">
        <v>0.73219999999999996</v>
      </c>
    </row>
    <row r="229" spans="1:13">
      <c r="A229" s="3129">
        <v>5.2</v>
      </c>
      <c r="B229" s="3130">
        <v>0.90380000000000005</v>
      </c>
      <c r="C229" s="3130">
        <v>0.90380000000000005</v>
      </c>
      <c r="D229" s="3130">
        <v>0.88429999999999997</v>
      </c>
      <c r="E229" s="3130">
        <v>0.88429999999999997</v>
      </c>
      <c r="F229" s="3130">
        <v>0.88429999999999997</v>
      </c>
      <c r="G229" s="3130">
        <v>0.88429999999999997</v>
      </c>
      <c r="H229" s="3130">
        <v>0.88429999999999997</v>
      </c>
      <c r="I229" s="3130">
        <v>0.72909999999999997</v>
      </c>
      <c r="J229" s="3130">
        <v>0.72909999999999997</v>
      </c>
      <c r="K229" s="3130">
        <v>0.72909999999999997</v>
      </c>
      <c r="L229" s="3130">
        <v>0.72909999999999997</v>
      </c>
      <c r="M229" s="3131">
        <v>0.72909999999999997</v>
      </c>
    </row>
    <row r="230" spans="1:13">
      <c r="A230" s="3129">
        <v>5.3</v>
      </c>
      <c r="B230" s="3130">
        <v>0.90190000000000003</v>
      </c>
      <c r="C230" s="3130">
        <v>0.90190000000000003</v>
      </c>
      <c r="D230" s="3130">
        <v>0.88190000000000002</v>
      </c>
      <c r="E230" s="3130">
        <v>0.88190000000000002</v>
      </c>
      <c r="F230" s="3130">
        <v>0.88190000000000002</v>
      </c>
      <c r="G230" s="3130">
        <v>0.88190000000000002</v>
      </c>
      <c r="H230" s="3130">
        <v>0.88190000000000002</v>
      </c>
      <c r="I230" s="3130">
        <v>0.72609999999999997</v>
      </c>
      <c r="J230" s="3130">
        <v>0.72609999999999997</v>
      </c>
      <c r="K230" s="3130">
        <v>0.72609999999999997</v>
      </c>
      <c r="L230" s="3130">
        <v>0.72609999999999997</v>
      </c>
      <c r="M230" s="3131">
        <v>0.72609999999999997</v>
      </c>
    </row>
    <row r="231" spans="1:13">
      <c r="A231" s="3129">
        <v>5.4</v>
      </c>
      <c r="B231" s="3130">
        <v>0.9</v>
      </c>
      <c r="C231" s="3130">
        <v>0.9</v>
      </c>
      <c r="D231" s="3130">
        <v>0.87949999999999995</v>
      </c>
      <c r="E231" s="3130">
        <v>0.87949999999999995</v>
      </c>
      <c r="F231" s="3130">
        <v>0.87949999999999995</v>
      </c>
      <c r="G231" s="3130">
        <v>0.87949999999999995</v>
      </c>
      <c r="H231" s="3130">
        <v>0.87949999999999995</v>
      </c>
      <c r="I231" s="3130">
        <v>0.72309999999999997</v>
      </c>
      <c r="J231" s="3130">
        <v>0.72309999999999997</v>
      </c>
      <c r="K231" s="3130">
        <v>0.72309999999999997</v>
      </c>
      <c r="L231" s="3130">
        <v>0.72309999999999997</v>
      </c>
      <c r="M231" s="3131">
        <v>0.72309999999999997</v>
      </c>
    </row>
    <row r="232" spans="1:13">
      <c r="A232" s="3129">
        <v>5.5</v>
      </c>
      <c r="B232" s="3130">
        <v>0.89810000000000001</v>
      </c>
      <c r="C232" s="3130">
        <v>0.89810000000000001</v>
      </c>
      <c r="D232" s="3130">
        <v>0.87719999999999998</v>
      </c>
      <c r="E232" s="3130">
        <v>0.87719999999999998</v>
      </c>
      <c r="F232" s="3130">
        <v>0.87719999999999998</v>
      </c>
      <c r="G232" s="3130">
        <v>0.87719999999999998</v>
      </c>
      <c r="H232" s="3130">
        <v>0.87719999999999998</v>
      </c>
      <c r="I232" s="3130">
        <v>0.72009999999999996</v>
      </c>
      <c r="J232" s="3130">
        <v>0.72009999999999996</v>
      </c>
      <c r="K232" s="3130">
        <v>0.72009999999999996</v>
      </c>
      <c r="L232" s="3130">
        <v>0.72009999999999996</v>
      </c>
      <c r="M232" s="3131">
        <v>0.72009999999999996</v>
      </c>
    </row>
    <row r="233" spans="1:13">
      <c r="A233" s="3129">
        <v>5.6</v>
      </c>
      <c r="B233" s="3130">
        <v>0.8962</v>
      </c>
      <c r="C233" s="3130">
        <v>0.8962</v>
      </c>
      <c r="D233" s="3130">
        <v>0.87490000000000001</v>
      </c>
      <c r="E233" s="3130">
        <v>0.87490000000000001</v>
      </c>
      <c r="F233" s="3130">
        <v>0.87490000000000001</v>
      </c>
      <c r="G233" s="3130">
        <v>0.87490000000000001</v>
      </c>
      <c r="H233" s="3130">
        <v>0.87490000000000001</v>
      </c>
      <c r="I233" s="3130">
        <v>0.71709999999999996</v>
      </c>
      <c r="J233" s="3130">
        <v>0.71709999999999996</v>
      </c>
      <c r="K233" s="3130">
        <v>0.71709999999999996</v>
      </c>
      <c r="L233" s="3130">
        <v>0.71709999999999996</v>
      </c>
      <c r="M233" s="3131">
        <v>0.71709999999999996</v>
      </c>
    </row>
    <row r="234" spans="1:13">
      <c r="A234" s="3132">
        <v>5.7</v>
      </c>
      <c r="B234" s="3130">
        <v>0.89429999999999998</v>
      </c>
      <c r="C234" s="3130">
        <v>0.89429999999999998</v>
      </c>
      <c r="D234" s="3130">
        <v>0.87260000000000004</v>
      </c>
      <c r="E234" s="3130">
        <v>0.87260000000000004</v>
      </c>
      <c r="F234" s="3130">
        <v>0.87260000000000004</v>
      </c>
      <c r="G234" s="3130">
        <v>0.87260000000000004</v>
      </c>
      <c r="H234" s="3130">
        <v>0.87260000000000004</v>
      </c>
      <c r="I234" s="3130">
        <v>0.71419999999999995</v>
      </c>
      <c r="J234" s="3130">
        <v>0.71419999999999995</v>
      </c>
      <c r="K234" s="3130">
        <v>0.71419999999999995</v>
      </c>
      <c r="L234" s="3130">
        <v>0.71419999999999995</v>
      </c>
      <c r="M234" s="3131">
        <v>0.71419999999999995</v>
      </c>
    </row>
    <row r="235" spans="1:13">
      <c r="A235" s="3129">
        <v>5.8</v>
      </c>
      <c r="B235" s="3130">
        <v>0.89249999999999996</v>
      </c>
      <c r="C235" s="3130">
        <v>0.89249999999999996</v>
      </c>
      <c r="D235" s="3130">
        <v>0.87029999999999996</v>
      </c>
      <c r="E235" s="3130">
        <v>0.87029999999999996</v>
      </c>
      <c r="F235" s="3130">
        <v>0.87029999999999996</v>
      </c>
      <c r="G235" s="3130">
        <v>0.87029999999999996</v>
      </c>
      <c r="H235" s="3130">
        <v>0.87029999999999996</v>
      </c>
      <c r="I235" s="3130">
        <v>0.71130000000000004</v>
      </c>
      <c r="J235" s="3130">
        <v>0.71130000000000004</v>
      </c>
      <c r="K235" s="3130">
        <v>0.71130000000000004</v>
      </c>
      <c r="L235" s="3130">
        <v>0.71130000000000004</v>
      </c>
      <c r="M235" s="3131">
        <v>0.71130000000000004</v>
      </c>
    </row>
    <row r="236" spans="1:13">
      <c r="A236" s="3129">
        <v>5.9</v>
      </c>
      <c r="B236" s="3130">
        <v>0.89070000000000005</v>
      </c>
      <c r="C236" s="3130">
        <v>0.89070000000000005</v>
      </c>
      <c r="D236" s="3130">
        <v>0.86799999999999999</v>
      </c>
      <c r="E236" s="3130">
        <v>0.86799999999999999</v>
      </c>
      <c r="F236" s="3130">
        <v>0.86799999999999999</v>
      </c>
      <c r="G236" s="3130">
        <v>0.86799999999999999</v>
      </c>
      <c r="H236" s="3130">
        <v>0.86799999999999999</v>
      </c>
      <c r="I236" s="3130">
        <v>0.70840000000000003</v>
      </c>
      <c r="J236" s="3130">
        <v>0.70840000000000003</v>
      </c>
      <c r="K236" s="3130">
        <v>0.70840000000000003</v>
      </c>
      <c r="L236" s="3130">
        <v>0.70840000000000003</v>
      </c>
      <c r="M236" s="3131">
        <v>0.70840000000000003</v>
      </c>
    </row>
    <row r="237" spans="1:13">
      <c r="A237" s="3129">
        <v>6</v>
      </c>
      <c r="B237" s="3130">
        <v>0.88890000000000002</v>
      </c>
      <c r="C237" s="3130">
        <v>0.88890000000000002</v>
      </c>
      <c r="D237" s="3130">
        <v>0.86580000000000001</v>
      </c>
      <c r="E237" s="3130">
        <v>0.86580000000000001</v>
      </c>
      <c r="F237" s="3130">
        <v>0.86580000000000001</v>
      </c>
      <c r="G237" s="3130">
        <v>0.86580000000000001</v>
      </c>
      <c r="H237" s="3130">
        <v>0.86580000000000001</v>
      </c>
      <c r="I237" s="3130">
        <v>0.70550000000000002</v>
      </c>
      <c r="J237" s="3130">
        <v>0.70550000000000002</v>
      </c>
      <c r="K237" s="3130">
        <v>0.70550000000000002</v>
      </c>
      <c r="L237" s="3130">
        <v>0.70550000000000002</v>
      </c>
      <c r="M237" s="3131">
        <v>0.70550000000000002</v>
      </c>
    </row>
    <row r="238" spans="1:13">
      <c r="A238" s="3129">
        <v>6.1</v>
      </c>
      <c r="B238" s="3130">
        <v>0.8871</v>
      </c>
      <c r="C238" s="3130">
        <v>0.8871</v>
      </c>
      <c r="D238" s="3130">
        <v>0.86360000000000003</v>
      </c>
      <c r="E238" s="3130">
        <v>0.86360000000000003</v>
      </c>
      <c r="F238" s="3130">
        <v>0.86360000000000003</v>
      </c>
      <c r="G238" s="3130">
        <v>0.86360000000000003</v>
      </c>
      <c r="H238" s="3130">
        <v>0.86360000000000003</v>
      </c>
      <c r="I238" s="3130">
        <v>0.70269999999999999</v>
      </c>
      <c r="J238" s="3130">
        <v>0.70269999999999999</v>
      </c>
      <c r="K238" s="3130">
        <v>0.70269999999999999</v>
      </c>
      <c r="L238" s="3130">
        <v>0.70269999999999999</v>
      </c>
      <c r="M238" s="3131">
        <v>0.70269999999999999</v>
      </c>
    </row>
    <row r="239" spans="1:13">
      <c r="A239" s="3129">
        <v>6.2</v>
      </c>
      <c r="B239" s="3130">
        <v>0.88529999999999998</v>
      </c>
      <c r="C239" s="3130">
        <v>0.88529999999999998</v>
      </c>
      <c r="D239" s="3130">
        <v>0.86140000000000005</v>
      </c>
      <c r="E239" s="3130">
        <v>0.86140000000000005</v>
      </c>
      <c r="F239" s="3130">
        <v>0.86140000000000005</v>
      </c>
      <c r="G239" s="3130">
        <v>0.86140000000000005</v>
      </c>
      <c r="H239" s="3130">
        <v>0.86140000000000005</v>
      </c>
      <c r="I239" s="3130">
        <v>0.69989999999999997</v>
      </c>
      <c r="J239" s="3130">
        <v>0.69989999999999997</v>
      </c>
      <c r="K239" s="3130">
        <v>0.69989999999999997</v>
      </c>
      <c r="L239" s="3130">
        <v>0.69989999999999997</v>
      </c>
      <c r="M239" s="3131">
        <v>0.69989999999999997</v>
      </c>
    </row>
    <row r="240" spans="1:13">
      <c r="A240" s="3129">
        <v>6.3</v>
      </c>
      <c r="B240" s="3130">
        <v>0.88349999999999995</v>
      </c>
      <c r="C240" s="3130">
        <v>0.88349999999999995</v>
      </c>
      <c r="D240" s="3130">
        <v>0.85919999999999996</v>
      </c>
      <c r="E240" s="3130">
        <v>0.85919999999999996</v>
      </c>
      <c r="F240" s="3130">
        <v>0.85919999999999996</v>
      </c>
      <c r="G240" s="3130">
        <v>0.85919999999999996</v>
      </c>
      <c r="H240" s="3130">
        <v>0.85919999999999996</v>
      </c>
      <c r="I240" s="3130">
        <v>0.69710000000000005</v>
      </c>
      <c r="J240" s="3130">
        <v>0.69710000000000005</v>
      </c>
      <c r="K240" s="3130">
        <v>0.69710000000000005</v>
      </c>
      <c r="L240" s="3130">
        <v>0.69710000000000005</v>
      </c>
      <c r="M240" s="3131">
        <v>0.69710000000000005</v>
      </c>
    </row>
    <row r="241" spans="1:13">
      <c r="A241" s="3129">
        <v>6.4</v>
      </c>
      <c r="B241" s="3130">
        <v>0.88180000000000003</v>
      </c>
      <c r="C241" s="3130">
        <v>0.88180000000000003</v>
      </c>
      <c r="D241" s="3130">
        <v>0.85699999999999998</v>
      </c>
      <c r="E241" s="3130">
        <v>0.85699999999999998</v>
      </c>
      <c r="F241" s="3130">
        <v>0.85699999999999998</v>
      </c>
      <c r="G241" s="3130">
        <v>0.85699999999999998</v>
      </c>
      <c r="H241" s="3130">
        <v>0.85699999999999998</v>
      </c>
      <c r="I241" s="3130">
        <v>0.69430000000000003</v>
      </c>
      <c r="J241" s="3130">
        <v>0.69430000000000003</v>
      </c>
      <c r="K241" s="3130">
        <v>0.69430000000000003</v>
      </c>
      <c r="L241" s="3130">
        <v>0.69430000000000003</v>
      </c>
      <c r="M241" s="3131">
        <v>0.69430000000000003</v>
      </c>
    </row>
    <row r="242" spans="1:13">
      <c r="A242" s="3129">
        <v>6.5</v>
      </c>
      <c r="B242" s="3130">
        <v>0.88009999999999999</v>
      </c>
      <c r="C242" s="3130">
        <v>0.88009999999999999</v>
      </c>
      <c r="D242" s="3130">
        <v>0.85489999999999999</v>
      </c>
      <c r="E242" s="3130">
        <v>0.85489999999999999</v>
      </c>
      <c r="F242" s="3130">
        <v>0.85489999999999999</v>
      </c>
      <c r="G242" s="3130">
        <v>0.85489999999999999</v>
      </c>
      <c r="H242" s="3130">
        <v>0.85489999999999999</v>
      </c>
      <c r="I242" s="3130">
        <v>0.69159999999999999</v>
      </c>
      <c r="J242" s="3130">
        <v>0.69159999999999999</v>
      </c>
      <c r="K242" s="3130">
        <v>0.69159999999999999</v>
      </c>
      <c r="L242" s="3130">
        <v>0.69159999999999999</v>
      </c>
      <c r="M242" s="3131">
        <v>0.69159999999999999</v>
      </c>
    </row>
    <row r="243" spans="1:13">
      <c r="A243" s="3129">
        <v>6.6</v>
      </c>
      <c r="B243" s="3130">
        <v>0.87839999999999996</v>
      </c>
      <c r="C243" s="3130">
        <v>0.87839999999999996</v>
      </c>
      <c r="D243" s="3130">
        <v>0.8528</v>
      </c>
      <c r="E243" s="3130">
        <v>0.8528</v>
      </c>
      <c r="F243" s="3130">
        <v>0.8528</v>
      </c>
      <c r="G243" s="3130">
        <v>0.8528</v>
      </c>
      <c r="H243" s="3130">
        <v>0.8528</v>
      </c>
      <c r="I243" s="3130">
        <v>0.68889999999999996</v>
      </c>
      <c r="J243" s="3130">
        <v>0.68889999999999996</v>
      </c>
      <c r="K243" s="3130">
        <v>0.68889999999999996</v>
      </c>
      <c r="L243" s="3130">
        <v>0.68889999999999996</v>
      </c>
      <c r="M243" s="3131">
        <v>0.68889999999999996</v>
      </c>
    </row>
    <row r="244" spans="1:13">
      <c r="A244" s="3129">
        <v>6.7</v>
      </c>
      <c r="B244" s="3130">
        <v>0.87670000000000003</v>
      </c>
      <c r="C244" s="3130">
        <v>0.87670000000000003</v>
      </c>
      <c r="D244" s="3130">
        <v>0.85070000000000001</v>
      </c>
      <c r="E244" s="3130">
        <v>0.85070000000000001</v>
      </c>
      <c r="F244" s="3130">
        <v>0.85070000000000001</v>
      </c>
      <c r="G244" s="3130">
        <v>0.85070000000000001</v>
      </c>
      <c r="H244" s="3130">
        <v>0.85070000000000001</v>
      </c>
      <c r="I244" s="3130">
        <v>0.68620000000000003</v>
      </c>
      <c r="J244" s="3130">
        <v>0.68620000000000003</v>
      </c>
      <c r="K244" s="3130">
        <v>0.68620000000000003</v>
      </c>
      <c r="L244" s="3130">
        <v>0.68620000000000003</v>
      </c>
      <c r="M244" s="3131">
        <v>0.68620000000000003</v>
      </c>
    </row>
    <row r="245" spans="1:13">
      <c r="A245" s="3129">
        <v>6.8</v>
      </c>
      <c r="B245" s="3130">
        <v>0.875</v>
      </c>
      <c r="C245" s="3130">
        <v>0.875</v>
      </c>
      <c r="D245" s="3130">
        <v>0.84860000000000002</v>
      </c>
      <c r="E245" s="3130">
        <v>0.84860000000000002</v>
      </c>
      <c r="F245" s="3130">
        <v>0.84860000000000002</v>
      </c>
      <c r="G245" s="3130">
        <v>0.84860000000000002</v>
      </c>
      <c r="H245" s="3130">
        <v>0.84860000000000002</v>
      </c>
      <c r="I245" s="3130">
        <v>0.6835</v>
      </c>
      <c r="J245" s="3130">
        <v>0.6835</v>
      </c>
      <c r="K245" s="3130">
        <v>0.6835</v>
      </c>
      <c r="L245" s="3130">
        <v>0.6835</v>
      </c>
      <c r="M245" s="3131">
        <v>0.6835</v>
      </c>
    </row>
    <row r="246" spans="1:13">
      <c r="A246" s="3129">
        <v>6.9</v>
      </c>
      <c r="B246" s="3130">
        <v>0.87329999999999997</v>
      </c>
      <c r="C246" s="3130">
        <v>0.87329999999999997</v>
      </c>
      <c r="D246" s="3130">
        <v>0.84650000000000003</v>
      </c>
      <c r="E246" s="3130">
        <v>0.84650000000000003</v>
      </c>
      <c r="F246" s="3130">
        <v>0.84650000000000003</v>
      </c>
      <c r="G246" s="3130">
        <v>0.84650000000000003</v>
      </c>
      <c r="H246" s="3130">
        <v>0.84650000000000003</v>
      </c>
      <c r="I246" s="3130">
        <v>0.68089999999999995</v>
      </c>
      <c r="J246" s="3130">
        <v>0.68089999999999995</v>
      </c>
      <c r="K246" s="3130">
        <v>0.68089999999999995</v>
      </c>
      <c r="L246" s="3130">
        <v>0.68089999999999995</v>
      </c>
      <c r="M246" s="3131">
        <v>0.68089999999999995</v>
      </c>
    </row>
    <row r="247" spans="1:13">
      <c r="A247" s="3129">
        <v>7</v>
      </c>
      <c r="B247" s="3130">
        <v>0.87170000000000003</v>
      </c>
      <c r="C247" s="3130">
        <v>0.87170000000000003</v>
      </c>
      <c r="D247" s="3130">
        <v>0.84450000000000003</v>
      </c>
      <c r="E247" s="3130">
        <v>0.84450000000000003</v>
      </c>
      <c r="F247" s="3130">
        <v>0.84450000000000003</v>
      </c>
      <c r="G247" s="3130">
        <v>0.84450000000000003</v>
      </c>
      <c r="H247" s="3130">
        <v>0.84450000000000003</v>
      </c>
      <c r="I247" s="3130">
        <v>0.67830000000000001</v>
      </c>
      <c r="J247" s="3130">
        <v>0.67830000000000001</v>
      </c>
      <c r="K247" s="3130">
        <v>0.67830000000000001</v>
      </c>
      <c r="L247" s="3130">
        <v>0.67830000000000001</v>
      </c>
      <c r="M247" s="3131">
        <v>0.67830000000000001</v>
      </c>
    </row>
    <row r="248" spans="1:13">
      <c r="A248" s="3129">
        <v>7.1</v>
      </c>
      <c r="B248" s="3130">
        <v>0.87009999999999998</v>
      </c>
      <c r="C248" s="3130">
        <v>0.87009999999999998</v>
      </c>
      <c r="D248" s="3130">
        <v>0.84250000000000003</v>
      </c>
      <c r="E248" s="3130">
        <v>0.84250000000000003</v>
      </c>
      <c r="F248" s="3130">
        <v>0.84250000000000003</v>
      </c>
      <c r="G248" s="3130">
        <v>0.84250000000000003</v>
      </c>
      <c r="H248" s="3130">
        <v>0.84250000000000003</v>
      </c>
      <c r="I248" s="3130">
        <v>0.67569999999999997</v>
      </c>
      <c r="J248" s="3130">
        <v>0.67569999999999997</v>
      </c>
      <c r="K248" s="3130">
        <v>0.67569999999999997</v>
      </c>
      <c r="L248" s="3130">
        <v>0.67569999999999997</v>
      </c>
      <c r="M248" s="3131">
        <v>0.67569999999999997</v>
      </c>
    </row>
    <row r="249" spans="1:13">
      <c r="A249" s="3129">
        <v>7.2</v>
      </c>
      <c r="B249" s="3130">
        <v>0.86850000000000005</v>
      </c>
      <c r="C249" s="3130">
        <v>0.86850000000000005</v>
      </c>
      <c r="D249" s="3130">
        <v>0.84050000000000002</v>
      </c>
      <c r="E249" s="3130">
        <v>0.84050000000000002</v>
      </c>
      <c r="F249" s="3130">
        <v>0.84050000000000002</v>
      </c>
      <c r="G249" s="3130">
        <v>0.84050000000000002</v>
      </c>
      <c r="H249" s="3130">
        <v>0.84050000000000002</v>
      </c>
      <c r="I249" s="3130">
        <v>0.67310000000000003</v>
      </c>
      <c r="J249" s="3130">
        <v>0.67310000000000003</v>
      </c>
      <c r="K249" s="3130">
        <v>0.67310000000000003</v>
      </c>
      <c r="L249" s="3130">
        <v>0.67310000000000003</v>
      </c>
      <c r="M249" s="3131">
        <v>0.67310000000000003</v>
      </c>
    </row>
    <row r="250" spans="1:13">
      <c r="A250" s="3129">
        <v>7.3</v>
      </c>
      <c r="B250" s="3130">
        <v>0.8669</v>
      </c>
      <c r="C250" s="3130">
        <v>0.8669</v>
      </c>
      <c r="D250" s="3130">
        <v>0.83850000000000002</v>
      </c>
      <c r="E250" s="3130">
        <v>0.83850000000000002</v>
      </c>
      <c r="F250" s="3130">
        <v>0.83850000000000002</v>
      </c>
      <c r="G250" s="3130">
        <v>0.83850000000000002</v>
      </c>
      <c r="H250" s="3130">
        <v>0.83850000000000002</v>
      </c>
      <c r="I250" s="3130">
        <v>0.67059999999999997</v>
      </c>
      <c r="J250" s="3130">
        <v>0.67059999999999997</v>
      </c>
      <c r="K250" s="3130">
        <v>0.67059999999999997</v>
      </c>
      <c r="L250" s="3130">
        <v>0.67059999999999997</v>
      </c>
      <c r="M250" s="3131">
        <v>0.67059999999999997</v>
      </c>
    </row>
    <row r="251" spans="1:13">
      <c r="A251" s="3129">
        <v>7.4</v>
      </c>
      <c r="B251" s="3130">
        <v>0.86529999999999996</v>
      </c>
      <c r="C251" s="3130">
        <v>0.86529999999999996</v>
      </c>
      <c r="D251" s="3130">
        <v>0.83650000000000002</v>
      </c>
      <c r="E251" s="3130">
        <v>0.83650000000000002</v>
      </c>
      <c r="F251" s="3130">
        <v>0.83650000000000002</v>
      </c>
      <c r="G251" s="3130">
        <v>0.83650000000000002</v>
      </c>
      <c r="H251" s="3130">
        <v>0.83650000000000002</v>
      </c>
      <c r="I251" s="3130">
        <v>0.66810000000000003</v>
      </c>
      <c r="J251" s="3130">
        <v>0.66810000000000003</v>
      </c>
      <c r="K251" s="3130">
        <v>0.66810000000000003</v>
      </c>
      <c r="L251" s="3130">
        <v>0.66810000000000003</v>
      </c>
      <c r="M251" s="3131">
        <v>0.66810000000000003</v>
      </c>
    </row>
    <row r="252" spans="1:13">
      <c r="A252" s="3129">
        <v>7.5</v>
      </c>
      <c r="B252" s="3130">
        <v>0.86370000000000002</v>
      </c>
      <c r="C252" s="3130">
        <v>0.86370000000000002</v>
      </c>
      <c r="D252" s="3130">
        <v>0.83460000000000001</v>
      </c>
      <c r="E252" s="3130">
        <v>0.83460000000000001</v>
      </c>
      <c r="F252" s="3130">
        <v>0.83460000000000001</v>
      </c>
      <c r="G252" s="3130">
        <v>0.83460000000000001</v>
      </c>
      <c r="H252" s="3130">
        <v>0.83460000000000001</v>
      </c>
      <c r="I252" s="3130">
        <v>0.66559999999999997</v>
      </c>
      <c r="J252" s="3130">
        <v>0.66559999999999997</v>
      </c>
      <c r="K252" s="3130">
        <v>0.66559999999999997</v>
      </c>
      <c r="L252" s="3130">
        <v>0.66559999999999997</v>
      </c>
      <c r="M252" s="3131">
        <v>0.66559999999999997</v>
      </c>
    </row>
    <row r="253" spans="1:13">
      <c r="A253" s="3129">
        <v>7.6</v>
      </c>
      <c r="B253" s="3130">
        <v>0.86219999999999997</v>
      </c>
      <c r="C253" s="3130">
        <v>0.86219999999999997</v>
      </c>
      <c r="D253" s="3130">
        <v>0.8327</v>
      </c>
      <c r="E253" s="3130">
        <v>0.8327</v>
      </c>
      <c r="F253" s="3130">
        <v>0.8327</v>
      </c>
      <c r="G253" s="3130">
        <v>0.8327</v>
      </c>
      <c r="H253" s="3130">
        <v>0.8327</v>
      </c>
      <c r="I253" s="3130">
        <v>0.66310000000000002</v>
      </c>
      <c r="J253" s="3130">
        <v>0.66310000000000002</v>
      </c>
      <c r="K253" s="3130">
        <v>0.66310000000000002</v>
      </c>
      <c r="L253" s="3130">
        <v>0.66310000000000002</v>
      </c>
      <c r="M253" s="3131">
        <v>0.66310000000000002</v>
      </c>
    </row>
    <row r="254" spans="1:13">
      <c r="A254" s="3129">
        <v>7.7</v>
      </c>
      <c r="B254" s="3130">
        <v>0.86070000000000002</v>
      </c>
      <c r="C254" s="3130">
        <v>0.86070000000000002</v>
      </c>
      <c r="D254" s="3130">
        <v>0.83079999999999998</v>
      </c>
      <c r="E254" s="3130">
        <v>0.83079999999999998</v>
      </c>
      <c r="F254" s="3130">
        <v>0.83079999999999998</v>
      </c>
      <c r="G254" s="3130">
        <v>0.83079999999999998</v>
      </c>
      <c r="H254" s="3130">
        <v>0.83079999999999998</v>
      </c>
      <c r="I254" s="3130">
        <v>0.66069999999999995</v>
      </c>
      <c r="J254" s="3130">
        <v>0.66069999999999995</v>
      </c>
      <c r="K254" s="3130">
        <v>0.66069999999999995</v>
      </c>
      <c r="L254" s="3130">
        <v>0.66069999999999995</v>
      </c>
      <c r="M254" s="3131">
        <v>0.66069999999999995</v>
      </c>
    </row>
    <row r="255" spans="1:13">
      <c r="A255" s="3129">
        <v>7.8</v>
      </c>
      <c r="B255" s="3130">
        <v>0.85919999999999996</v>
      </c>
      <c r="C255" s="3130">
        <v>0.85919999999999996</v>
      </c>
      <c r="D255" s="3130">
        <v>0.82889999999999997</v>
      </c>
      <c r="E255" s="3130">
        <v>0.82889999999999997</v>
      </c>
      <c r="F255" s="3130">
        <v>0.82889999999999997</v>
      </c>
      <c r="G255" s="3130">
        <v>0.82889999999999997</v>
      </c>
      <c r="H255" s="3130">
        <v>0.82889999999999997</v>
      </c>
      <c r="I255" s="3130">
        <v>0.6583</v>
      </c>
      <c r="J255" s="3130">
        <v>0.6583</v>
      </c>
      <c r="K255" s="3130">
        <v>0.6583</v>
      </c>
      <c r="L255" s="3130">
        <v>0.6583</v>
      </c>
      <c r="M255" s="3131">
        <v>0.6583</v>
      </c>
    </row>
    <row r="256" spans="1:13">
      <c r="A256" s="3129">
        <v>7.9</v>
      </c>
      <c r="B256" s="3130">
        <v>0.85770000000000002</v>
      </c>
      <c r="C256" s="3130">
        <v>0.85770000000000002</v>
      </c>
      <c r="D256" s="3130">
        <v>0.82699999999999996</v>
      </c>
      <c r="E256" s="3130">
        <v>0.82699999999999996</v>
      </c>
      <c r="F256" s="3130">
        <v>0.82699999999999996</v>
      </c>
      <c r="G256" s="3130">
        <v>0.82699999999999996</v>
      </c>
      <c r="H256" s="3130">
        <v>0.82699999999999996</v>
      </c>
      <c r="I256" s="3130">
        <v>0.65590000000000004</v>
      </c>
      <c r="J256" s="3130">
        <v>0.65590000000000004</v>
      </c>
      <c r="K256" s="3130">
        <v>0.65590000000000004</v>
      </c>
      <c r="L256" s="3130">
        <v>0.65590000000000004</v>
      </c>
      <c r="M256" s="3131">
        <v>0.65590000000000004</v>
      </c>
    </row>
    <row r="257" spans="1:13">
      <c r="A257" s="3129">
        <v>8</v>
      </c>
      <c r="B257" s="3130">
        <v>0.85619999999999996</v>
      </c>
      <c r="C257" s="3130">
        <v>0.85619999999999996</v>
      </c>
      <c r="D257" s="3130">
        <v>0.82509999999999994</v>
      </c>
      <c r="E257" s="3130">
        <v>0.82509999999999994</v>
      </c>
      <c r="F257" s="3130">
        <v>0.82509999999999994</v>
      </c>
      <c r="G257" s="3130">
        <v>0.82509999999999994</v>
      </c>
      <c r="H257" s="3130">
        <v>0.82509999999999994</v>
      </c>
      <c r="I257" s="3130">
        <v>0.65349999999999997</v>
      </c>
      <c r="J257" s="3130">
        <v>0.65349999999999997</v>
      </c>
      <c r="K257" s="3130">
        <v>0.65349999999999997</v>
      </c>
      <c r="L257" s="3130">
        <v>0.65349999999999997</v>
      </c>
      <c r="M257" s="3131">
        <v>0.65349999999999997</v>
      </c>
    </row>
    <row r="258" spans="1:13">
      <c r="A258" s="3129">
        <v>8.1</v>
      </c>
      <c r="B258" s="3130">
        <v>0.85470000000000002</v>
      </c>
      <c r="C258" s="3130">
        <v>0.85470000000000002</v>
      </c>
      <c r="D258" s="3130">
        <v>0.82330000000000003</v>
      </c>
      <c r="E258" s="3130">
        <v>0.82330000000000003</v>
      </c>
      <c r="F258" s="3130">
        <v>0.82330000000000003</v>
      </c>
      <c r="G258" s="3130">
        <v>0.82330000000000003</v>
      </c>
      <c r="H258" s="3130">
        <v>0.82330000000000003</v>
      </c>
      <c r="I258" s="3130">
        <v>0.6512</v>
      </c>
      <c r="J258" s="3130">
        <v>0.6512</v>
      </c>
      <c r="K258" s="3130">
        <v>0.6512</v>
      </c>
      <c r="L258" s="3130">
        <v>0.6512</v>
      </c>
      <c r="M258" s="3131">
        <v>0.6512</v>
      </c>
    </row>
    <row r="259" spans="1:13">
      <c r="A259" s="3129">
        <v>8.1999999999999993</v>
      </c>
      <c r="B259" s="3130">
        <v>0.85329999999999995</v>
      </c>
      <c r="C259" s="3130">
        <v>0.85329999999999995</v>
      </c>
      <c r="D259" s="3130">
        <v>0.82150000000000001</v>
      </c>
      <c r="E259" s="3130">
        <v>0.82150000000000001</v>
      </c>
      <c r="F259" s="3130">
        <v>0.82150000000000001</v>
      </c>
      <c r="G259" s="3130">
        <v>0.82150000000000001</v>
      </c>
      <c r="H259" s="3130">
        <v>0.82150000000000001</v>
      </c>
      <c r="I259" s="3130">
        <v>0.64890000000000003</v>
      </c>
      <c r="J259" s="3130">
        <v>0.64890000000000003</v>
      </c>
      <c r="K259" s="3130">
        <v>0.64890000000000003</v>
      </c>
      <c r="L259" s="3130">
        <v>0.64890000000000003</v>
      </c>
      <c r="M259" s="3131">
        <v>0.64890000000000003</v>
      </c>
    </row>
    <row r="260" spans="1:13">
      <c r="A260" s="3129">
        <v>8.3000000000000007</v>
      </c>
      <c r="B260" s="3130">
        <v>0.85189999999999999</v>
      </c>
      <c r="C260" s="3130">
        <v>0.85189999999999999</v>
      </c>
      <c r="D260" s="3130">
        <v>0.81969999999999998</v>
      </c>
      <c r="E260" s="3130">
        <v>0.81969999999999998</v>
      </c>
      <c r="F260" s="3130">
        <v>0.81969999999999998</v>
      </c>
      <c r="G260" s="3130">
        <v>0.81969999999999998</v>
      </c>
      <c r="H260" s="3130">
        <v>0.81969999999999998</v>
      </c>
      <c r="I260" s="3130">
        <v>0.64659999999999995</v>
      </c>
      <c r="J260" s="3130">
        <v>0.64659999999999995</v>
      </c>
      <c r="K260" s="3130">
        <v>0.64659999999999995</v>
      </c>
      <c r="L260" s="3130">
        <v>0.64659999999999995</v>
      </c>
      <c r="M260" s="3131">
        <v>0.64659999999999995</v>
      </c>
    </row>
    <row r="261" spans="1:13">
      <c r="A261" s="3129">
        <v>8.4</v>
      </c>
      <c r="B261" s="3130">
        <v>0.85050000000000003</v>
      </c>
      <c r="C261" s="3130">
        <v>0.85050000000000003</v>
      </c>
      <c r="D261" s="3130">
        <v>0.81789999999999996</v>
      </c>
      <c r="E261" s="3130">
        <v>0.81789999999999996</v>
      </c>
      <c r="F261" s="3130">
        <v>0.81789999999999996</v>
      </c>
      <c r="G261" s="3130">
        <v>0.81789999999999996</v>
      </c>
      <c r="H261" s="3130">
        <v>0.81789999999999996</v>
      </c>
      <c r="I261" s="3130">
        <v>0.64429999999999998</v>
      </c>
      <c r="J261" s="3130">
        <v>0.64429999999999998</v>
      </c>
      <c r="K261" s="3130">
        <v>0.64429999999999998</v>
      </c>
      <c r="L261" s="3130">
        <v>0.64429999999999998</v>
      </c>
      <c r="M261" s="3131">
        <v>0.64429999999999998</v>
      </c>
    </row>
    <row r="262" spans="1:13">
      <c r="A262" s="3129">
        <v>8.5</v>
      </c>
      <c r="B262" s="3130">
        <v>0.84909999999999997</v>
      </c>
      <c r="C262" s="3130">
        <v>0.84909999999999997</v>
      </c>
      <c r="D262" s="3130">
        <v>0.81610000000000005</v>
      </c>
      <c r="E262" s="3130">
        <v>0.81610000000000005</v>
      </c>
      <c r="F262" s="3130">
        <v>0.81610000000000005</v>
      </c>
      <c r="G262" s="3130">
        <v>0.81610000000000005</v>
      </c>
      <c r="H262" s="3130">
        <v>0.81610000000000005</v>
      </c>
      <c r="I262" s="3130">
        <v>0.6421</v>
      </c>
      <c r="J262" s="3130">
        <v>0.6421</v>
      </c>
      <c r="K262" s="3130">
        <v>0.6421</v>
      </c>
      <c r="L262" s="3130">
        <v>0.6421</v>
      </c>
      <c r="M262" s="3131">
        <v>0.6421</v>
      </c>
    </row>
    <row r="263" spans="1:13">
      <c r="A263" s="3129">
        <v>8.6</v>
      </c>
      <c r="B263" s="3130">
        <v>0.84770000000000001</v>
      </c>
      <c r="C263" s="3130">
        <v>0.84770000000000001</v>
      </c>
      <c r="D263" s="3130">
        <v>0.81440000000000001</v>
      </c>
      <c r="E263" s="3130">
        <v>0.81440000000000001</v>
      </c>
      <c r="F263" s="3130">
        <v>0.81440000000000001</v>
      </c>
      <c r="G263" s="3130">
        <v>0.81440000000000001</v>
      </c>
      <c r="H263" s="3130">
        <v>0.81440000000000001</v>
      </c>
      <c r="I263" s="3130">
        <v>0.63990000000000002</v>
      </c>
      <c r="J263" s="3130">
        <v>0.63990000000000002</v>
      </c>
      <c r="K263" s="3130">
        <v>0.63990000000000002</v>
      </c>
      <c r="L263" s="3130">
        <v>0.63990000000000002</v>
      </c>
      <c r="M263" s="3131">
        <v>0.63990000000000002</v>
      </c>
    </row>
    <row r="264" spans="1:13">
      <c r="A264" s="3129">
        <v>8.6999999999999993</v>
      </c>
      <c r="B264" s="3130">
        <v>0.84630000000000005</v>
      </c>
      <c r="C264" s="3130">
        <v>0.84630000000000005</v>
      </c>
      <c r="D264" s="3130">
        <v>0.81269999999999998</v>
      </c>
      <c r="E264" s="3130">
        <v>0.81269999999999998</v>
      </c>
      <c r="F264" s="3130">
        <v>0.81269999999999998</v>
      </c>
      <c r="G264" s="3130">
        <v>0.81269999999999998</v>
      </c>
      <c r="H264" s="3130">
        <v>0.81269999999999998</v>
      </c>
      <c r="I264" s="3130">
        <v>0.63770000000000004</v>
      </c>
      <c r="J264" s="3130">
        <v>0.63770000000000004</v>
      </c>
      <c r="K264" s="3130">
        <v>0.63770000000000004</v>
      </c>
      <c r="L264" s="3130">
        <v>0.63770000000000004</v>
      </c>
      <c r="M264" s="3131">
        <v>0.63770000000000004</v>
      </c>
    </row>
    <row r="265" spans="1:13">
      <c r="A265" s="3129">
        <v>8.8000000000000007</v>
      </c>
      <c r="B265" s="3130">
        <v>0.84489999999999998</v>
      </c>
      <c r="C265" s="3130">
        <v>0.84489999999999998</v>
      </c>
      <c r="D265" s="3130">
        <v>0.81100000000000005</v>
      </c>
      <c r="E265" s="3130">
        <v>0.81100000000000005</v>
      </c>
      <c r="F265" s="3130">
        <v>0.81100000000000005</v>
      </c>
      <c r="G265" s="3130">
        <v>0.81100000000000005</v>
      </c>
      <c r="H265" s="3130">
        <v>0.81100000000000005</v>
      </c>
      <c r="I265" s="3130">
        <v>0.63549999999999995</v>
      </c>
      <c r="J265" s="3130">
        <v>0.63549999999999995</v>
      </c>
      <c r="K265" s="3130">
        <v>0.63549999999999995</v>
      </c>
      <c r="L265" s="3130">
        <v>0.63549999999999995</v>
      </c>
      <c r="M265" s="3131">
        <v>0.63549999999999995</v>
      </c>
    </row>
    <row r="266" spans="1:13">
      <c r="A266" s="3129">
        <v>8.9</v>
      </c>
      <c r="B266" s="3130">
        <v>0.84360000000000002</v>
      </c>
      <c r="C266" s="3130">
        <v>0.84360000000000002</v>
      </c>
      <c r="D266" s="3130">
        <v>0.80930000000000002</v>
      </c>
      <c r="E266" s="3130">
        <v>0.80930000000000002</v>
      </c>
      <c r="F266" s="3130">
        <v>0.80930000000000002</v>
      </c>
      <c r="G266" s="3130">
        <v>0.80930000000000002</v>
      </c>
      <c r="H266" s="3130">
        <v>0.80930000000000002</v>
      </c>
      <c r="I266" s="3130">
        <v>0.63339999999999996</v>
      </c>
      <c r="J266" s="3130">
        <v>0.63339999999999996</v>
      </c>
      <c r="K266" s="3130">
        <v>0.63339999999999996</v>
      </c>
      <c r="L266" s="3130">
        <v>0.63339999999999996</v>
      </c>
      <c r="M266" s="3131">
        <v>0.63339999999999996</v>
      </c>
    </row>
    <row r="267" spans="1:13">
      <c r="A267" s="3132">
        <v>9</v>
      </c>
      <c r="B267" s="3130">
        <v>0.84230000000000005</v>
      </c>
      <c r="C267" s="3130">
        <v>0.84230000000000005</v>
      </c>
      <c r="D267" s="3130">
        <v>0.80759999999999998</v>
      </c>
      <c r="E267" s="3130">
        <v>0.80759999999999998</v>
      </c>
      <c r="F267" s="3130">
        <v>0.80759999999999998</v>
      </c>
      <c r="G267" s="3130">
        <v>0.80759999999999998</v>
      </c>
      <c r="H267" s="3130">
        <v>0.80759999999999998</v>
      </c>
      <c r="I267" s="3130">
        <v>0.63129999999999997</v>
      </c>
      <c r="J267" s="3130">
        <v>0.63129999999999997</v>
      </c>
      <c r="K267" s="3130">
        <v>0.63129999999999997</v>
      </c>
      <c r="L267" s="3130">
        <v>0.63129999999999997</v>
      </c>
      <c r="M267" s="3131">
        <v>0.63129999999999997</v>
      </c>
    </row>
    <row r="268" spans="1:13">
      <c r="A268" s="3132">
        <v>9.1</v>
      </c>
      <c r="B268" s="3130">
        <v>0.84099999999999997</v>
      </c>
      <c r="C268" s="3130">
        <v>0.84099999999999997</v>
      </c>
      <c r="D268" s="3130">
        <v>0.80600000000000005</v>
      </c>
      <c r="E268" s="3130">
        <v>0.80600000000000005</v>
      </c>
      <c r="F268" s="3130">
        <v>0.80600000000000005</v>
      </c>
      <c r="G268" s="3130">
        <v>0.80600000000000005</v>
      </c>
      <c r="H268" s="3130">
        <v>0.80600000000000005</v>
      </c>
      <c r="I268" s="3130">
        <v>0.62919999999999998</v>
      </c>
      <c r="J268" s="3130">
        <v>0.62919999999999998</v>
      </c>
      <c r="K268" s="3130">
        <v>0.62919999999999998</v>
      </c>
      <c r="L268" s="3130">
        <v>0.62919999999999998</v>
      </c>
      <c r="M268" s="3131">
        <v>0.62919999999999998</v>
      </c>
    </row>
    <row r="269" spans="1:13">
      <c r="A269" s="3132">
        <v>9.1999999999999993</v>
      </c>
      <c r="B269" s="3130">
        <v>0.8397</v>
      </c>
      <c r="C269" s="3130">
        <v>0.8397</v>
      </c>
      <c r="D269" s="3130">
        <v>0.8044</v>
      </c>
      <c r="E269" s="3130">
        <v>0.8044</v>
      </c>
      <c r="F269" s="3130">
        <v>0.8044</v>
      </c>
      <c r="G269" s="3130">
        <v>0.8044</v>
      </c>
      <c r="H269" s="3130">
        <v>0.8044</v>
      </c>
      <c r="I269" s="3130">
        <v>0.62709999999999999</v>
      </c>
      <c r="J269" s="3130">
        <v>0.62709999999999999</v>
      </c>
      <c r="K269" s="3130">
        <v>0.62709999999999999</v>
      </c>
      <c r="L269" s="3130">
        <v>0.62709999999999999</v>
      </c>
      <c r="M269" s="3131">
        <v>0.62709999999999999</v>
      </c>
    </row>
    <row r="270" spans="1:13">
      <c r="A270" s="3132">
        <v>9.3000000000000007</v>
      </c>
      <c r="B270" s="3130">
        <v>0.83840000000000003</v>
      </c>
      <c r="C270" s="3130">
        <v>0.83840000000000003</v>
      </c>
      <c r="D270" s="3130">
        <v>0.80279999999999996</v>
      </c>
      <c r="E270" s="3130">
        <v>0.80279999999999996</v>
      </c>
      <c r="F270" s="3130">
        <v>0.80279999999999996</v>
      </c>
      <c r="G270" s="3130">
        <v>0.80279999999999996</v>
      </c>
      <c r="H270" s="3130">
        <v>0.80279999999999996</v>
      </c>
      <c r="I270" s="3130">
        <v>0.62509999999999999</v>
      </c>
      <c r="J270" s="3130">
        <v>0.62509999999999999</v>
      </c>
      <c r="K270" s="3130">
        <v>0.62509999999999999</v>
      </c>
      <c r="L270" s="3130">
        <v>0.62509999999999999</v>
      </c>
      <c r="M270" s="3131">
        <v>0.62509999999999999</v>
      </c>
    </row>
    <row r="271" spans="1:13">
      <c r="A271" s="3132">
        <v>9.4</v>
      </c>
      <c r="B271" s="3130">
        <v>0.83709999999999996</v>
      </c>
      <c r="C271" s="3130">
        <v>0.83709999999999996</v>
      </c>
      <c r="D271" s="3130">
        <v>0.80120000000000002</v>
      </c>
      <c r="E271" s="3130">
        <v>0.80120000000000002</v>
      </c>
      <c r="F271" s="3130">
        <v>0.80120000000000002</v>
      </c>
      <c r="G271" s="3130">
        <v>0.80120000000000002</v>
      </c>
      <c r="H271" s="3130">
        <v>0.80120000000000002</v>
      </c>
      <c r="I271" s="3130">
        <v>0.62309999999999999</v>
      </c>
      <c r="J271" s="3130">
        <v>0.62309999999999999</v>
      </c>
      <c r="K271" s="3130">
        <v>0.62309999999999999</v>
      </c>
      <c r="L271" s="3130">
        <v>0.62309999999999999</v>
      </c>
      <c r="M271" s="3131">
        <v>0.62309999999999999</v>
      </c>
    </row>
    <row r="272" spans="1:13">
      <c r="A272" s="3132">
        <v>9.5</v>
      </c>
      <c r="B272" s="3130">
        <v>0.83579999999999999</v>
      </c>
      <c r="C272" s="3130">
        <v>0.83579999999999999</v>
      </c>
      <c r="D272" s="3130">
        <v>0.79959999999999998</v>
      </c>
      <c r="E272" s="3130">
        <v>0.79959999999999998</v>
      </c>
      <c r="F272" s="3130">
        <v>0.79959999999999998</v>
      </c>
      <c r="G272" s="3130">
        <v>0.79959999999999998</v>
      </c>
      <c r="H272" s="3130">
        <v>0.79959999999999998</v>
      </c>
      <c r="I272" s="3130">
        <v>0.62109999999999999</v>
      </c>
      <c r="J272" s="3130">
        <v>0.62109999999999999</v>
      </c>
      <c r="K272" s="3130">
        <v>0.62109999999999999</v>
      </c>
      <c r="L272" s="3130">
        <v>0.62109999999999999</v>
      </c>
      <c r="M272" s="3131">
        <v>0.62109999999999999</v>
      </c>
    </row>
    <row r="273" spans="1:21">
      <c r="A273" s="3132">
        <v>9.6</v>
      </c>
      <c r="B273" s="3130">
        <v>0.83460000000000001</v>
      </c>
      <c r="C273" s="3130">
        <v>0.83460000000000001</v>
      </c>
      <c r="D273" s="3130">
        <v>0.79800000000000004</v>
      </c>
      <c r="E273" s="3130">
        <v>0.79800000000000004</v>
      </c>
      <c r="F273" s="3130">
        <v>0.79800000000000004</v>
      </c>
      <c r="G273" s="3130">
        <v>0.79800000000000004</v>
      </c>
      <c r="H273" s="3130">
        <v>0.79800000000000004</v>
      </c>
      <c r="I273" s="3130">
        <v>0.61909999999999998</v>
      </c>
      <c r="J273" s="3130">
        <v>0.61909999999999998</v>
      </c>
      <c r="K273" s="3130">
        <v>0.61909999999999998</v>
      </c>
      <c r="L273" s="3130">
        <v>0.61909999999999998</v>
      </c>
      <c r="M273" s="3131">
        <v>0.61909999999999998</v>
      </c>
    </row>
    <row r="274" spans="1:21">
      <c r="A274" s="3132">
        <v>9.6999999999999993</v>
      </c>
      <c r="B274" s="3130">
        <v>0.83340000000000003</v>
      </c>
      <c r="C274" s="3130">
        <v>0.83340000000000003</v>
      </c>
      <c r="D274" s="3130">
        <v>0.79649999999999999</v>
      </c>
      <c r="E274" s="3130">
        <v>0.79649999999999999</v>
      </c>
      <c r="F274" s="3130">
        <v>0.79649999999999999</v>
      </c>
      <c r="G274" s="3130">
        <v>0.79649999999999999</v>
      </c>
      <c r="H274" s="3130">
        <v>0.79649999999999999</v>
      </c>
      <c r="I274" s="3130">
        <v>0.61719999999999997</v>
      </c>
      <c r="J274" s="3130">
        <v>0.61719999999999997</v>
      </c>
      <c r="K274" s="3130">
        <v>0.61719999999999997</v>
      </c>
      <c r="L274" s="3130">
        <v>0.61719999999999997</v>
      </c>
      <c r="M274" s="3131">
        <v>0.61719999999999997</v>
      </c>
    </row>
    <row r="275" spans="1:21">
      <c r="A275" s="3132">
        <v>9.8000000000000007</v>
      </c>
      <c r="B275" s="3130">
        <v>0.83220000000000005</v>
      </c>
      <c r="C275" s="3130">
        <v>0.83220000000000005</v>
      </c>
      <c r="D275" s="3130">
        <v>0.79500000000000004</v>
      </c>
      <c r="E275" s="3130">
        <v>0.79500000000000004</v>
      </c>
      <c r="F275" s="3130">
        <v>0.79500000000000004</v>
      </c>
      <c r="G275" s="3130">
        <v>0.79500000000000004</v>
      </c>
      <c r="H275" s="3130">
        <v>0.79500000000000004</v>
      </c>
      <c r="I275" s="3130">
        <v>0.61529999999999996</v>
      </c>
      <c r="J275" s="3130">
        <v>0.61529999999999996</v>
      </c>
      <c r="K275" s="3130">
        <v>0.61529999999999996</v>
      </c>
      <c r="L275" s="3130">
        <v>0.61529999999999996</v>
      </c>
      <c r="M275" s="3131">
        <v>0.61529999999999996</v>
      </c>
    </row>
    <row r="276" spans="1:21" ht="14.25" thickBot="1">
      <c r="A276" s="3133">
        <v>9.9</v>
      </c>
      <c r="B276" s="3134">
        <v>0.83099999999999996</v>
      </c>
      <c r="C276" s="3134">
        <v>0.83099999999999996</v>
      </c>
      <c r="D276" s="3134">
        <v>0.79349999999999998</v>
      </c>
      <c r="E276" s="3134">
        <v>0.79349999999999998</v>
      </c>
      <c r="F276" s="3134">
        <v>0.79349999999999998</v>
      </c>
      <c r="G276" s="3134">
        <v>0.79349999999999998</v>
      </c>
      <c r="H276" s="3134">
        <v>0.79349999999999998</v>
      </c>
      <c r="I276" s="3134">
        <v>0.61339999999999995</v>
      </c>
      <c r="J276" s="3134">
        <v>0.61339999999999995</v>
      </c>
      <c r="K276" s="3134">
        <v>0.61339999999999995</v>
      </c>
      <c r="L276" s="3134">
        <v>0.61339999999999995</v>
      </c>
      <c r="M276" s="3135">
        <v>0.61339999999999995</v>
      </c>
    </row>
    <row r="277" spans="1:21" ht="15" thickBot="1">
      <c r="A277" s="3123" t="s">
        <v>2803</v>
      </c>
      <c r="B277" s="3123"/>
      <c r="C277" s="3123"/>
      <c r="D277" s="3123"/>
      <c r="E277" s="3123"/>
      <c r="F277" s="3123"/>
      <c r="G277" s="3123"/>
      <c r="H277" s="3123"/>
      <c r="I277" s="3123"/>
      <c r="J277" s="3123"/>
      <c r="K277" s="3123"/>
      <c r="L277" s="3123"/>
      <c r="M277" s="3123"/>
    </row>
    <row r="278" spans="1:21">
      <c r="A278" s="3124" t="s">
        <v>2800</v>
      </c>
      <c r="B278" s="3125" t="s">
        <v>2596</v>
      </c>
      <c r="C278" s="3125" t="s">
        <v>2597</v>
      </c>
      <c r="D278" s="3125" t="s">
        <v>2598</v>
      </c>
      <c r="E278" s="3125" t="s">
        <v>2599</v>
      </c>
      <c r="F278" s="3125" t="s">
        <v>2600</v>
      </c>
      <c r="G278" s="3125" t="s">
        <v>2601</v>
      </c>
      <c r="H278" s="3126" t="s">
        <v>2602</v>
      </c>
      <c r="I278" s="3126" t="s">
        <v>2603</v>
      </c>
      <c r="J278" s="3127" t="s">
        <v>2604</v>
      </c>
      <c r="K278" s="3127" t="s">
        <v>2605</v>
      </c>
      <c r="L278" s="3127" t="s">
        <v>2606</v>
      </c>
      <c r="M278" s="3128" t="s">
        <v>2607</v>
      </c>
      <c r="Q278" s="3138" t="s">
        <v>2805</v>
      </c>
      <c r="R278" s="3138" t="s">
        <v>2806</v>
      </c>
      <c r="S278" s="3138" t="s">
        <v>2809</v>
      </c>
      <c r="T278" s="3138" t="s">
        <v>2810</v>
      </c>
      <c r="U278" s="3138" t="s">
        <v>2808</v>
      </c>
    </row>
    <row r="279" spans="1:21">
      <c r="A279" s="3129">
        <v>1</v>
      </c>
      <c r="B279" s="3130">
        <v>1.1055999999999999</v>
      </c>
      <c r="C279" s="3130">
        <v>1.1055999999999999</v>
      </c>
      <c r="D279" s="3130">
        <v>1.1220000000000001</v>
      </c>
      <c r="E279" s="3130">
        <v>1.1220000000000001</v>
      </c>
      <c r="F279" s="3130">
        <v>1.1220000000000001</v>
      </c>
      <c r="G279" s="3130">
        <v>1.0583</v>
      </c>
      <c r="H279" s="3130">
        <v>1.0583</v>
      </c>
      <c r="I279" s="3130">
        <v>1</v>
      </c>
      <c r="J279" s="3130">
        <v>1</v>
      </c>
      <c r="K279" s="3130">
        <v>1</v>
      </c>
      <c r="L279" s="3130">
        <v>1</v>
      </c>
      <c r="M279" s="3131">
        <v>1</v>
      </c>
      <c r="Q279" s="3138">
        <v>10</v>
      </c>
      <c r="R279" s="3138">
        <f>ROUND(0.7836-0.012*Q279,4)</f>
        <v>0.66359999999999997</v>
      </c>
      <c r="S279" s="3138">
        <f>ROUND(0.753-0.015*Q279,4)</f>
        <v>0.60299999999999998</v>
      </c>
      <c r="T279" s="3138">
        <f>ROUND(0.6612-0.018*Q279,4)</f>
        <v>0.48120000000000002</v>
      </c>
      <c r="U279" s="3138">
        <f>ROUND(0.5905-0.019*R279,4)</f>
        <v>0.57789999999999997</v>
      </c>
    </row>
    <row r="280" spans="1:21">
      <c r="A280" s="3129">
        <v>1.1000000000000001</v>
      </c>
      <c r="B280" s="3130">
        <v>1.0820000000000001</v>
      </c>
      <c r="C280" s="3130">
        <v>1.0820000000000001</v>
      </c>
      <c r="D280" s="3130">
        <v>1.0948</v>
      </c>
      <c r="E280" s="3130">
        <v>1.0948</v>
      </c>
      <c r="F280" s="3130">
        <v>1.0948</v>
      </c>
      <c r="G280" s="3130">
        <v>1.0284</v>
      </c>
      <c r="H280" s="3130">
        <v>1.0284</v>
      </c>
      <c r="I280" s="3130">
        <v>0.96860000000000002</v>
      </c>
      <c r="J280" s="3130">
        <v>0.96860000000000002</v>
      </c>
      <c r="K280" s="3130">
        <v>0.96860000000000002</v>
      </c>
      <c r="L280" s="3130">
        <v>0.96860000000000002</v>
      </c>
      <c r="M280" s="3131">
        <v>0.96860000000000002</v>
      </c>
    </row>
    <row r="281" spans="1:21">
      <c r="A281" s="3129">
        <v>1.2</v>
      </c>
      <c r="B281" s="3130">
        <v>1.0598000000000001</v>
      </c>
      <c r="C281" s="3130">
        <v>1.0598000000000001</v>
      </c>
      <c r="D281" s="3130">
        <v>1.0690999999999999</v>
      </c>
      <c r="E281" s="3130">
        <v>1.0690999999999999</v>
      </c>
      <c r="F281" s="3130">
        <v>1.0690999999999999</v>
      </c>
      <c r="G281" s="3130">
        <v>1</v>
      </c>
      <c r="H281" s="3130">
        <v>1</v>
      </c>
      <c r="I281" s="3130">
        <v>0.93879999999999997</v>
      </c>
      <c r="J281" s="3130">
        <v>0.93879999999999997</v>
      </c>
      <c r="K281" s="3130">
        <v>0.93879999999999997</v>
      </c>
      <c r="L281" s="3130">
        <v>0.93879999999999997</v>
      </c>
      <c r="M281" s="3131">
        <v>0.93879999999999997</v>
      </c>
    </row>
    <row r="282" spans="1:21">
      <c r="A282" s="3129">
        <v>1.3</v>
      </c>
      <c r="B282" s="3130">
        <v>1.0387</v>
      </c>
      <c r="C282" s="3130">
        <v>1.0387</v>
      </c>
      <c r="D282" s="3130">
        <v>1.0447</v>
      </c>
      <c r="E282" s="3130">
        <v>1.0447</v>
      </c>
      <c r="F282" s="3130">
        <v>1.0447</v>
      </c>
      <c r="G282" s="3130">
        <v>0.97319999999999995</v>
      </c>
      <c r="H282" s="3130">
        <v>0.97319999999999995</v>
      </c>
      <c r="I282" s="3130">
        <v>0.91069999999999995</v>
      </c>
      <c r="J282" s="3130">
        <v>0.91069999999999995</v>
      </c>
      <c r="K282" s="3130">
        <v>0.91069999999999995</v>
      </c>
      <c r="L282" s="3130">
        <v>0.91069999999999995</v>
      </c>
      <c r="M282" s="3131">
        <v>0.91069999999999995</v>
      </c>
    </row>
    <row r="283" spans="1:21">
      <c r="A283" s="3129">
        <v>1.4</v>
      </c>
      <c r="B283" s="3130">
        <v>1.0187999999999999</v>
      </c>
      <c r="C283" s="3130">
        <v>1.0187999999999999</v>
      </c>
      <c r="D283" s="3130">
        <v>1.0217000000000001</v>
      </c>
      <c r="E283" s="3130">
        <v>1.0217000000000001</v>
      </c>
      <c r="F283" s="3130">
        <v>1.0217000000000001</v>
      </c>
      <c r="G283" s="3130">
        <v>0.94779999999999998</v>
      </c>
      <c r="H283" s="3130">
        <v>0.94779999999999998</v>
      </c>
      <c r="I283" s="3130">
        <v>0.8841</v>
      </c>
      <c r="J283" s="3130">
        <v>0.8841</v>
      </c>
      <c r="K283" s="3130">
        <v>0.8841</v>
      </c>
      <c r="L283" s="3130">
        <v>0.8841</v>
      </c>
      <c r="M283" s="3131">
        <v>0.8841</v>
      </c>
    </row>
    <row r="284" spans="1:21">
      <c r="A284" s="3129">
        <v>1.5</v>
      </c>
      <c r="B284" s="3130">
        <v>1</v>
      </c>
      <c r="C284" s="3130">
        <v>1</v>
      </c>
      <c r="D284" s="3130">
        <v>1</v>
      </c>
      <c r="E284" s="3130">
        <v>1</v>
      </c>
      <c r="F284" s="3130">
        <v>1</v>
      </c>
      <c r="G284" s="3130">
        <v>0.92379999999999995</v>
      </c>
      <c r="H284" s="3130">
        <v>0.92379999999999995</v>
      </c>
      <c r="I284" s="3130">
        <v>0.8589</v>
      </c>
      <c r="J284" s="3130">
        <v>0.8589</v>
      </c>
      <c r="K284" s="3130">
        <v>0.8589</v>
      </c>
      <c r="L284" s="3130">
        <v>0.8589</v>
      </c>
      <c r="M284" s="3131">
        <v>0.8589</v>
      </c>
    </row>
    <row r="285" spans="1:21">
      <c r="A285" s="3129">
        <v>1.6</v>
      </c>
      <c r="B285" s="3130">
        <v>0.98229999999999995</v>
      </c>
      <c r="C285" s="3130">
        <v>0.98229999999999995</v>
      </c>
      <c r="D285" s="3130">
        <v>0.97950000000000004</v>
      </c>
      <c r="E285" s="3130">
        <v>0.97950000000000004</v>
      </c>
      <c r="F285" s="3130">
        <v>0.97950000000000004</v>
      </c>
      <c r="G285" s="3130">
        <v>0.9012</v>
      </c>
      <c r="H285" s="3130">
        <v>0.9012</v>
      </c>
      <c r="I285" s="3130">
        <v>0.83509999999999995</v>
      </c>
      <c r="J285" s="3130">
        <v>0.83509999999999995</v>
      </c>
      <c r="K285" s="3130">
        <v>0.83509999999999995</v>
      </c>
      <c r="L285" s="3130">
        <v>0.83509999999999995</v>
      </c>
      <c r="M285" s="3131">
        <v>0.83509999999999995</v>
      </c>
    </row>
    <row r="286" spans="1:21">
      <c r="A286" s="3129">
        <v>1.7</v>
      </c>
      <c r="B286" s="3130">
        <v>0.96550000000000002</v>
      </c>
      <c r="C286" s="3130">
        <v>0.96550000000000002</v>
      </c>
      <c r="D286" s="3130">
        <v>0.96009999999999995</v>
      </c>
      <c r="E286" s="3130">
        <v>0.96009999999999995</v>
      </c>
      <c r="F286" s="3130">
        <v>0.96009999999999995</v>
      </c>
      <c r="G286" s="3130">
        <v>0.87980000000000003</v>
      </c>
      <c r="H286" s="3130">
        <v>0.87980000000000003</v>
      </c>
      <c r="I286" s="3130">
        <v>0.81269999999999998</v>
      </c>
      <c r="J286" s="3130">
        <v>0.81269999999999998</v>
      </c>
      <c r="K286" s="3130">
        <v>0.81269999999999998</v>
      </c>
      <c r="L286" s="3130">
        <v>0.81269999999999998</v>
      </c>
      <c r="M286" s="3131">
        <v>0.81269999999999998</v>
      </c>
    </row>
    <row r="287" spans="1:21">
      <c r="A287" s="3129">
        <v>1.8</v>
      </c>
      <c r="B287" s="3130">
        <v>0.94969999999999999</v>
      </c>
      <c r="C287" s="3130">
        <v>0.94969999999999999</v>
      </c>
      <c r="D287" s="3130">
        <v>0.94189999999999996</v>
      </c>
      <c r="E287" s="3130">
        <v>0.94189999999999996</v>
      </c>
      <c r="F287" s="3130">
        <v>0.94189999999999996</v>
      </c>
      <c r="G287" s="3130">
        <v>0.85960000000000003</v>
      </c>
      <c r="H287" s="3130">
        <v>0.85960000000000003</v>
      </c>
      <c r="I287" s="3130">
        <v>0.79149999999999998</v>
      </c>
      <c r="J287" s="3130">
        <v>0.79149999999999998</v>
      </c>
      <c r="K287" s="3130">
        <v>0.79149999999999998</v>
      </c>
      <c r="L287" s="3130">
        <v>0.79149999999999998</v>
      </c>
      <c r="M287" s="3131">
        <v>0.79149999999999998</v>
      </c>
    </row>
    <row r="288" spans="1:21">
      <c r="A288" s="3129">
        <v>1.9</v>
      </c>
      <c r="B288" s="3130">
        <v>0.93479999999999996</v>
      </c>
      <c r="C288" s="3130">
        <v>0.93479999999999996</v>
      </c>
      <c r="D288" s="3130">
        <v>0.92459999999999998</v>
      </c>
      <c r="E288" s="3130">
        <v>0.92459999999999998</v>
      </c>
      <c r="F288" s="3130">
        <v>0.92459999999999998</v>
      </c>
      <c r="G288" s="3130">
        <v>0.84060000000000001</v>
      </c>
      <c r="H288" s="3130">
        <v>0.84060000000000001</v>
      </c>
      <c r="I288" s="3130">
        <v>0.77149999999999996</v>
      </c>
      <c r="J288" s="3130">
        <v>0.77149999999999996</v>
      </c>
      <c r="K288" s="3130">
        <v>0.77149999999999996</v>
      </c>
      <c r="L288" s="3130">
        <v>0.77149999999999996</v>
      </c>
      <c r="M288" s="3131">
        <v>0.77149999999999996</v>
      </c>
    </row>
    <row r="289" spans="1:13">
      <c r="A289" s="3129">
        <v>2</v>
      </c>
      <c r="B289" s="3130">
        <v>0.92079999999999995</v>
      </c>
      <c r="C289" s="3130">
        <v>0.92079999999999995</v>
      </c>
      <c r="D289" s="3130">
        <v>0.90839999999999999</v>
      </c>
      <c r="E289" s="3130">
        <v>0.90839999999999999</v>
      </c>
      <c r="F289" s="3130">
        <v>0.90839999999999999</v>
      </c>
      <c r="G289" s="3130">
        <v>0.82269999999999999</v>
      </c>
      <c r="H289" s="3130">
        <v>0.82269999999999999</v>
      </c>
      <c r="I289" s="3130">
        <v>0.75270000000000004</v>
      </c>
      <c r="J289" s="3130">
        <v>0.75270000000000004</v>
      </c>
      <c r="K289" s="3130">
        <v>0.75270000000000004</v>
      </c>
      <c r="L289" s="3130">
        <v>0.75270000000000004</v>
      </c>
      <c r="M289" s="3131">
        <v>0.75270000000000004</v>
      </c>
    </row>
    <row r="290" spans="1:13">
      <c r="A290" s="3132">
        <v>2.1</v>
      </c>
      <c r="B290" s="3130">
        <v>0.90759999999999996</v>
      </c>
      <c r="C290" s="3130">
        <v>0.90759999999999996</v>
      </c>
      <c r="D290" s="3130">
        <v>0.89319999999999999</v>
      </c>
      <c r="E290" s="3130">
        <v>0.89319999999999999</v>
      </c>
      <c r="F290" s="3130">
        <v>0.89319999999999999</v>
      </c>
      <c r="G290" s="3130">
        <v>0.80589999999999995</v>
      </c>
      <c r="H290" s="3130">
        <v>0.80589999999999995</v>
      </c>
      <c r="I290" s="3130">
        <v>0.73499999999999999</v>
      </c>
      <c r="J290" s="3130">
        <v>0.73499999999999999</v>
      </c>
      <c r="K290" s="3130">
        <v>0.73499999999999999</v>
      </c>
      <c r="L290" s="3130">
        <v>0.73499999999999999</v>
      </c>
      <c r="M290" s="3131">
        <v>0.73499999999999999</v>
      </c>
    </row>
    <row r="291" spans="1:13">
      <c r="A291" s="3132">
        <v>2.2000000000000002</v>
      </c>
      <c r="B291" s="3130">
        <v>0.8952</v>
      </c>
      <c r="C291" s="3130">
        <v>0.8952</v>
      </c>
      <c r="D291" s="3130">
        <v>0.87880000000000003</v>
      </c>
      <c r="E291" s="3130">
        <v>0.87880000000000003</v>
      </c>
      <c r="F291" s="3130">
        <v>0.87880000000000003</v>
      </c>
      <c r="G291" s="3130">
        <v>0.79</v>
      </c>
      <c r="H291" s="3130">
        <v>0.79</v>
      </c>
      <c r="I291" s="3130">
        <v>0.71840000000000004</v>
      </c>
      <c r="J291" s="3130">
        <v>0.71840000000000004</v>
      </c>
      <c r="K291" s="3130">
        <v>0.71840000000000004</v>
      </c>
      <c r="L291" s="3130">
        <v>0.71840000000000004</v>
      </c>
      <c r="M291" s="3131">
        <v>0.71840000000000004</v>
      </c>
    </row>
    <row r="292" spans="1:13">
      <c r="A292" s="3132">
        <v>2.2999999999999998</v>
      </c>
      <c r="B292" s="3130">
        <v>0.88360000000000005</v>
      </c>
      <c r="C292" s="3130">
        <v>0.88360000000000005</v>
      </c>
      <c r="D292" s="3130">
        <v>0.86529999999999996</v>
      </c>
      <c r="E292" s="3130">
        <v>0.86529999999999996</v>
      </c>
      <c r="F292" s="3130">
        <v>0.86529999999999996</v>
      </c>
      <c r="G292" s="3130">
        <v>0.77510000000000001</v>
      </c>
      <c r="H292" s="3130">
        <v>0.77510000000000001</v>
      </c>
      <c r="I292" s="3130">
        <v>0.70269999999999999</v>
      </c>
      <c r="J292" s="3130">
        <v>0.70269999999999999</v>
      </c>
      <c r="K292" s="3130">
        <v>0.70269999999999999</v>
      </c>
      <c r="L292" s="3130">
        <v>0.70269999999999999</v>
      </c>
      <c r="M292" s="3131">
        <v>0.70269999999999999</v>
      </c>
    </row>
    <row r="293" spans="1:13">
      <c r="A293" s="3132">
        <v>2.4</v>
      </c>
      <c r="B293" s="3130">
        <v>0.87260000000000004</v>
      </c>
      <c r="C293" s="3130">
        <v>0.87260000000000004</v>
      </c>
      <c r="D293" s="3130">
        <v>0.85260000000000002</v>
      </c>
      <c r="E293" s="3130">
        <v>0.85260000000000002</v>
      </c>
      <c r="F293" s="3130">
        <v>0.85260000000000002</v>
      </c>
      <c r="G293" s="3130">
        <v>0.76100000000000001</v>
      </c>
      <c r="H293" s="3130">
        <v>0.76100000000000001</v>
      </c>
      <c r="I293" s="3130">
        <v>0.68799999999999994</v>
      </c>
      <c r="J293" s="3130">
        <v>0.68799999999999994</v>
      </c>
      <c r="K293" s="3130">
        <v>0.68799999999999994</v>
      </c>
      <c r="L293" s="3130">
        <v>0.68799999999999994</v>
      </c>
      <c r="M293" s="3131">
        <v>0.68799999999999994</v>
      </c>
    </row>
    <row r="294" spans="1:13">
      <c r="A294" s="3132">
        <v>2.5</v>
      </c>
      <c r="B294" s="3130">
        <v>0.86229999999999996</v>
      </c>
      <c r="C294" s="3130">
        <v>0.86229999999999996</v>
      </c>
      <c r="D294" s="3130">
        <v>0.8407</v>
      </c>
      <c r="E294" s="3130">
        <v>0.8407</v>
      </c>
      <c r="F294" s="3130">
        <v>0.8407</v>
      </c>
      <c r="G294" s="3130">
        <v>0.74780000000000002</v>
      </c>
      <c r="H294" s="3130">
        <v>0.74780000000000002</v>
      </c>
      <c r="I294" s="3130">
        <v>0.67410000000000003</v>
      </c>
      <c r="J294" s="3130">
        <v>0.67410000000000003</v>
      </c>
      <c r="K294" s="3130">
        <v>0.67410000000000003</v>
      </c>
      <c r="L294" s="3130">
        <v>0.67410000000000003</v>
      </c>
      <c r="M294" s="3131">
        <v>0.67410000000000003</v>
      </c>
    </row>
    <row r="295" spans="1:13">
      <c r="A295" s="3132">
        <v>2.6</v>
      </c>
      <c r="B295" s="3130">
        <v>0.85270000000000001</v>
      </c>
      <c r="C295" s="3130">
        <v>0.85270000000000001</v>
      </c>
      <c r="D295" s="3130">
        <v>0.82950000000000002</v>
      </c>
      <c r="E295" s="3130">
        <v>0.82950000000000002</v>
      </c>
      <c r="F295" s="3130">
        <v>0.82950000000000002</v>
      </c>
      <c r="G295" s="3130">
        <v>0.73540000000000005</v>
      </c>
      <c r="H295" s="3130">
        <v>0.73540000000000005</v>
      </c>
      <c r="I295" s="3130">
        <v>0.66110000000000002</v>
      </c>
      <c r="J295" s="3130">
        <v>0.66110000000000002</v>
      </c>
      <c r="K295" s="3130">
        <v>0.66110000000000002</v>
      </c>
      <c r="L295" s="3130">
        <v>0.66110000000000002</v>
      </c>
      <c r="M295" s="3131">
        <v>0.66110000000000002</v>
      </c>
    </row>
    <row r="296" spans="1:13">
      <c r="A296" s="3132">
        <v>2.7</v>
      </c>
      <c r="B296" s="3130">
        <v>0.84360000000000002</v>
      </c>
      <c r="C296" s="3130">
        <v>0.84360000000000002</v>
      </c>
      <c r="D296" s="3130">
        <v>0.81899999999999995</v>
      </c>
      <c r="E296" s="3130">
        <v>0.81899999999999995</v>
      </c>
      <c r="F296" s="3130">
        <v>0.81899999999999995</v>
      </c>
      <c r="G296" s="3130">
        <v>0.7238</v>
      </c>
      <c r="H296" s="3130">
        <v>0.7238</v>
      </c>
      <c r="I296" s="3130">
        <v>0.64880000000000004</v>
      </c>
      <c r="J296" s="3130">
        <v>0.64880000000000004</v>
      </c>
      <c r="K296" s="3130">
        <v>0.64880000000000004</v>
      </c>
      <c r="L296" s="3130">
        <v>0.64880000000000004</v>
      </c>
      <c r="M296" s="3131">
        <v>0.64880000000000004</v>
      </c>
    </row>
    <row r="297" spans="1:13">
      <c r="A297" s="3132">
        <v>2.8</v>
      </c>
      <c r="B297" s="3130">
        <v>0.83509999999999995</v>
      </c>
      <c r="C297" s="3130">
        <v>0.83509999999999995</v>
      </c>
      <c r="D297" s="3130">
        <v>0.80910000000000004</v>
      </c>
      <c r="E297" s="3130">
        <v>0.80910000000000004</v>
      </c>
      <c r="F297" s="3130">
        <v>0.80910000000000004</v>
      </c>
      <c r="G297" s="3130">
        <v>0.71289999999999998</v>
      </c>
      <c r="H297" s="3130">
        <v>0.71289999999999998</v>
      </c>
      <c r="I297" s="3130">
        <v>0.63739999999999997</v>
      </c>
      <c r="J297" s="3130">
        <v>0.63739999999999997</v>
      </c>
      <c r="K297" s="3130">
        <v>0.63739999999999997</v>
      </c>
      <c r="L297" s="3130">
        <v>0.63739999999999997</v>
      </c>
      <c r="M297" s="3131">
        <v>0.63739999999999997</v>
      </c>
    </row>
    <row r="298" spans="1:13">
      <c r="A298" s="3132">
        <v>2.9</v>
      </c>
      <c r="B298" s="3130">
        <v>0.82720000000000005</v>
      </c>
      <c r="C298" s="3130">
        <v>0.82720000000000005</v>
      </c>
      <c r="D298" s="3130">
        <v>0.79990000000000006</v>
      </c>
      <c r="E298" s="3130">
        <v>0.79990000000000006</v>
      </c>
      <c r="F298" s="3130">
        <v>0.79990000000000006</v>
      </c>
      <c r="G298" s="3130">
        <v>0.7026</v>
      </c>
      <c r="H298" s="3130">
        <v>0.7026</v>
      </c>
      <c r="I298" s="3130">
        <v>0.62660000000000005</v>
      </c>
      <c r="J298" s="3130">
        <v>0.62660000000000005</v>
      </c>
      <c r="K298" s="3130">
        <v>0.62660000000000005</v>
      </c>
      <c r="L298" s="3130">
        <v>0.62660000000000005</v>
      </c>
      <c r="M298" s="3131">
        <v>0.62660000000000005</v>
      </c>
    </row>
    <row r="299" spans="1:13">
      <c r="A299" s="3132">
        <v>3</v>
      </c>
      <c r="B299" s="3130">
        <v>0.81969999999999998</v>
      </c>
      <c r="C299" s="3130">
        <v>0.81969999999999998</v>
      </c>
      <c r="D299" s="3130">
        <v>0.79120000000000001</v>
      </c>
      <c r="E299" s="3130">
        <v>0.79120000000000001</v>
      </c>
      <c r="F299" s="3130">
        <v>0.79120000000000001</v>
      </c>
      <c r="G299" s="3130">
        <v>0.69299999999999995</v>
      </c>
      <c r="H299" s="3130">
        <v>0.69299999999999995</v>
      </c>
      <c r="I299" s="3130">
        <v>0.61650000000000005</v>
      </c>
      <c r="J299" s="3130">
        <v>0.61650000000000005</v>
      </c>
      <c r="K299" s="3130">
        <v>0.61650000000000005</v>
      </c>
      <c r="L299" s="3130">
        <v>0.61650000000000005</v>
      </c>
      <c r="M299" s="3131">
        <v>0.61650000000000005</v>
      </c>
    </row>
    <row r="300" spans="1:13">
      <c r="A300" s="3132">
        <v>3.1</v>
      </c>
      <c r="B300" s="3130">
        <v>0.81279999999999997</v>
      </c>
      <c r="C300" s="3130">
        <v>0.81279999999999997</v>
      </c>
      <c r="D300" s="3130">
        <v>0.78310000000000002</v>
      </c>
      <c r="E300" s="3130">
        <v>0.78310000000000002</v>
      </c>
      <c r="F300" s="3130">
        <v>0.78310000000000002</v>
      </c>
      <c r="G300" s="3130">
        <v>0.68400000000000005</v>
      </c>
      <c r="H300" s="3130">
        <v>0.68400000000000005</v>
      </c>
      <c r="I300" s="3130">
        <v>0.60709999999999997</v>
      </c>
      <c r="J300" s="3130">
        <v>0.60709999999999997</v>
      </c>
      <c r="K300" s="3130">
        <v>0.60709999999999997</v>
      </c>
      <c r="L300" s="3130">
        <v>0.60709999999999997</v>
      </c>
      <c r="M300" s="3131">
        <v>0.60709999999999997</v>
      </c>
    </row>
    <row r="301" spans="1:13">
      <c r="A301" s="3132">
        <v>3.2</v>
      </c>
      <c r="B301" s="3130">
        <v>0.80620000000000003</v>
      </c>
      <c r="C301" s="3130">
        <v>0.80620000000000003</v>
      </c>
      <c r="D301" s="3130">
        <v>0.77549999999999997</v>
      </c>
      <c r="E301" s="3130">
        <v>0.77549999999999997</v>
      </c>
      <c r="F301" s="3130">
        <v>0.77549999999999997</v>
      </c>
      <c r="G301" s="3130">
        <v>0.67559999999999998</v>
      </c>
      <c r="H301" s="3130">
        <v>0.67559999999999998</v>
      </c>
      <c r="I301" s="3130">
        <v>0.59809999999999997</v>
      </c>
      <c r="J301" s="3130">
        <v>0.59809999999999997</v>
      </c>
      <c r="K301" s="3130">
        <v>0.59809999999999997</v>
      </c>
      <c r="L301" s="3130">
        <v>0.59809999999999997</v>
      </c>
      <c r="M301" s="3131">
        <v>0.59809999999999997</v>
      </c>
    </row>
    <row r="302" spans="1:13">
      <c r="A302" s="3132">
        <v>3.3</v>
      </c>
      <c r="B302" s="3130">
        <v>0.80010000000000003</v>
      </c>
      <c r="C302" s="3130">
        <v>0.80010000000000003</v>
      </c>
      <c r="D302" s="3130">
        <v>0.76839999999999997</v>
      </c>
      <c r="E302" s="3130">
        <v>0.76839999999999997</v>
      </c>
      <c r="F302" s="3130">
        <v>0.76839999999999997</v>
      </c>
      <c r="G302" s="3130">
        <v>0.66769999999999996</v>
      </c>
      <c r="H302" s="3130">
        <v>0.66769999999999996</v>
      </c>
      <c r="I302" s="3130">
        <v>0.58979999999999999</v>
      </c>
      <c r="J302" s="3130">
        <v>0.58979999999999999</v>
      </c>
      <c r="K302" s="3130">
        <v>0.58979999999999999</v>
      </c>
      <c r="L302" s="3130">
        <v>0.58979999999999999</v>
      </c>
      <c r="M302" s="3131">
        <v>0.58979999999999999</v>
      </c>
    </row>
    <row r="303" spans="1:13">
      <c r="A303" s="3132">
        <v>3.4</v>
      </c>
      <c r="B303" s="3130">
        <v>0.7944</v>
      </c>
      <c r="C303" s="3130">
        <v>0.7944</v>
      </c>
      <c r="D303" s="3130">
        <v>0.76170000000000004</v>
      </c>
      <c r="E303" s="3130">
        <v>0.76170000000000004</v>
      </c>
      <c r="F303" s="3130">
        <v>0.76170000000000004</v>
      </c>
      <c r="G303" s="3130">
        <v>0.66020000000000001</v>
      </c>
      <c r="H303" s="3130">
        <v>0.66020000000000001</v>
      </c>
      <c r="I303" s="3130">
        <v>0.58209999999999995</v>
      </c>
      <c r="J303" s="3130">
        <v>0.58209999999999995</v>
      </c>
      <c r="K303" s="3130">
        <v>0.58209999999999995</v>
      </c>
      <c r="L303" s="3130">
        <v>0.58209999999999995</v>
      </c>
      <c r="M303" s="3131">
        <v>0.58209999999999995</v>
      </c>
    </row>
    <row r="304" spans="1:13">
      <c r="A304" s="3132">
        <v>3.5</v>
      </c>
      <c r="B304" s="3130">
        <v>0.78910000000000002</v>
      </c>
      <c r="C304" s="3130">
        <v>0.78910000000000002</v>
      </c>
      <c r="D304" s="3130">
        <v>0.75549999999999995</v>
      </c>
      <c r="E304" s="3130">
        <v>0.75549999999999995</v>
      </c>
      <c r="F304" s="3130">
        <v>0.75549999999999995</v>
      </c>
      <c r="G304" s="3130">
        <v>0.65329999999999999</v>
      </c>
      <c r="H304" s="3130">
        <v>0.65329999999999999</v>
      </c>
      <c r="I304" s="3130">
        <v>0.57479999999999998</v>
      </c>
      <c r="J304" s="3130">
        <v>0.57479999999999998</v>
      </c>
      <c r="K304" s="3130">
        <v>0.57479999999999998</v>
      </c>
      <c r="L304" s="3130">
        <v>0.57479999999999998</v>
      </c>
      <c r="M304" s="3131">
        <v>0.57479999999999998</v>
      </c>
    </row>
    <row r="305" spans="1:13">
      <c r="A305" s="3132">
        <v>3.6</v>
      </c>
      <c r="B305" s="3130">
        <v>0.78410000000000002</v>
      </c>
      <c r="C305" s="3130">
        <v>0.78410000000000002</v>
      </c>
      <c r="D305" s="3130">
        <v>0.74960000000000004</v>
      </c>
      <c r="E305" s="3130">
        <v>0.74960000000000004</v>
      </c>
      <c r="F305" s="3130">
        <v>0.74960000000000004</v>
      </c>
      <c r="G305" s="3130">
        <v>0.64680000000000004</v>
      </c>
      <c r="H305" s="3130">
        <v>0.64680000000000004</v>
      </c>
      <c r="I305" s="3130">
        <v>0.56789999999999996</v>
      </c>
      <c r="J305" s="3130">
        <v>0.56789999999999996</v>
      </c>
      <c r="K305" s="3130">
        <v>0.56789999999999996</v>
      </c>
      <c r="L305" s="3130">
        <v>0.56789999999999996</v>
      </c>
      <c r="M305" s="3131">
        <v>0.56789999999999996</v>
      </c>
    </row>
    <row r="306" spans="1:13">
      <c r="A306" s="3132">
        <v>3.7</v>
      </c>
      <c r="B306" s="3130">
        <v>0.77939999999999998</v>
      </c>
      <c r="C306" s="3130">
        <v>0.77939999999999998</v>
      </c>
      <c r="D306" s="3130">
        <v>0.74409999999999998</v>
      </c>
      <c r="E306" s="3130">
        <v>0.74409999999999998</v>
      </c>
      <c r="F306" s="3130">
        <v>0.74409999999999998</v>
      </c>
      <c r="G306" s="3130">
        <v>0.64070000000000005</v>
      </c>
      <c r="H306" s="3130">
        <v>0.64070000000000005</v>
      </c>
      <c r="I306" s="3130">
        <v>0.5615</v>
      </c>
      <c r="J306" s="3130">
        <v>0.5615</v>
      </c>
      <c r="K306" s="3130">
        <v>0.5615</v>
      </c>
      <c r="L306" s="3130">
        <v>0.5615</v>
      </c>
      <c r="M306" s="3131">
        <v>0.5615</v>
      </c>
    </row>
    <row r="307" spans="1:13">
      <c r="A307" s="3132">
        <v>3.8</v>
      </c>
      <c r="B307" s="3130">
        <v>0.77500000000000002</v>
      </c>
      <c r="C307" s="3130">
        <v>0.77500000000000002</v>
      </c>
      <c r="D307" s="3130">
        <v>0.73899999999999999</v>
      </c>
      <c r="E307" s="3130">
        <v>0.73899999999999999</v>
      </c>
      <c r="F307" s="3130">
        <v>0.73899999999999999</v>
      </c>
      <c r="G307" s="3130">
        <v>0.63490000000000002</v>
      </c>
      <c r="H307" s="3130">
        <v>0.63490000000000002</v>
      </c>
      <c r="I307" s="3130">
        <v>0.55549999999999999</v>
      </c>
      <c r="J307" s="3130">
        <v>0.55549999999999999</v>
      </c>
      <c r="K307" s="3130">
        <v>0.55549999999999999</v>
      </c>
      <c r="L307" s="3130">
        <v>0.55549999999999999</v>
      </c>
      <c r="M307" s="3131">
        <v>0.55549999999999999</v>
      </c>
    </row>
    <row r="308" spans="1:13">
      <c r="A308" s="3132">
        <v>3.9</v>
      </c>
      <c r="B308" s="3130">
        <v>0.77090000000000003</v>
      </c>
      <c r="C308" s="3130">
        <v>0.77090000000000003</v>
      </c>
      <c r="D308" s="3130">
        <v>0.73419999999999996</v>
      </c>
      <c r="E308" s="3130">
        <v>0.73419999999999996</v>
      </c>
      <c r="F308" s="3130">
        <v>0.73419999999999996</v>
      </c>
      <c r="G308" s="3130">
        <v>0.62949999999999995</v>
      </c>
      <c r="H308" s="3130">
        <v>0.62949999999999995</v>
      </c>
      <c r="I308" s="3130">
        <v>0.54990000000000006</v>
      </c>
      <c r="J308" s="3130">
        <v>0.54990000000000006</v>
      </c>
      <c r="K308" s="3130">
        <v>0.54990000000000006</v>
      </c>
      <c r="L308" s="3130">
        <v>0.54990000000000006</v>
      </c>
      <c r="M308" s="3131">
        <v>0.54990000000000006</v>
      </c>
    </row>
    <row r="309" spans="1:13">
      <c r="A309" s="3132">
        <v>4</v>
      </c>
      <c r="B309" s="3130">
        <v>0.7671</v>
      </c>
      <c r="C309" s="3130">
        <v>0.7671</v>
      </c>
      <c r="D309" s="3130">
        <v>0.72970000000000002</v>
      </c>
      <c r="E309" s="3130">
        <v>0.72970000000000002</v>
      </c>
      <c r="F309" s="3130">
        <v>0.72970000000000002</v>
      </c>
      <c r="G309" s="3130">
        <v>0.62450000000000006</v>
      </c>
      <c r="H309" s="3130">
        <v>0.62450000000000006</v>
      </c>
      <c r="I309" s="3130">
        <v>0.54449999999999998</v>
      </c>
      <c r="J309" s="3130">
        <v>0.54449999999999998</v>
      </c>
      <c r="K309" s="3130">
        <v>0.54449999999999998</v>
      </c>
      <c r="L309" s="3130">
        <v>0.54449999999999998</v>
      </c>
      <c r="M309" s="3131">
        <v>0.54449999999999998</v>
      </c>
    </row>
    <row r="310" spans="1:13">
      <c r="A310" s="3132">
        <v>4.0999999999999996</v>
      </c>
      <c r="B310" s="3130">
        <v>0.76349999999999996</v>
      </c>
      <c r="C310" s="3130">
        <v>0.76349999999999996</v>
      </c>
      <c r="D310" s="3130">
        <v>0.72540000000000004</v>
      </c>
      <c r="E310" s="3130">
        <v>0.72540000000000004</v>
      </c>
      <c r="F310" s="3130">
        <v>0.72540000000000004</v>
      </c>
      <c r="G310" s="3130">
        <v>0.61970000000000003</v>
      </c>
      <c r="H310" s="3130">
        <v>0.61970000000000003</v>
      </c>
      <c r="I310" s="3130">
        <v>0.53959999999999997</v>
      </c>
      <c r="J310" s="3130">
        <v>0.53959999999999997</v>
      </c>
      <c r="K310" s="3130">
        <v>0.53959999999999997</v>
      </c>
      <c r="L310" s="3130">
        <v>0.53959999999999997</v>
      </c>
      <c r="M310" s="3131">
        <v>0.53959999999999997</v>
      </c>
    </row>
    <row r="311" spans="1:13">
      <c r="A311" s="3132">
        <v>4.2</v>
      </c>
      <c r="B311" s="3130">
        <v>0.7601</v>
      </c>
      <c r="C311" s="3130">
        <v>0.7601</v>
      </c>
      <c r="D311" s="3130">
        <v>0.72140000000000004</v>
      </c>
      <c r="E311" s="3130">
        <v>0.72140000000000004</v>
      </c>
      <c r="F311" s="3130">
        <v>0.72140000000000004</v>
      </c>
      <c r="G311" s="3130">
        <v>0.61529999999999996</v>
      </c>
      <c r="H311" s="3130">
        <v>0.61529999999999996</v>
      </c>
      <c r="I311" s="3130">
        <v>0.53490000000000004</v>
      </c>
      <c r="J311" s="3130">
        <v>0.53490000000000004</v>
      </c>
      <c r="K311" s="3130">
        <v>0.53490000000000004</v>
      </c>
      <c r="L311" s="3130">
        <v>0.53490000000000004</v>
      </c>
      <c r="M311" s="3131">
        <v>0.53490000000000004</v>
      </c>
    </row>
    <row r="312" spans="1:13">
      <c r="A312" s="3132">
        <v>4.3</v>
      </c>
      <c r="B312" s="3130">
        <v>0.75700000000000001</v>
      </c>
      <c r="C312" s="3130">
        <v>0.75700000000000001</v>
      </c>
      <c r="D312" s="3130">
        <v>0.7177</v>
      </c>
      <c r="E312" s="3130">
        <v>0.7177</v>
      </c>
      <c r="F312" s="3130">
        <v>0.7177</v>
      </c>
      <c r="G312" s="3130">
        <v>0.61109999999999998</v>
      </c>
      <c r="H312" s="3130">
        <v>0.61109999999999998</v>
      </c>
      <c r="I312" s="3130">
        <v>0.53049999999999997</v>
      </c>
      <c r="J312" s="3130">
        <v>0.53049999999999997</v>
      </c>
      <c r="K312" s="3130">
        <v>0.53049999999999997</v>
      </c>
      <c r="L312" s="3130">
        <v>0.53049999999999997</v>
      </c>
      <c r="M312" s="3131">
        <v>0.53049999999999997</v>
      </c>
    </row>
    <row r="313" spans="1:13">
      <c r="A313" s="3132">
        <v>4.4000000000000004</v>
      </c>
      <c r="B313" s="3130">
        <v>0.754</v>
      </c>
      <c r="C313" s="3130">
        <v>0.754</v>
      </c>
      <c r="D313" s="3130">
        <v>0.71409999999999996</v>
      </c>
      <c r="E313" s="3130">
        <v>0.71409999999999996</v>
      </c>
      <c r="F313" s="3130">
        <v>0.71409999999999996</v>
      </c>
      <c r="G313" s="3130">
        <v>0.60709999999999997</v>
      </c>
      <c r="H313" s="3130">
        <v>0.60709999999999997</v>
      </c>
      <c r="I313" s="3130">
        <v>0.52639999999999998</v>
      </c>
      <c r="J313" s="3130">
        <v>0.52639999999999998</v>
      </c>
      <c r="K313" s="3130">
        <v>0.52639999999999998</v>
      </c>
      <c r="L313" s="3130">
        <v>0.52639999999999998</v>
      </c>
      <c r="M313" s="3131">
        <v>0.52639999999999998</v>
      </c>
    </row>
    <row r="314" spans="1:13">
      <c r="A314" s="3132">
        <v>4.5</v>
      </c>
      <c r="B314" s="3130">
        <v>0.75119999999999998</v>
      </c>
      <c r="C314" s="3130">
        <v>0.75119999999999998</v>
      </c>
      <c r="D314" s="3130">
        <v>0.71079999999999999</v>
      </c>
      <c r="E314" s="3130">
        <v>0.71079999999999999</v>
      </c>
      <c r="F314" s="3130">
        <v>0.71079999999999999</v>
      </c>
      <c r="G314" s="3130">
        <v>0.60329999999999995</v>
      </c>
      <c r="H314" s="3130">
        <v>0.60329999999999995</v>
      </c>
      <c r="I314" s="3130">
        <v>0.52249999999999996</v>
      </c>
      <c r="J314" s="3130">
        <v>0.52249999999999996</v>
      </c>
      <c r="K314" s="3130">
        <v>0.52249999999999996</v>
      </c>
      <c r="L314" s="3130">
        <v>0.52249999999999996</v>
      </c>
      <c r="M314" s="3131">
        <v>0.52249999999999996</v>
      </c>
    </row>
    <row r="315" spans="1:13">
      <c r="A315" s="3132">
        <v>4.5999999999999996</v>
      </c>
      <c r="B315" s="3130">
        <v>0.74860000000000004</v>
      </c>
      <c r="C315" s="3130">
        <v>0.74860000000000004</v>
      </c>
      <c r="D315" s="3130">
        <v>0.70760000000000001</v>
      </c>
      <c r="E315" s="3130">
        <v>0.70760000000000001</v>
      </c>
      <c r="F315" s="3130">
        <v>0.70760000000000001</v>
      </c>
      <c r="G315" s="3130">
        <v>0.59970000000000001</v>
      </c>
      <c r="H315" s="3130">
        <v>0.59970000000000001</v>
      </c>
      <c r="I315" s="3130">
        <v>0.51890000000000003</v>
      </c>
      <c r="J315" s="3130">
        <v>0.51890000000000003</v>
      </c>
      <c r="K315" s="3130">
        <v>0.51890000000000003</v>
      </c>
      <c r="L315" s="3130">
        <v>0.51890000000000003</v>
      </c>
      <c r="M315" s="3131">
        <v>0.51890000000000003</v>
      </c>
    </row>
    <row r="316" spans="1:13">
      <c r="A316" s="3132">
        <v>4.7</v>
      </c>
      <c r="B316" s="3130">
        <v>0.74609999999999999</v>
      </c>
      <c r="C316" s="3130">
        <v>0.74609999999999999</v>
      </c>
      <c r="D316" s="3130">
        <v>0.7046</v>
      </c>
      <c r="E316" s="3130">
        <v>0.7046</v>
      </c>
      <c r="F316" s="3130">
        <v>0.7046</v>
      </c>
      <c r="G316" s="3130">
        <v>0.59630000000000005</v>
      </c>
      <c r="H316" s="3130">
        <v>0.59630000000000005</v>
      </c>
      <c r="I316" s="3130">
        <v>0.51529999999999998</v>
      </c>
      <c r="J316" s="3130">
        <v>0.51529999999999998</v>
      </c>
      <c r="K316" s="3130">
        <v>0.51529999999999998</v>
      </c>
      <c r="L316" s="3130">
        <v>0.51529999999999998</v>
      </c>
      <c r="M316" s="3131">
        <v>0.51529999999999998</v>
      </c>
    </row>
    <row r="317" spans="1:13">
      <c r="A317" s="3132">
        <v>4.8</v>
      </c>
      <c r="B317" s="3130">
        <v>0.74380000000000002</v>
      </c>
      <c r="C317" s="3130">
        <v>0.74380000000000002</v>
      </c>
      <c r="D317" s="3130">
        <v>0.70169999999999999</v>
      </c>
      <c r="E317" s="3130">
        <v>0.70169999999999999</v>
      </c>
      <c r="F317" s="3130">
        <v>0.70169999999999999</v>
      </c>
      <c r="G317" s="3130">
        <v>0.59309999999999996</v>
      </c>
      <c r="H317" s="3130">
        <v>0.59309999999999996</v>
      </c>
      <c r="I317" s="3130">
        <v>0.5121</v>
      </c>
      <c r="J317" s="3130">
        <v>0.5121</v>
      </c>
      <c r="K317" s="3130">
        <v>0.5121</v>
      </c>
      <c r="L317" s="3130">
        <v>0.5121</v>
      </c>
      <c r="M317" s="3131">
        <v>0.5121</v>
      </c>
    </row>
    <row r="318" spans="1:13">
      <c r="A318" s="3132">
        <v>4.9000000000000004</v>
      </c>
      <c r="B318" s="3130">
        <v>0.74160000000000004</v>
      </c>
      <c r="C318" s="3130">
        <v>0.74160000000000004</v>
      </c>
      <c r="D318" s="3130">
        <v>0.69889999999999997</v>
      </c>
      <c r="E318" s="3130">
        <v>0.69889999999999997</v>
      </c>
      <c r="F318" s="3130">
        <v>0.69889999999999997</v>
      </c>
      <c r="G318" s="3130">
        <v>0.59009999999999996</v>
      </c>
      <c r="H318" s="3130">
        <v>0.59009999999999996</v>
      </c>
      <c r="I318" s="3130">
        <v>0.50900000000000001</v>
      </c>
      <c r="J318" s="3130">
        <v>0.50900000000000001</v>
      </c>
      <c r="K318" s="3130">
        <v>0.50900000000000001</v>
      </c>
      <c r="L318" s="3130">
        <v>0.50900000000000001</v>
      </c>
      <c r="M318" s="3131">
        <v>0.50900000000000001</v>
      </c>
    </row>
    <row r="319" spans="1:13">
      <c r="A319" s="3132">
        <v>5</v>
      </c>
      <c r="B319" s="3130">
        <v>0.73950000000000005</v>
      </c>
      <c r="C319" s="3130">
        <v>0.73950000000000005</v>
      </c>
      <c r="D319" s="3130">
        <v>0.69620000000000004</v>
      </c>
      <c r="E319" s="3130">
        <v>0.69620000000000004</v>
      </c>
      <c r="F319" s="3130">
        <v>0.69620000000000004</v>
      </c>
      <c r="G319" s="3130">
        <v>0.58720000000000006</v>
      </c>
      <c r="H319" s="3130">
        <v>0.58720000000000006</v>
      </c>
      <c r="I319" s="3130">
        <v>0.50609999999999999</v>
      </c>
      <c r="J319" s="3130">
        <v>0.50609999999999999</v>
      </c>
      <c r="K319" s="3130">
        <v>0.50609999999999999</v>
      </c>
      <c r="L319" s="3130">
        <v>0.50609999999999999</v>
      </c>
      <c r="M319" s="3131">
        <v>0.50609999999999999</v>
      </c>
    </row>
    <row r="320" spans="1:13">
      <c r="A320" s="3129">
        <v>5.0999999999999996</v>
      </c>
      <c r="B320" s="3130">
        <v>0.73750000000000004</v>
      </c>
      <c r="C320" s="3130">
        <v>0.73750000000000004</v>
      </c>
      <c r="D320" s="3130">
        <v>0.69359999999999999</v>
      </c>
      <c r="E320" s="3130">
        <v>0.69359999999999999</v>
      </c>
      <c r="F320" s="3130">
        <v>0.69359999999999999</v>
      </c>
      <c r="G320" s="3130">
        <v>0.58440000000000003</v>
      </c>
      <c r="H320" s="3130">
        <v>0.58440000000000003</v>
      </c>
      <c r="I320" s="3130">
        <v>0.50329999999999997</v>
      </c>
      <c r="J320" s="3130">
        <v>0.50329999999999997</v>
      </c>
      <c r="K320" s="3130">
        <v>0.50329999999999997</v>
      </c>
      <c r="L320" s="3130">
        <v>0.50329999999999997</v>
      </c>
      <c r="M320" s="3131">
        <v>0.50329999999999997</v>
      </c>
    </row>
    <row r="321" spans="1:13">
      <c r="A321" s="3129">
        <v>5.2</v>
      </c>
      <c r="B321" s="3130">
        <v>0.73560000000000003</v>
      </c>
      <c r="C321" s="3130">
        <v>0.73560000000000003</v>
      </c>
      <c r="D321" s="3130">
        <v>0.69110000000000005</v>
      </c>
      <c r="E321" s="3130">
        <v>0.69110000000000005</v>
      </c>
      <c r="F321" s="3130">
        <v>0.69110000000000005</v>
      </c>
      <c r="G321" s="3130">
        <v>0.58169999999999999</v>
      </c>
      <c r="H321" s="3130">
        <v>0.58169999999999999</v>
      </c>
      <c r="I321" s="3130">
        <v>0.50060000000000004</v>
      </c>
      <c r="J321" s="3130">
        <v>0.50060000000000004</v>
      </c>
      <c r="K321" s="3130">
        <v>0.50060000000000004</v>
      </c>
      <c r="L321" s="3130">
        <v>0.50060000000000004</v>
      </c>
      <c r="M321" s="3131">
        <v>0.50060000000000004</v>
      </c>
    </row>
    <row r="322" spans="1:13">
      <c r="A322" s="3129">
        <v>5.3</v>
      </c>
      <c r="B322" s="3130">
        <v>0.73380000000000001</v>
      </c>
      <c r="C322" s="3130">
        <v>0.73380000000000001</v>
      </c>
      <c r="D322" s="3130">
        <v>0.68869999999999998</v>
      </c>
      <c r="E322" s="3130">
        <v>0.68869999999999998</v>
      </c>
      <c r="F322" s="3130">
        <v>0.68869999999999998</v>
      </c>
      <c r="G322" s="3130">
        <v>0.57909999999999995</v>
      </c>
      <c r="H322" s="3130">
        <v>0.57909999999999995</v>
      </c>
      <c r="I322" s="3130">
        <v>0.49809999999999999</v>
      </c>
      <c r="J322" s="3130">
        <v>0.49809999999999999</v>
      </c>
      <c r="K322" s="3130">
        <v>0.49809999999999999</v>
      </c>
      <c r="L322" s="3130">
        <v>0.49809999999999999</v>
      </c>
      <c r="M322" s="3131">
        <v>0.49809999999999999</v>
      </c>
    </row>
    <row r="323" spans="1:13">
      <c r="A323" s="3129">
        <v>5.4</v>
      </c>
      <c r="B323" s="3130">
        <v>0.73199999999999998</v>
      </c>
      <c r="C323" s="3130">
        <v>0.73199999999999998</v>
      </c>
      <c r="D323" s="3130">
        <v>0.68640000000000001</v>
      </c>
      <c r="E323" s="3130">
        <v>0.68640000000000001</v>
      </c>
      <c r="F323" s="3130">
        <v>0.68640000000000001</v>
      </c>
      <c r="G323" s="3130">
        <v>0.57650000000000001</v>
      </c>
      <c r="H323" s="3130">
        <v>0.57650000000000001</v>
      </c>
      <c r="I323" s="3130">
        <v>0.49559999999999998</v>
      </c>
      <c r="J323" s="3130">
        <v>0.49559999999999998</v>
      </c>
      <c r="K323" s="3130">
        <v>0.49559999999999998</v>
      </c>
      <c r="L323" s="3130">
        <v>0.49559999999999998</v>
      </c>
      <c r="M323" s="3131">
        <v>0.49559999999999998</v>
      </c>
    </row>
    <row r="324" spans="1:13">
      <c r="A324" s="3129">
        <v>5.5</v>
      </c>
      <c r="B324" s="3130">
        <v>0.73009999999999997</v>
      </c>
      <c r="C324" s="3130">
        <v>0.73009999999999997</v>
      </c>
      <c r="D324" s="3130">
        <v>0.68420000000000003</v>
      </c>
      <c r="E324" s="3130">
        <v>0.68420000000000003</v>
      </c>
      <c r="F324" s="3130">
        <v>0.68420000000000003</v>
      </c>
      <c r="G324" s="3130">
        <v>0.57399999999999995</v>
      </c>
      <c r="H324" s="3130">
        <v>0.57399999999999995</v>
      </c>
      <c r="I324" s="3130">
        <v>0.49320000000000003</v>
      </c>
      <c r="J324" s="3130">
        <v>0.49320000000000003</v>
      </c>
      <c r="K324" s="3130">
        <v>0.49320000000000003</v>
      </c>
      <c r="L324" s="3130">
        <v>0.49320000000000003</v>
      </c>
      <c r="M324" s="3131">
        <v>0.49320000000000003</v>
      </c>
    </row>
    <row r="325" spans="1:13">
      <c r="A325" s="3129">
        <v>5.6</v>
      </c>
      <c r="B325" s="3130">
        <v>0.72819999999999996</v>
      </c>
      <c r="C325" s="3130">
        <v>0.72819999999999996</v>
      </c>
      <c r="D325" s="3130">
        <v>0.68200000000000005</v>
      </c>
      <c r="E325" s="3130">
        <v>0.68200000000000005</v>
      </c>
      <c r="F325" s="3130">
        <v>0.68200000000000005</v>
      </c>
      <c r="G325" s="3130">
        <v>0.57150000000000001</v>
      </c>
      <c r="H325" s="3130">
        <v>0.57150000000000001</v>
      </c>
      <c r="I325" s="3130">
        <v>0.49080000000000001</v>
      </c>
      <c r="J325" s="3130">
        <v>0.49080000000000001</v>
      </c>
      <c r="K325" s="3130">
        <v>0.49080000000000001</v>
      </c>
      <c r="L325" s="3130">
        <v>0.49080000000000001</v>
      </c>
      <c r="M325" s="3131">
        <v>0.49080000000000001</v>
      </c>
    </row>
    <row r="326" spans="1:13">
      <c r="A326" s="3132">
        <v>5.7</v>
      </c>
      <c r="B326" s="3130">
        <v>0.72640000000000005</v>
      </c>
      <c r="C326" s="3130">
        <v>0.72640000000000005</v>
      </c>
      <c r="D326" s="3130">
        <v>0.67989999999999995</v>
      </c>
      <c r="E326" s="3130">
        <v>0.67989999999999995</v>
      </c>
      <c r="F326" s="3130">
        <v>0.67989999999999995</v>
      </c>
      <c r="G326" s="3130">
        <v>0.56899999999999995</v>
      </c>
      <c r="H326" s="3130">
        <v>0.56899999999999995</v>
      </c>
      <c r="I326" s="3130">
        <v>0.4884</v>
      </c>
      <c r="J326" s="3130">
        <v>0.4884</v>
      </c>
      <c r="K326" s="3130">
        <v>0.4884</v>
      </c>
      <c r="L326" s="3130">
        <v>0.4884</v>
      </c>
      <c r="M326" s="3131">
        <v>0.4884</v>
      </c>
    </row>
    <row r="327" spans="1:13">
      <c r="A327" s="3129">
        <v>5.8</v>
      </c>
      <c r="B327" s="3130">
        <v>0.72460000000000002</v>
      </c>
      <c r="C327" s="3130">
        <v>0.72460000000000002</v>
      </c>
      <c r="D327" s="3130">
        <v>0.67779999999999996</v>
      </c>
      <c r="E327" s="3130">
        <v>0.67779999999999996</v>
      </c>
      <c r="F327" s="3130">
        <v>0.67779999999999996</v>
      </c>
      <c r="G327" s="3130">
        <v>0.56659999999999999</v>
      </c>
      <c r="H327" s="3130">
        <v>0.56659999999999999</v>
      </c>
      <c r="I327" s="3130">
        <v>0.48609999999999998</v>
      </c>
      <c r="J327" s="3130">
        <v>0.48609999999999998</v>
      </c>
      <c r="K327" s="3130">
        <v>0.48609999999999998</v>
      </c>
      <c r="L327" s="3130">
        <v>0.48609999999999998</v>
      </c>
      <c r="M327" s="3131">
        <v>0.48609999999999998</v>
      </c>
    </row>
    <row r="328" spans="1:13">
      <c r="A328" s="3129">
        <v>5.9</v>
      </c>
      <c r="B328" s="3130">
        <v>0.7228</v>
      </c>
      <c r="C328" s="3130">
        <v>0.7228</v>
      </c>
      <c r="D328" s="3130">
        <v>0.67569999999999997</v>
      </c>
      <c r="E328" s="3130">
        <v>0.67569999999999997</v>
      </c>
      <c r="F328" s="3130">
        <v>0.67569999999999997</v>
      </c>
      <c r="G328" s="3130">
        <v>0.56420000000000003</v>
      </c>
      <c r="H328" s="3130">
        <v>0.56420000000000003</v>
      </c>
      <c r="I328" s="3130">
        <v>0.48380000000000001</v>
      </c>
      <c r="J328" s="3130">
        <v>0.48380000000000001</v>
      </c>
      <c r="K328" s="3130">
        <v>0.48380000000000001</v>
      </c>
      <c r="L328" s="3130">
        <v>0.48380000000000001</v>
      </c>
      <c r="M328" s="3131">
        <v>0.48380000000000001</v>
      </c>
    </row>
    <row r="329" spans="1:13">
      <c r="A329" s="3129">
        <v>6</v>
      </c>
      <c r="B329" s="3130">
        <v>0.72099999999999997</v>
      </c>
      <c r="C329" s="3130">
        <v>0.72099999999999997</v>
      </c>
      <c r="D329" s="3130">
        <v>0.67359999999999998</v>
      </c>
      <c r="E329" s="3130">
        <v>0.67359999999999998</v>
      </c>
      <c r="F329" s="3130">
        <v>0.67359999999999998</v>
      </c>
      <c r="G329" s="3130">
        <v>0.56179999999999997</v>
      </c>
      <c r="H329" s="3130">
        <v>0.56179999999999997</v>
      </c>
      <c r="I329" s="3130">
        <v>0.48159999999999997</v>
      </c>
      <c r="J329" s="3130">
        <v>0.48159999999999997</v>
      </c>
      <c r="K329" s="3130">
        <v>0.48159999999999997</v>
      </c>
      <c r="L329" s="3130">
        <v>0.48159999999999997</v>
      </c>
      <c r="M329" s="3131">
        <v>0.48159999999999997</v>
      </c>
    </row>
    <row r="330" spans="1:13">
      <c r="A330" s="3129">
        <v>6.1</v>
      </c>
      <c r="B330" s="3130">
        <v>0.71930000000000005</v>
      </c>
      <c r="C330" s="3130">
        <v>0.71930000000000005</v>
      </c>
      <c r="D330" s="3130">
        <v>0.67159999999999997</v>
      </c>
      <c r="E330" s="3130">
        <v>0.67159999999999997</v>
      </c>
      <c r="F330" s="3130">
        <v>0.67159999999999997</v>
      </c>
      <c r="G330" s="3130">
        <v>0.55940000000000001</v>
      </c>
      <c r="H330" s="3130">
        <v>0.55940000000000001</v>
      </c>
      <c r="I330" s="3130">
        <v>0.4793</v>
      </c>
      <c r="J330" s="3130">
        <v>0.4793</v>
      </c>
      <c r="K330" s="3130">
        <v>0.4793</v>
      </c>
      <c r="L330" s="3130">
        <v>0.4793</v>
      </c>
      <c r="M330" s="3131">
        <v>0.4793</v>
      </c>
    </row>
    <row r="331" spans="1:13">
      <c r="A331" s="3129">
        <v>6.2</v>
      </c>
      <c r="B331" s="3130">
        <v>0.71760000000000002</v>
      </c>
      <c r="C331" s="3130">
        <v>0.71760000000000002</v>
      </c>
      <c r="D331" s="3130">
        <v>0.66959999999999997</v>
      </c>
      <c r="E331" s="3130">
        <v>0.66959999999999997</v>
      </c>
      <c r="F331" s="3130">
        <v>0.66959999999999997</v>
      </c>
      <c r="G331" s="3130">
        <v>0.55710000000000004</v>
      </c>
      <c r="H331" s="3130">
        <v>0.55710000000000004</v>
      </c>
      <c r="I331" s="3130">
        <v>0.47710000000000002</v>
      </c>
      <c r="J331" s="3130">
        <v>0.47710000000000002</v>
      </c>
      <c r="K331" s="3130">
        <v>0.47710000000000002</v>
      </c>
      <c r="L331" s="3130">
        <v>0.47710000000000002</v>
      </c>
      <c r="M331" s="3131">
        <v>0.47710000000000002</v>
      </c>
    </row>
    <row r="332" spans="1:13">
      <c r="A332" s="3129">
        <v>6.3</v>
      </c>
      <c r="B332" s="3130">
        <v>0.71589999999999998</v>
      </c>
      <c r="C332" s="3130">
        <v>0.71589999999999998</v>
      </c>
      <c r="D332" s="3130">
        <v>0.66759999999999997</v>
      </c>
      <c r="E332" s="3130">
        <v>0.66759999999999997</v>
      </c>
      <c r="F332" s="3130">
        <v>0.66759999999999997</v>
      </c>
      <c r="G332" s="3130">
        <v>0.55479999999999996</v>
      </c>
      <c r="H332" s="3130">
        <v>0.55479999999999996</v>
      </c>
      <c r="I332" s="3130">
        <v>0.47489999999999999</v>
      </c>
      <c r="J332" s="3130">
        <v>0.47489999999999999</v>
      </c>
      <c r="K332" s="3130">
        <v>0.47489999999999999</v>
      </c>
      <c r="L332" s="3130">
        <v>0.47489999999999999</v>
      </c>
      <c r="M332" s="3131">
        <v>0.47489999999999999</v>
      </c>
    </row>
    <row r="333" spans="1:13">
      <c r="A333" s="3129">
        <v>6.4</v>
      </c>
      <c r="B333" s="3130">
        <v>0.71419999999999995</v>
      </c>
      <c r="C333" s="3130">
        <v>0.71419999999999995</v>
      </c>
      <c r="D333" s="3130">
        <v>0.66559999999999997</v>
      </c>
      <c r="E333" s="3130">
        <v>0.66559999999999997</v>
      </c>
      <c r="F333" s="3130">
        <v>0.66559999999999997</v>
      </c>
      <c r="G333" s="3130">
        <v>0.55249999999999999</v>
      </c>
      <c r="H333" s="3130">
        <v>0.55249999999999999</v>
      </c>
      <c r="I333" s="3130">
        <v>0.47270000000000001</v>
      </c>
      <c r="J333" s="3130">
        <v>0.47270000000000001</v>
      </c>
      <c r="K333" s="3130">
        <v>0.47270000000000001</v>
      </c>
      <c r="L333" s="3130">
        <v>0.47270000000000001</v>
      </c>
      <c r="M333" s="3131">
        <v>0.47270000000000001</v>
      </c>
    </row>
    <row r="334" spans="1:13">
      <c r="A334" s="3129">
        <v>6.5</v>
      </c>
      <c r="B334" s="3130">
        <v>0.71250000000000002</v>
      </c>
      <c r="C334" s="3130">
        <v>0.71250000000000002</v>
      </c>
      <c r="D334" s="3130">
        <v>0.66359999999999997</v>
      </c>
      <c r="E334" s="3130">
        <v>0.66359999999999997</v>
      </c>
      <c r="F334" s="3130">
        <v>0.66359999999999997</v>
      </c>
      <c r="G334" s="3130">
        <v>0.55020000000000002</v>
      </c>
      <c r="H334" s="3130">
        <v>0.55020000000000002</v>
      </c>
      <c r="I334" s="3130">
        <v>0.47060000000000002</v>
      </c>
      <c r="J334" s="3130">
        <v>0.47060000000000002</v>
      </c>
      <c r="K334" s="3130">
        <v>0.47060000000000002</v>
      </c>
      <c r="L334" s="3130">
        <v>0.47060000000000002</v>
      </c>
      <c r="M334" s="3131">
        <v>0.47060000000000002</v>
      </c>
    </row>
    <row r="335" spans="1:13">
      <c r="A335" s="3129">
        <v>6.6</v>
      </c>
      <c r="B335" s="3130">
        <v>0.71089999999999998</v>
      </c>
      <c r="C335" s="3130">
        <v>0.71089999999999998</v>
      </c>
      <c r="D335" s="3130">
        <v>0.66159999999999997</v>
      </c>
      <c r="E335" s="3130">
        <v>0.66159999999999997</v>
      </c>
      <c r="F335" s="3130">
        <v>0.66159999999999997</v>
      </c>
      <c r="G335" s="3130">
        <v>0.54800000000000004</v>
      </c>
      <c r="H335" s="3130">
        <v>0.54800000000000004</v>
      </c>
      <c r="I335" s="3130">
        <v>0.46839999999999998</v>
      </c>
      <c r="J335" s="3130">
        <v>0.46839999999999998</v>
      </c>
      <c r="K335" s="3130">
        <v>0.46839999999999998</v>
      </c>
      <c r="L335" s="3130">
        <v>0.46839999999999998</v>
      </c>
      <c r="M335" s="3131">
        <v>0.46839999999999998</v>
      </c>
    </row>
    <row r="336" spans="1:13">
      <c r="A336" s="3129">
        <v>6.7</v>
      </c>
      <c r="B336" s="3130">
        <v>0.70930000000000004</v>
      </c>
      <c r="C336" s="3130">
        <v>0.70930000000000004</v>
      </c>
      <c r="D336" s="3130">
        <v>0.65969999999999995</v>
      </c>
      <c r="E336" s="3130">
        <v>0.65969999999999995</v>
      </c>
      <c r="F336" s="3130">
        <v>0.65969999999999995</v>
      </c>
      <c r="G336" s="3130">
        <v>0.54579999999999995</v>
      </c>
      <c r="H336" s="3130">
        <v>0.54579999999999995</v>
      </c>
      <c r="I336" s="3130">
        <v>0.46629999999999999</v>
      </c>
      <c r="J336" s="3130">
        <v>0.46629999999999999</v>
      </c>
      <c r="K336" s="3130">
        <v>0.46629999999999999</v>
      </c>
      <c r="L336" s="3130">
        <v>0.46629999999999999</v>
      </c>
      <c r="M336" s="3131">
        <v>0.46629999999999999</v>
      </c>
    </row>
    <row r="337" spans="1:13">
      <c r="A337" s="3129">
        <v>6.8</v>
      </c>
      <c r="B337" s="3130">
        <v>0.7077</v>
      </c>
      <c r="C337" s="3130">
        <v>0.7077</v>
      </c>
      <c r="D337" s="3130">
        <v>0.65780000000000005</v>
      </c>
      <c r="E337" s="3130">
        <v>0.65780000000000005</v>
      </c>
      <c r="F337" s="3130">
        <v>0.65780000000000005</v>
      </c>
      <c r="G337" s="3130">
        <v>0.54359999999999997</v>
      </c>
      <c r="H337" s="3130">
        <v>0.54359999999999997</v>
      </c>
      <c r="I337" s="3130">
        <v>0.46410000000000001</v>
      </c>
      <c r="J337" s="3130">
        <v>0.46410000000000001</v>
      </c>
      <c r="K337" s="3130">
        <v>0.46410000000000001</v>
      </c>
      <c r="L337" s="3130">
        <v>0.46410000000000001</v>
      </c>
      <c r="M337" s="3131">
        <v>0.46410000000000001</v>
      </c>
    </row>
    <row r="338" spans="1:13">
      <c r="A338" s="3129">
        <v>6.9</v>
      </c>
      <c r="B338" s="3130">
        <v>0.70609999999999995</v>
      </c>
      <c r="C338" s="3130">
        <v>0.70609999999999995</v>
      </c>
      <c r="D338" s="3130">
        <v>0.65590000000000004</v>
      </c>
      <c r="E338" s="3130">
        <v>0.65590000000000004</v>
      </c>
      <c r="F338" s="3130">
        <v>0.65590000000000004</v>
      </c>
      <c r="G338" s="3130">
        <v>0.54139999999999999</v>
      </c>
      <c r="H338" s="3130">
        <v>0.54139999999999999</v>
      </c>
      <c r="I338" s="3130">
        <v>0.46200000000000002</v>
      </c>
      <c r="J338" s="3130">
        <v>0.46200000000000002</v>
      </c>
      <c r="K338" s="3130">
        <v>0.46200000000000002</v>
      </c>
      <c r="L338" s="3130">
        <v>0.46200000000000002</v>
      </c>
      <c r="M338" s="3131">
        <v>0.46200000000000002</v>
      </c>
    </row>
    <row r="339" spans="1:13">
      <c r="A339" s="3129">
        <v>7</v>
      </c>
      <c r="B339" s="3130">
        <v>0.70450000000000002</v>
      </c>
      <c r="C339" s="3130">
        <v>0.70450000000000002</v>
      </c>
      <c r="D339" s="3130">
        <v>0.65400000000000003</v>
      </c>
      <c r="E339" s="3130">
        <v>0.65400000000000003</v>
      </c>
      <c r="F339" s="3130">
        <v>0.65400000000000003</v>
      </c>
      <c r="G339" s="3130">
        <v>0.53920000000000001</v>
      </c>
      <c r="H339" s="3130">
        <v>0.53920000000000001</v>
      </c>
      <c r="I339" s="3130">
        <v>0.45979999999999999</v>
      </c>
      <c r="J339" s="3130">
        <v>0.45979999999999999</v>
      </c>
      <c r="K339" s="3130">
        <v>0.45979999999999999</v>
      </c>
      <c r="L339" s="3130">
        <v>0.45979999999999999</v>
      </c>
      <c r="M339" s="3131">
        <v>0.45979999999999999</v>
      </c>
    </row>
    <row r="340" spans="1:13">
      <c r="A340" s="3129">
        <v>7.1</v>
      </c>
      <c r="B340" s="3130">
        <v>0.70289999999999997</v>
      </c>
      <c r="C340" s="3130">
        <v>0.70289999999999997</v>
      </c>
      <c r="D340" s="3130">
        <v>0.65210000000000001</v>
      </c>
      <c r="E340" s="3130">
        <v>0.65210000000000001</v>
      </c>
      <c r="F340" s="3130">
        <v>0.65210000000000001</v>
      </c>
      <c r="G340" s="3130">
        <v>0.53710000000000002</v>
      </c>
      <c r="H340" s="3130">
        <v>0.53710000000000002</v>
      </c>
      <c r="I340" s="3130">
        <v>0.45779999999999998</v>
      </c>
      <c r="J340" s="3130">
        <v>0.45779999999999998</v>
      </c>
      <c r="K340" s="3130">
        <v>0.45779999999999998</v>
      </c>
      <c r="L340" s="3130">
        <v>0.45779999999999998</v>
      </c>
      <c r="M340" s="3131">
        <v>0.45779999999999998</v>
      </c>
    </row>
    <row r="341" spans="1:13">
      <c r="A341" s="3129">
        <v>7.2</v>
      </c>
      <c r="B341" s="3130">
        <v>0.70140000000000002</v>
      </c>
      <c r="C341" s="3130">
        <v>0.70140000000000002</v>
      </c>
      <c r="D341" s="3130">
        <v>0.6502</v>
      </c>
      <c r="E341" s="3130">
        <v>0.6502</v>
      </c>
      <c r="F341" s="3130">
        <v>0.6502</v>
      </c>
      <c r="G341" s="3130">
        <v>0.53500000000000003</v>
      </c>
      <c r="H341" s="3130">
        <v>0.53500000000000003</v>
      </c>
      <c r="I341" s="3130">
        <v>0.45569999999999999</v>
      </c>
      <c r="J341" s="3130">
        <v>0.45569999999999999</v>
      </c>
      <c r="K341" s="3130">
        <v>0.45569999999999999</v>
      </c>
      <c r="L341" s="3130">
        <v>0.45569999999999999</v>
      </c>
      <c r="M341" s="3131">
        <v>0.45569999999999999</v>
      </c>
    </row>
    <row r="342" spans="1:13">
      <c r="A342" s="3129">
        <v>7.3</v>
      </c>
      <c r="B342" s="3130">
        <v>0.69989999999999997</v>
      </c>
      <c r="C342" s="3130">
        <v>0.69989999999999997</v>
      </c>
      <c r="D342" s="3130">
        <v>0.64829999999999999</v>
      </c>
      <c r="E342" s="3130">
        <v>0.64829999999999999</v>
      </c>
      <c r="F342" s="3130">
        <v>0.64829999999999999</v>
      </c>
      <c r="G342" s="3130">
        <v>0.53290000000000004</v>
      </c>
      <c r="H342" s="3130">
        <v>0.53290000000000004</v>
      </c>
      <c r="I342" s="3130">
        <v>0.45369999999999999</v>
      </c>
      <c r="J342" s="3130">
        <v>0.45369999999999999</v>
      </c>
      <c r="K342" s="3130">
        <v>0.45369999999999999</v>
      </c>
      <c r="L342" s="3130">
        <v>0.45369999999999999</v>
      </c>
      <c r="M342" s="3131">
        <v>0.45369999999999999</v>
      </c>
    </row>
    <row r="343" spans="1:13">
      <c r="A343" s="3129">
        <v>7.4</v>
      </c>
      <c r="B343" s="3130">
        <v>0.69840000000000002</v>
      </c>
      <c r="C343" s="3130">
        <v>0.69840000000000002</v>
      </c>
      <c r="D343" s="3130">
        <v>0.64649999999999996</v>
      </c>
      <c r="E343" s="3130">
        <v>0.64649999999999996</v>
      </c>
      <c r="F343" s="3130">
        <v>0.64649999999999996</v>
      </c>
      <c r="G343" s="3130">
        <v>0.53080000000000005</v>
      </c>
      <c r="H343" s="3130">
        <v>0.53080000000000005</v>
      </c>
      <c r="I343" s="3130">
        <v>0.4516</v>
      </c>
      <c r="J343" s="3130">
        <v>0.4516</v>
      </c>
      <c r="K343" s="3130">
        <v>0.4516</v>
      </c>
      <c r="L343" s="3130">
        <v>0.4516</v>
      </c>
      <c r="M343" s="3131">
        <v>0.4516</v>
      </c>
    </row>
    <row r="344" spans="1:13">
      <c r="A344" s="3129">
        <v>7.5</v>
      </c>
      <c r="B344" s="3130">
        <v>0.69689999999999996</v>
      </c>
      <c r="C344" s="3130">
        <v>0.69689999999999996</v>
      </c>
      <c r="D344" s="3130">
        <v>0.64470000000000005</v>
      </c>
      <c r="E344" s="3130">
        <v>0.64470000000000005</v>
      </c>
      <c r="F344" s="3130">
        <v>0.64470000000000005</v>
      </c>
      <c r="G344" s="3130">
        <v>0.52869999999999995</v>
      </c>
      <c r="H344" s="3130">
        <v>0.52869999999999995</v>
      </c>
      <c r="I344" s="3130">
        <v>0.44950000000000001</v>
      </c>
      <c r="J344" s="3130">
        <v>0.44950000000000001</v>
      </c>
      <c r="K344" s="3130">
        <v>0.44950000000000001</v>
      </c>
      <c r="L344" s="3130">
        <v>0.44950000000000001</v>
      </c>
      <c r="M344" s="3131">
        <v>0.44950000000000001</v>
      </c>
    </row>
    <row r="345" spans="1:13">
      <c r="A345" s="3129">
        <v>7.6</v>
      </c>
      <c r="B345" s="3130">
        <v>0.69540000000000002</v>
      </c>
      <c r="C345" s="3130">
        <v>0.69540000000000002</v>
      </c>
      <c r="D345" s="3130">
        <v>0.64290000000000003</v>
      </c>
      <c r="E345" s="3130">
        <v>0.64290000000000003</v>
      </c>
      <c r="F345" s="3130">
        <v>0.64290000000000003</v>
      </c>
      <c r="G345" s="3130">
        <v>0.52659999999999996</v>
      </c>
      <c r="H345" s="3130">
        <v>0.52659999999999996</v>
      </c>
      <c r="I345" s="3130">
        <v>0.44750000000000001</v>
      </c>
      <c r="J345" s="3130">
        <v>0.44750000000000001</v>
      </c>
      <c r="K345" s="3130">
        <v>0.44750000000000001</v>
      </c>
      <c r="L345" s="3130">
        <v>0.44750000000000001</v>
      </c>
      <c r="M345" s="3131">
        <v>0.44750000000000001</v>
      </c>
    </row>
    <row r="346" spans="1:13">
      <c r="A346" s="3129">
        <v>7.7</v>
      </c>
      <c r="B346" s="3130">
        <v>0.69389999999999996</v>
      </c>
      <c r="C346" s="3130">
        <v>0.69389999999999996</v>
      </c>
      <c r="D346" s="3130">
        <v>0.6411</v>
      </c>
      <c r="E346" s="3130">
        <v>0.6411</v>
      </c>
      <c r="F346" s="3130">
        <v>0.6411</v>
      </c>
      <c r="G346" s="3130">
        <v>0.52459999999999996</v>
      </c>
      <c r="H346" s="3130">
        <v>0.52459999999999996</v>
      </c>
      <c r="I346" s="3130">
        <v>0.44540000000000002</v>
      </c>
      <c r="J346" s="3130">
        <v>0.44540000000000002</v>
      </c>
      <c r="K346" s="3130">
        <v>0.44540000000000002</v>
      </c>
      <c r="L346" s="3130">
        <v>0.44540000000000002</v>
      </c>
      <c r="M346" s="3131">
        <v>0.44540000000000002</v>
      </c>
    </row>
    <row r="347" spans="1:13">
      <c r="A347" s="3129">
        <v>7.8</v>
      </c>
      <c r="B347" s="3130">
        <v>0.69240000000000002</v>
      </c>
      <c r="C347" s="3130">
        <v>0.69240000000000002</v>
      </c>
      <c r="D347" s="3130">
        <v>0.63929999999999998</v>
      </c>
      <c r="E347" s="3130">
        <v>0.63929999999999998</v>
      </c>
      <c r="F347" s="3130">
        <v>0.63929999999999998</v>
      </c>
      <c r="G347" s="3130">
        <v>0.52259999999999995</v>
      </c>
      <c r="H347" s="3130">
        <v>0.52259999999999995</v>
      </c>
      <c r="I347" s="3130">
        <v>0.44340000000000002</v>
      </c>
      <c r="J347" s="3130">
        <v>0.44340000000000002</v>
      </c>
      <c r="K347" s="3130">
        <v>0.44340000000000002</v>
      </c>
      <c r="L347" s="3130">
        <v>0.44340000000000002</v>
      </c>
      <c r="M347" s="3131">
        <v>0.44340000000000002</v>
      </c>
    </row>
    <row r="348" spans="1:13">
      <c r="A348" s="3129">
        <v>7.9</v>
      </c>
      <c r="B348" s="3130">
        <v>0.69099999999999995</v>
      </c>
      <c r="C348" s="3130">
        <v>0.69099999999999995</v>
      </c>
      <c r="D348" s="3130">
        <v>0.63749999999999996</v>
      </c>
      <c r="E348" s="3130">
        <v>0.63749999999999996</v>
      </c>
      <c r="F348" s="3130">
        <v>0.63749999999999996</v>
      </c>
      <c r="G348" s="3130">
        <v>0.52059999999999995</v>
      </c>
      <c r="H348" s="3130">
        <v>0.52059999999999995</v>
      </c>
      <c r="I348" s="3130">
        <v>0.44130000000000003</v>
      </c>
      <c r="J348" s="3130">
        <v>0.44130000000000003</v>
      </c>
      <c r="K348" s="3130">
        <v>0.44130000000000003</v>
      </c>
      <c r="L348" s="3130">
        <v>0.44130000000000003</v>
      </c>
      <c r="M348" s="3131">
        <v>0.44130000000000003</v>
      </c>
    </row>
    <row r="349" spans="1:13">
      <c r="A349" s="3129">
        <v>8</v>
      </c>
      <c r="B349" s="3130">
        <v>0.68959999999999999</v>
      </c>
      <c r="C349" s="3130">
        <v>0.68959999999999999</v>
      </c>
      <c r="D349" s="3130">
        <v>0.63570000000000004</v>
      </c>
      <c r="E349" s="3130">
        <v>0.63570000000000004</v>
      </c>
      <c r="F349" s="3130">
        <v>0.63570000000000004</v>
      </c>
      <c r="G349" s="3130">
        <v>0.51859999999999995</v>
      </c>
      <c r="H349" s="3130">
        <v>0.51859999999999995</v>
      </c>
      <c r="I349" s="3130">
        <v>0.43919999999999998</v>
      </c>
      <c r="J349" s="3130">
        <v>0.43919999999999998</v>
      </c>
      <c r="K349" s="3130">
        <v>0.43919999999999998</v>
      </c>
      <c r="L349" s="3130">
        <v>0.43919999999999998</v>
      </c>
      <c r="M349" s="3131">
        <v>0.43919999999999998</v>
      </c>
    </row>
    <row r="350" spans="1:13">
      <c r="A350" s="3129">
        <v>8.1</v>
      </c>
      <c r="B350" s="3130">
        <v>0.68820000000000003</v>
      </c>
      <c r="C350" s="3130">
        <v>0.68820000000000003</v>
      </c>
      <c r="D350" s="3130">
        <v>0.63390000000000002</v>
      </c>
      <c r="E350" s="3130">
        <v>0.63390000000000002</v>
      </c>
      <c r="F350" s="3130">
        <v>0.63390000000000002</v>
      </c>
      <c r="G350" s="3130">
        <v>0.51659999999999995</v>
      </c>
      <c r="H350" s="3130">
        <v>0.51659999999999995</v>
      </c>
      <c r="I350" s="3130">
        <v>0.43730000000000002</v>
      </c>
      <c r="J350" s="3130">
        <v>0.43730000000000002</v>
      </c>
      <c r="K350" s="3130">
        <v>0.43730000000000002</v>
      </c>
      <c r="L350" s="3130">
        <v>0.43730000000000002</v>
      </c>
      <c r="M350" s="3131">
        <v>0.43730000000000002</v>
      </c>
    </row>
    <row r="351" spans="1:13">
      <c r="A351" s="3129">
        <v>8.1999999999999993</v>
      </c>
      <c r="B351" s="3130">
        <v>0.68679999999999997</v>
      </c>
      <c r="C351" s="3130">
        <v>0.68679999999999997</v>
      </c>
      <c r="D351" s="3130">
        <v>0.63219999999999998</v>
      </c>
      <c r="E351" s="3130">
        <v>0.63219999999999998</v>
      </c>
      <c r="F351" s="3130">
        <v>0.63219999999999998</v>
      </c>
      <c r="G351" s="3130">
        <v>0.51459999999999995</v>
      </c>
      <c r="H351" s="3130">
        <v>0.51459999999999995</v>
      </c>
      <c r="I351" s="3130">
        <v>0.43530000000000002</v>
      </c>
      <c r="J351" s="3130">
        <v>0.43530000000000002</v>
      </c>
      <c r="K351" s="3130">
        <v>0.43530000000000002</v>
      </c>
      <c r="L351" s="3130">
        <v>0.43530000000000002</v>
      </c>
      <c r="M351" s="3131">
        <v>0.43530000000000002</v>
      </c>
    </row>
    <row r="352" spans="1:13">
      <c r="A352" s="3129">
        <v>8.3000000000000007</v>
      </c>
      <c r="B352" s="3130">
        <v>0.68540000000000001</v>
      </c>
      <c r="C352" s="3130">
        <v>0.68540000000000001</v>
      </c>
      <c r="D352" s="3130">
        <v>0.63049999999999995</v>
      </c>
      <c r="E352" s="3130">
        <v>0.63049999999999995</v>
      </c>
      <c r="F352" s="3130">
        <v>0.63049999999999995</v>
      </c>
      <c r="G352" s="3130">
        <v>0.51259999999999994</v>
      </c>
      <c r="H352" s="3130">
        <v>0.51259999999999994</v>
      </c>
      <c r="I352" s="3130">
        <v>0.43330000000000002</v>
      </c>
      <c r="J352" s="3130">
        <v>0.43330000000000002</v>
      </c>
      <c r="K352" s="3130">
        <v>0.43330000000000002</v>
      </c>
      <c r="L352" s="3130">
        <v>0.43330000000000002</v>
      </c>
      <c r="M352" s="3131">
        <v>0.43330000000000002</v>
      </c>
    </row>
    <row r="353" spans="1:13">
      <c r="A353" s="3129">
        <v>8.4</v>
      </c>
      <c r="B353" s="3130">
        <v>0.68400000000000005</v>
      </c>
      <c r="C353" s="3130">
        <v>0.68400000000000005</v>
      </c>
      <c r="D353" s="3130">
        <v>0.62880000000000003</v>
      </c>
      <c r="E353" s="3130">
        <v>0.62880000000000003</v>
      </c>
      <c r="F353" s="3130">
        <v>0.62880000000000003</v>
      </c>
      <c r="G353" s="3130">
        <v>0.51070000000000004</v>
      </c>
      <c r="H353" s="3130">
        <v>0.51070000000000004</v>
      </c>
      <c r="I353" s="3130">
        <v>0.43130000000000002</v>
      </c>
      <c r="J353" s="3130">
        <v>0.43130000000000002</v>
      </c>
      <c r="K353" s="3130">
        <v>0.43130000000000002</v>
      </c>
      <c r="L353" s="3130">
        <v>0.43130000000000002</v>
      </c>
      <c r="M353" s="3131">
        <v>0.43130000000000002</v>
      </c>
    </row>
    <row r="354" spans="1:13">
      <c r="A354" s="3129">
        <v>8.5</v>
      </c>
      <c r="B354" s="3130">
        <v>0.68259999999999998</v>
      </c>
      <c r="C354" s="3130">
        <v>0.68259999999999998</v>
      </c>
      <c r="D354" s="3130">
        <v>0.62709999999999999</v>
      </c>
      <c r="E354" s="3130">
        <v>0.62709999999999999</v>
      </c>
      <c r="F354" s="3130">
        <v>0.62709999999999999</v>
      </c>
      <c r="G354" s="3130">
        <v>0.50880000000000003</v>
      </c>
      <c r="H354" s="3130">
        <v>0.50880000000000003</v>
      </c>
      <c r="I354" s="3130">
        <v>0.4294</v>
      </c>
      <c r="J354" s="3130">
        <v>0.4294</v>
      </c>
      <c r="K354" s="3130">
        <v>0.4294</v>
      </c>
      <c r="L354" s="3130">
        <v>0.4294</v>
      </c>
      <c r="M354" s="3131">
        <v>0.4294</v>
      </c>
    </row>
    <row r="355" spans="1:13">
      <c r="A355" s="3129">
        <v>8.6</v>
      </c>
      <c r="B355" s="3130">
        <v>0.68120000000000003</v>
      </c>
      <c r="C355" s="3130">
        <v>0.68120000000000003</v>
      </c>
      <c r="D355" s="3130">
        <v>0.62539999999999996</v>
      </c>
      <c r="E355" s="3130">
        <v>0.62539999999999996</v>
      </c>
      <c r="F355" s="3130">
        <v>0.62539999999999996</v>
      </c>
      <c r="G355" s="3130">
        <v>0.50690000000000002</v>
      </c>
      <c r="H355" s="3130">
        <v>0.50690000000000002</v>
      </c>
      <c r="I355" s="3130">
        <v>0.4274</v>
      </c>
      <c r="J355" s="3130">
        <v>0.4274</v>
      </c>
      <c r="K355" s="3130">
        <v>0.4274</v>
      </c>
      <c r="L355" s="3130">
        <v>0.4274</v>
      </c>
      <c r="M355" s="3131">
        <v>0.4274</v>
      </c>
    </row>
    <row r="356" spans="1:13">
      <c r="A356" s="3129">
        <v>8.6999999999999993</v>
      </c>
      <c r="B356" s="3130">
        <v>0.67989999999999995</v>
      </c>
      <c r="C356" s="3130">
        <v>0.67989999999999995</v>
      </c>
      <c r="D356" s="3130">
        <v>0.62370000000000003</v>
      </c>
      <c r="E356" s="3130">
        <v>0.62370000000000003</v>
      </c>
      <c r="F356" s="3130">
        <v>0.62370000000000003</v>
      </c>
      <c r="G356" s="3130">
        <v>0.505</v>
      </c>
      <c r="H356" s="3130">
        <v>0.505</v>
      </c>
      <c r="I356" s="3130">
        <v>0.4254</v>
      </c>
      <c r="J356" s="3130">
        <v>0.4254</v>
      </c>
      <c r="K356" s="3130">
        <v>0.4254</v>
      </c>
      <c r="L356" s="3130">
        <v>0.4254</v>
      </c>
      <c r="M356" s="3131">
        <v>0.4254</v>
      </c>
    </row>
    <row r="357" spans="1:13">
      <c r="A357" s="3129">
        <v>8.8000000000000007</v>
      </c>
      <c r="B357" s="3130">
        <v>0.67859999999999998</v>
      </c>
      <c r="C357" s="3130">
        <v>0.67859999999999998</v>
      </c>
      <c r="D357" s="3130">
        <v>0.622</v>
      </c>
      <c r="E357" s="3130">
        <v>0.622</v>
      </c>
      <c r="F357" s="3130">
        <v>0.622</v>
      </c>
      <c r="G357" s="3130">
        <v>0.50309999999999999</v>
      </c>
      <c r="H357" s="3130">
        <v>0.50309999999999999</v>
      </c>
      <c r="I357" s="3130">
        <v>0.4234</v>
      </c>
      <c r="J357" s="3130">
        <v>0.4234</v>
      </c>
      <c r="K357" s="3130">
        <v>0.4234</v>
      </c>
      <c r="L357" s="3130">
        <v>0.4234</v>
      </c>
      <c r="M357" s="3131">
        <v>0.4234</v>
      </c>
    </row>
    <row r="358" spans="1:13">
      <c r="A358" s="3129">
        <v>8.9</v>
      </c>
      <c r="B358" s="3130">
        <v>0.67730000000000001</v>
      </c>
      <c r="C358" s="3130">
        <v>0.67730000000000001</v>
      </c>
      <c r="D358" s="3130">
        <v>0.62029999999999996</v>
      </c>
      <c r="E358" s="3130">
        <v>0.62029999999999996</v>
      </c>
      <c r="F358" s="3130">
        <v>0.62029999999999996</v>
      </c>
      <c r="G358" s="3130">
        <v>0.50119999999999998</v>
      </c>
      <c r="H358" s="3130">
        <v>0.50119999999999998</v>
      </c>
      <c r="I358" s="3130">
        <v>0.42149999999999999</v>
      </c>
      <c r="J358" s="3130">
        <v>0.42149999999999999</v>
      </c>
      <c r="K358" s="3130">
        <v>0.42149999999999999</v>
      </c>
      <c r="L358" s="3130">
        <v>0.42149999999999999</v>
      </c>
      <c r="M358" s="3131">
        <v>0.42149999999999999</v>
      </c>
    </row>
    <row r="359" spans="1:13">
      <c r="A359" s="3132">
        <v>9</v>
      </c>
      <c r="B359" s="3130">
        <v>0.67600000000000005</v>
      </c>
      <c r="C359" s="3130">
        <v>0.67600000000000005</v>
      </c>
      <c r="D359" s="3130">
        <v>0.61870000000000003</v>
      </c>
      <c r="E359" s="3130">
        <v>0.61870000000000003</v>
      </c>
      <c r="F359" s="3130">
        <v>0.61870000000000003</v>
      </c>
      <c r="G359" s="3130">
        <v>0.49930000000000002</v>
      </c>
      <c r="H359" s="3130">
        <v>0.49930000000000002</v>
      </c>
      <c r="I359" s="3130">
        <v>0.41949999999999998</v>
      </c>
      <c r="J359" s="3130">
        <v>0.41949999999999998</v>
      </c>
      <c r="K359" s="3130">
        <v>0.41949999999999998</v>
      </c>
      <c r="L359" s="3130">
        <v>0.41949999999999998</v>
      </c>
      <c r="M359" s="3131">
        <v>0.41949999999999998</v>
      </c>
    </row>
    <row r="360" spans="1:13">
      <c r="A360" s="3132">
        <v>9.1</v>
      </c>
      <c r="B360" s="3130">
        <v>0.67469999999999997</v>
      </c>
      <c r="C360" s="3130">
        <v>0.67469999999999997</v>
      </c>
      <c r="D360" s="3130">
        <v>0.61709999999999998</v>
      </c>
      <c r="E360" s="3130">
        <v>0.61709999999999998</v>
      </c>
      <c r="F360" s="3130">
        <v>0.61709999999999998</v>
      </c>
      <c r="G360" s="3130">
        <v>0.49740000000000001</v>
      </c>
      <c r="H360" s="3130">
        <v>0.49740000000000001</v>
      </c>
      <c r="I360" s="3130">
        <v>0.41760000000000003</v>
      </c>
      <c r="J360" s="3130">
        <v>0.41760000000000003</v>
      </c>
      <c r="K360" s="3130">
        <v>0.41760000000000003</v>
      </c>
      <c r="L360" s="3130">
        <v>0.41760000000000003</v>
      </c>
      <c r="M360" s="3131">
        <v>0.41760000000000003</v>
      </c>
    </row>
    <row r="361" spans="1:13">
      <c r="A361" s="3132">
        <v>9.1999999999999993</v>
      </c>
      <c r="B361" s="3130">
        <v>0.6734</v>
      </c>
      <c r="C361" s="3130">
        <v>0.6734</v>
      </c>
      <c r="D361" s="3130">
        <v>0.61550000000000005</v>
      </c>
      <c r="E361" s="3130">
        <v>0.61550000000000005</v>
      </c>
      <c r="F361" s="3130">
        <v>0.61550000000000005</v>
      </c>
      <c r="G361" s="3130">
        <v>0.49559999999999998</v>
      </c>
      <c r="H361" s="3130">
        <v>0.49559999999999998</v>
      </c>
      <c r="I361" s="3130">
        <v>0.41570000000000001</v>
      </c>
      <c r="J361" s="3130">
        <v>0.41570000000000001</v>
      </c>
      <c r="K361" s="3130">
        <v>0.41570000000000001</v>
      </c>
      <c r="L361" s="3130">
        <v>0.41570000000000001</v>
      </c>
      <c r="M361" s="3131">
        <v>0.41570000000000001</v>
      </c>
    </row>
    <row r="362" spans="1:13">
      <c r="A362" s="3132">
        <v>9.3000000000000007</v>
      </c>
      <c r="B362" s="3130">
        <v>0.67210000000000003</v>
      </c>
      <c r="C362" s="3130">
        <v>0.67210000000000003</v>
      </c>
      <c r="D362" s="3130">
        <v>0.6139</v>
      </c>
      <c r="E362" s="3130">
        <v>0.6139</v>
      </c>
      <c r="F362" s="3130">
        <v>0.6139</v>
      </c>
      <c r="G362" s="3130">
        <v>0.49380000000000002</v>
      </c>
      <c r="H362" s="3130">
        <v>0.49380000000000002</v>
      </c>
      <c r="I362" s="3130">
        <v>0.4138</v>
      </c>
      <c r="J362" s="3130">
        <v>0.4138</v>
      </c>
      <c r="K362" s="3130">
        <v>0.4138</v>
      </c>
      <c r="L362" s="3130">
        <v>0.4138</v>
      </c>
      <c r="M362" s="3131">
        <v>0.4138</v>
      </c>
    </row>
    <row r="363" spans="1:13">
      <c r="A363" s="3132">
        <v>9.4</v>
      </c>
      <c r="B363" s="3130">
        <v>0.67079999999999995</v>
      </c>
      <c r="C363" s="3130">
        <v>0.67079999999999995</v>
      </c>
      <c r="D363" s="3130">
        <v>0.61229999999999996</v>
      </c>
      <c r="E363" s="3130">
        <v>0.61229999999999996</v>
      </c>
      <c r="F363" s="3130">
        <v>0.61229999999999996</v>
      </c>
      <c r="G363" s="3130">
        <v>0.49199999999999999</v>
      </c>
      <c r="H363" s="3130">
        <v>0.49199999999999999</v>
      </c>
      <c r="I363" s="3130">
        <v>0.41189999999999999</v>
      </c>
      <c r="J363" s="3130">
        <v>0.41189999999999999</v>
      </c>
      <c r="K363" s="3130">
        <v>0.41189999999999999</v>
      </c>
      <c r="L363" s="3130">
        <v>0.41189999999999999</v>
      </c>
      <c r="M363" s="3131">
        <v>0.41189999999999999</v>
      </c>
    </row>
    <row r="364" spans="1:13">
      <c r="A364" s="3132">
        <v>9.5</v>
      </c>
      <c r="B364" s="3130">
        <v>0.66959999999999997</v>
      </c>
      <c r="C364" s="3130">
        <v>0.66959999999999997</v>
      </c>
      <c r="D364" s="3130">
        <v>0.61070000000000002</v>
      </c>
      <c r="E364" s="3130">
        <v>0.61070000000000002</v>
      </c>
      <c r="F364" s="3130">
        <v>0.61070000000000002</v>
      </c>
      <c r="G364" s="3130">
        <v>0.49020000000000002</v>
      </c>
      <c r="H364" s="3130">
        <v>0.49020000000000002</v>
      </c>
      <c r="I364" s="3130">
        <v>0.41</v>
      </c>
      <c r="J364" s="3130">
        <v>0.41</v>
      </c>
      <c r="K364" s="3130">
        <v>0.41</v>
      </c>
      <c r="L364" s="3130">
        <v>0.41</v>
      </c>
      <c r="M364" s="3131">
        <v>0.41</v>
      </c>
    </row>
    <row r="365" spans="1:13">
      <c r="A365" s="3132">
        <v>9.6</v>
      </c>
      <c r="B365" s="3130">
        <v>0.66839999999999999</v>
      </c>
      <c r="C365" s="3130">
        <v>0.66839999999999999</v>
      </c>
      <c r="D365" s="3130">
        <v>0.60909999999999997</v>
      </c>
      <c r="E365" s="3130">
        <v>0.60909999999999997</v>
      </c>
      <c r="F365" s="3130">
        <v>0.60909999999999997</v>
      </c>
      <c r="G365" s="3130">
        <v>0.4884</v>
      </c>
      <c r="H365" s="3130">
        <v>0.4884</v>
      </c>
      <c r="I365" s="3130">
        <v>0.40810000000000002</v>
      </c>
      <c r="J365" s="3130">
        <v>0.40810000000000002</v>
      </c>
      <c r="K365" s="3130">
        <v>0.40810000000000002</v>
      </c>
      <c r="L365" s="3130">
        <v>0.40810000000000002</v>
      </c>
      <c r="M365" s="3131">
        <v>0.40810000000000002</v>
      </c>
    </row>
    <row r="366" spans="1:13">
      <c r="A366" s="3132">
        <v>9.6999999999999993</v>
      </c>
      <c r="B366" s="3130">
        <v>0.66720000000000002</v>
      </c>
      <c r="C366" s="3130">
        <v>0.66720000000000002</v>
      </c>
      <c r="D366" s="3130">
        <v>0.60750000000000004</v>
      </c>
      <c r="E366" s="3130">
        <v>0.60750000000000004</v>
      </c>
      <c r="F366" s="3130">
        <v>0.60750000000000004</v>
      </c>
      <c r="G366" s="3130">
        <v>0.48659999999999998</v>
      </c>
      <c r="H366" s="3130">
        <v>0.48659999999999998</v>
      </c>
      <c r="I366" s="3130">
        <v>0.40620000000000001</v>
      </c>
      <c r="J366" s="3130">
        <v>0.40620000000000001</v>
      </c>
      <c r="K366" s="3130">
        <v>0.40620000000000001</v>
      </c>
      <c r="L366" s="3130">
        <v>0.40620000000000001</v>
      </c>
      <c r="M366" s="3131">
        <v>0.40620000000000001</v>
      </c>
    </row>
    <row r="367" spans="1:13">
      <c r="A367" s="3132">
        <v>9.8000000000000007</v>
      </c>
      <c r="B367" s="3130">
        <v>0.66600000000000004</v>
      </c>
      <c r="C367" s="3130">
        <v>0.66600000000000004</v>
      </c>
      <c r="D367" s="3130">
        <v>0.60599999999999998</v>
      </c>
      <c r="E367" s="3130">
        <v>0.60599999999999998</v>
      </c>
      <c r="F367" s="3130">
        <v>0.60599999999999998</v>
      </c>
      <c r="G367" s="3130">
        <v>0.48480000000000001</v>
      </c>
      <c r="H367" s="3130">
        <v>0.48480000000000001</v>
      </c>
      <c r="I367" s="3130">
        <v>0.40429999999999999</v>
      </c>
      <c r="J367" s="3130">
        <v>0.40429999999999999</v>
      </c>
      <c r="K367" s="3130">
        <v>0.40429999999999999</v>
      </c>
      <c r="L367" s="3130">
        <v>0.40429999999999999</v>
      </c>
      <c r="M367" s="3131">
        <v>0.40429999999999999</v>
      </c>
    </row>
    <row r="368" spans="1:13" ht="14.25" thickBot="1">
      <c r="A368" s="3133">
        <v>9.9</v>
      </c>
      <c r="B368" s="3134">
        <v>0.66479999999999995</v>
      </c>
      <c r="C368" s="3134">
        <v>0.66479999999999995</v>
      </c>
      <c r="D368" s="3134">
        <v>0.60450000000000004</v>
      </c>
      <c r="E368" s="3134">
        <v>0.60450000000000004</v>
      </c>
      <c r="F368" s="3134">
        <v>0.60450000000000004</v>
      </c>
      <c r="G368" s="3134">
        <v>0.48299999999999998</v>
      </c>
      <c r="H368" s="3134">
        <v>0.48299999999999998</v>
      </c>
      <c r="I368" s="3134">
        <v>0.40239999999999998</v>
      </c>
      <c r="J368" s="3134">
        <v>0.40239999999999998</v>
      </c>
      <c r="K368" s="3134">
        <v>0.40239999999999998</v>
      </c>
      <c r="L368" s="3134">
        <v>0.40239999999999998</v>
      </c>
      <c r="M368" s="3135">
        <v>0.40239999999999998</v>
      </c>
    </row>
    <row r="369" spans="1:20" ht="15" thickBot="1">
      <c r="A369" s="3123" t="s">
        <v>2804</v>
      </c>
      <c r="B369" s="3136"/>
      <c r="C369" s="3136"/>
      <c r="D369" s="3136"/>
      <c r="E369" s="3136"/>
      <c r="F369" s="3136"/>
      <c r="G369" s="3136"/>
      <c r="H369" s="3136"/>
      <c r="I369" s="3136"/>
      <c r="J369" s="3136"/>
      <c r="K369" s="3136"/>
      <c r="L369" s="3136"/>
      <c r="M369" s="3136"/>
    </row>
    <row r="370" spans="1:20">
      <c r="A370" s="3124" t="s">
        <v>2800</v>
      </c>
      <c r="B370" s="3125" t="s">
        <v>2596</v>
      </c>
      <c r="C370" s="3125" t="s">
        <v>2597</v>
      </c>
      <c r="D370" s="3125" t="s">
        <v>2598</v>
      </c>
      <c r="E370" s="3125" t="s">
        <v>2599</v>
      </c>
      <c r="F370" s="3125" t="s">
        <v>2600</v>
      </c>
      <c r="G370" s="3125" t="s">
        <v>2601</v>
      </c>
      <c r="H370" s="3126" t="s">
        <v>2602</v>
      </c>
      <c r="I370" s="3126" t="s">
        <v>2603</v>
      </c>
      <c r="J370" s="3127" t="s">
        <v>2604</v>
      </c>
      <c r="K370" s="3127" t="s">
        <v>2605</v>
      </c>
      <c r="L370" s="3127" t="s">
        <v>2606</v>
      </c>
      <c r="M370" s="3128" t="s">
        <v>2607</v>
      </c>
      <c r="N370" s="749">
        <f>SUMPRODUCT((A371:A460=ROUNDDOWN(基准地价修正!G3,1))*(B370:M370=基准地价修正!G2)*(B371:M460))</f>
        <v>1</v>
      </c>
      <c r="Q370" s="3138" t="s">
        <v>2805</v>
      </c>
      <c r="R370" s="3138" t="s">
        <v>2806</v>
      </c>
      <c r="S370" s="3138" t="s">
        <v>2807</v>
      </c>
      <c r="T370" s="3138" t="s">
        <v>2808</v>
      </c>
    </row>
    <row r="371" spans="1:20">
      <c r="A371" s="3129">
        <v>1</v>
      </c>
      <c r="B371" s="3130">
        <v>1.1839999999999999</v>
      </c>
      <c r="C371" s="3130">
        <v>1.1839999999999999</v>
      </c>
      <c r="D371" s="3130">
        <v>1.1565000000000001</v>
      </c>
      <c r="E371" s="3130">
        <v>1.1565000000000001</v>
      </c>
      <c r="F371" s="3130">
        <v>1.1565000000000001</v>
      </c>
      <c r="G371" s="3130">
        <v>1.1565000000000001</v>
      </c>
      <c r="H371" s="3130">
        <v>1.1565000000000001</v>
      </c>
      <c r="I371" s="3130">
        <v>1.1198999999999999</v>
      </c>
      <c r="J371" s="3130">
        <v>1.1198999999999999</v>
      </c>
      <c r="K371" s="3130">
        <v>1.1198999999999999</v>
      </c>
      <c r="L371" s="3130">
        <v>1.1198999999999999</v>
      </c>
      <c r="M371" s="3131">
        <v>1.1198999999999999</v>
      </c>
      <c r="Q371" s="3138">
        <v>10</v>
      </c>
      <c r="R371" s="3138">
        <f>ROUND(0.9404-0.0106*Q371,4)</f>
        <v>0.83440000000000003</v>
      </c>
      <c r="S371" s="3138">
        <f>ROUND(0.8955-0.0135*Q371,4)</f>
        <v>0.76049999999999995</v>
      </c>
      <c r="T371" s="3138">
        <f>ROUND(0.7632-0.0166*Q371,4)</f>
        <v>0.59719999999999995</v>
      </c>
    </row>
    <row r="372" spans="1:20">
      <c r="A372" s="3129">
        <v>1.1000000000000001</v>
      </c>
      <c r="B372" s="3130">
        <v>1.1658999999999999</v>
      </c>
      <c r="C372" s="3130">
        <v>1.1658999999999999</v>
      </c>
      <c r="D372" s="3130">
        <v>1.1364000000000001</v>
      </c>
      <c r="E372" s="3130">
        <v>1.1364000000000001</v>
      </c>
      <c r="F372" s="3130">
        <v>1.1364000000000001</v>
      </c>
      <c r="G372" s="3130">
        <v>1.1364000000000001</v>
      </c>
      <c r="H372" s="3130">
        <v>1.1364000000000001</v>
      </c>
      <c r="I372" s="3130">
        <v>1.0931</v>
      </c>
      <c r="J372" s="3130">
        <v>1.0931</v>
      </c>
      <c r="K372" s="3130">
        <v>1.0931</v>
      </c>
      <c r="L372" s="3130">
        <v>1.0931</v>
      </c>
      <c r="M372" s="3131">
        <v>1.0931</v>
      </c>
    </row>
    <row r="373" spans="1:20">
      <c r="A373" s="3129">
        <v>1.2</v>
      </c>
      <c r="B373" s="3130">
        <v>1.1489</v>
      </c>
      <c r="C373" s="3130">
        <v>1.1489</v>
      </c>
      <c r="D373" s="3130">
        <v>1.1174999999999999</v>
      </c>
      <c r="E373" s="3130">
        <v>1.1174999999999999</v>
      </c>
      <c r="F373" s="3130">
        <v>1.1174999999999999</v>
      </c>
      <c r="G373" s="3130">
        <v>1.1174999999999999</v>
      </c>
      <c r="H373" s="3130">
        <v>1.1174999999999999</v>
      </c>
      <c r="I373" s="3130">
        <v>1.0678000000000001</v>
      </c>
      <c r="J373" s="3130">
        <v>1.0678000000000001</v>
      </c>
      <c r="K373" s="3130">
        <v>1.0678000000000001</v>
      </c>
      <c r="L373" s="3130">
        <v>1.0678000000000001</v>
      </c>
      <c r="M373" s="3131">
        <v>1.0678000000000001</v>
      </c>
    </row>
    <row r="374" spans="1:20">
      <c r="A374" s="3129">
        <v>1.3</v>
      </c>
      <c r="B374" s="3130">
        <v>1.1328</v>
      </c>
      <c r="C374" s="3130">
        <v>1.1328</v>
      </c>
      <c r="D374" s="3130">
        <v>1.0995999999999999</v>
      </c>
      <c r="E374" s="3130">
        <v>1.0995999999999999</v>
      </c>
      <c r="F374" s="3130">
        <v>1.0995999999999999</v>
      </c>
      <c r="G374" s="3130">
        <v>1.0995999999999999</v>
      </c>
      <c r="H374" s="3130">
        <v>1.0995999999999999</v>
      </c>
      <c r="I374" s="3130">
        <v>1.044</v>
      </c>
      <c r="J374" s="3130">
        <v>1.044</v>
      </c>
      <c r="K374" s="3130">
        <v>1.044</v>
      </c>
      <c r="L374" s="3130">
        <v>1.044</v>
      </c>
      <c r="M374" s="3131">
        <v>1.044</v>
      </c>
    </row>
    <row r="375" spans="1:20">
      <c r="A375" s="3129">
        <v>1.4</v>
      </c>
      <c r="B375" s="3130">
        <v>1.1175999999999999</v>
      </c>
      <c r="C375" s="3130">
        <v>1.1175999999999999</v>
      </c>
      <c r="D375" s="3130">
        <v>1.0827</v>
      </c>
      <c r="E375" s="3130">
        <v>1.0827</v>
      </c>
      <c r="F375" s="3130">
        <v>1.0827</v>
      </c>
      <c r="G375" s="3130">
        <v>1.0827</v>
      </c>
      <c r="H375" s="3130">
        <v>1.0827</v>
      </c>
      <c r="I375" s="3130">
        <v>1.0214000000000001</v>
      </c>
      <c r="J375" s="3130">
        <v>1.0214000000000001</v>
      </c>
      <c r="K375" s="3130">
        <v>1.0214000000000001</v>
      </c>
      <c r="L375" s="3130">
        <v>1.0214000000000001</v>
      </c>
      <c r="M375" s="3131">
        <v>1.0214000000000001</v>
      </c>
    </row>
    <row r="376" spans="1:20">
      <c r="A376" s="3129">
        <v>1.5</v>
      </c>
      <c r="B376" s="3130">
        <v>1.1032999999999999</v>
      </c>
      <c r="C376" s="3130">
        <v>1.1032999999999999</v>
      </c>
      <c r="D376" s="3130">
        <v>1.0668</v>
      </c>
      <c r="E376" s="3130">
        <v>1.0668</v>
      </c>
      <c r="F376" s="3130">
        <v>1.0668</v>
      </c>
      <c r="G376" s="3130">
        <v>1.0668</v>
      </c>
      <c r="H376" s="3130">
        <v>1.0668</v>
      </c>
      <c r="I376" s="3130">
        <v>1</v>
      </c>
      <c r="J376" s="3130">
        <v>1</v>
      </c>
      <c r="K376" s="3130">
        <v>1</v>
      </c>
      <c r="L376" s="3130">
        <v>1</v>
      </c>
      <c r="M376" s="3131">
        <v>1</v>
      </c>
    </row>
    <row r="377" spans="1:20">
      <c r="A377" s="3129">
        <v>1.6</v>
      </c>
      <c r="B377" s="3130">
        <v>1.0899000000000001</v>
      </c>
      <c r="C377" s="3130">
        <v>1.0899000000000001</v>
      </c>
      <c r="D377" s="3130">
        <v>1.0517000000000001</v>
      </c>
      <c r="E377" s="3130">
        <v>1.0517000000000001</v>
      </c>
      <c r="F377" s="3130">
        <v>1.0517000000000001</v>
      </c>
      <c r="G377" s="3130">
        <v>1.0517000000000001</v>
      </c>
      <c r="H377" s="3130">
        <v>1.0517000000000001</v>
      </c>
      <c r="I377" s="3130">
        <v>0.97989999999999999</v>
      </c>
      <c r="J377" s="3130">
        <v>0.97989999999999999</v>
      </c>
      <c r="K377" s="3130">
        <v>0.97989999999999999</v>
      </c>
      <c r="L377" s="3130">
        <v>0.97989999999999999</v>
      </c>
      <c r="M377" s="3131">
        <v>0.97989999999999999</v>
      </c>
    </row>
    <row r="378" spans="1:20">
      <c r="A378" s="3129">
        <v>1.7</v>
      </c>
      <c r="B378" s="3130">
        <v>1.0771999999999999</v>
      </c>
      <c r="C378" s="3130">
        <v>1.0771999999999999</v>
      </c>
      <c r="D378" s="3130">
        <v>1.0376000000000001</v>
      </c>
      <c r="E378" s="3130">
        <v>1.0376000000000001</v>
      </c>
      <c r="F378" s="3130">
        <v>1.0376000000000001</v>
      </c>
      <c r="G378" s="3130">
        <v>1.0376000000000001</v>
      </c>
      <c r="H378" s="3130">
        <v>1.0376000000000001</v>
      </c>
      <c r="I378" s="3130">
        <v>0.96089999999999998</v>
      </c>
      <c r="J378" s="3130">
        <v>0.96089999999999998</v>
      </c>
      <c r="K378" s="3130">
        <v>0.96089999999999998</v>
      </c>
      <c r="L378" s="3130">
        <v>0.96089999999999998</v>
      </c>
      <c r="M378" s="3131">
        <v>0.96089999999999998</v>
      </c>
    </row>
    <row r="379" spans="1:20">
      <c r="A379" s="3129">
        <v>1.8</v>
      </c>
      <c r="B379" s="3130">
        <v>1.0652999999999999</v>
      </c>
      <c r="C379" s="3130">
        <v>1.0652999999999999</v>
      </c>
      <c r="D379" s="3130">
        <v>1.0243</v>
      </c>
      <c r="E379" s="3130">
        <v>1.0243</v>
      </c>
      <c r="F379" s="3130">
        <v>1.0243</v>
      </c>
      <c r="G379" s="3130">
        <v>1.0243</v>
      </c>
      <c r="H379" s="3130">
        <v>1.0243</v>
      </c>
      <c r="I379" s="3130">
        <v>0.94299999999999995</v>
      </c>
      <c r="J379" s="3130">
        <v>0.94299999999999995</v>
      </c>
      <c r="K379" s="3130">
        <v>0.94299999999999995</v>
      </c>
      <c r="L379" s="3130">
        <v>0.94299999999999995</v>
      </c>
      <c r="M379" s="3131">
        <v>0.94299999999999995</v>
      </c>
    </row>
    <row r="380" spans="1:20">
      <c r="A380" s="3129">
        <v>1.9</v>
      </c>
      <c r="B380" s="3130">
        <v>1.054</v>
      </c>
      <c r="C380" s="3130">
        <v>1.054</v>
      </c>
      <c r="D380" s="3130">
        <v>1.0118</v>
      </c>
      <c r="E380" s="3130">
        <v>1.0118</v>
      </c>
      <c r="F380" s="3130">
        <v>1.0118</v>
      </c>
      <c r="G380" s="3130">
        <v>1.0118</v>
      </c>
      <c r="H380" s="3130">
        <v>1.0118</v>
      </c>
      <c r="I380" s="3130">
        <v>0.92620000000000002</v>
      </c>
      <c r="J380" s="3130">
        <v>0.92620000000000002</v>
      </c>
      <c r="K380" s="3130">
        <v>0.92620000000000002</v>
      </c>
      <c r="L380" s="3130">
        <v>0.92620000000000002</v>
      </c>
      <c r="M380" s="3131">
        <v>0.92620000000000002</v>
      </c>
    </row>
    <row r="381" spans="1:20">
      <c r="A381" s="3129">
        <v>2</v>
      </c>
      <c r="B381" s="3130">
        <v>1.0435000000000001</v>
      </c>
      <c r="C381" s="3130">
        <v>1.0435000000000001</v>
      </c>
      <c r="D381" s="3130">
        <v>1</v>
      </c>
      <c r="E381" s="3130">
        <v>1</v>
      </c>
      <c r="F381" s="3130">
        <v>1</v>
      </c>
      <c r="G381" s="3130">
        <v>1</v>
      </c>
      <c r="H381" s="3130">
        <v>1</v>
      </c>
      <c r="I381" s="3130">
        <v>0.9103</v>
      </c>
      <c r="J381" s="3130">
        <v>0.9103</v>
      </c>
      <c r="K381" s="3130">
        <v>0.9103</v>
      </c>
      <c r="L381" s="3130">
        <v>0.9103</v>
      </c>
      <c r="M381" s="3131">
        <v>0.9103</v>
      </c>
    </row>
    <row r="382" spans="1:20">
      <c r="A382" s="3132">
        <v>2.1</v>
      </c>
      <c r="B382" s="3130">
        <v>1.0336000000000001</v>
      </c>
      <c r="C382" s="3130">
        <v>1.0336000000000001</v>
      </c>
      <c r="D382" s="3130">
        <v>0.98899999999999999</v>
      </c>
      <c r="E382" s="3130">
        <v>0.98899999999999999</v>
      </c>
      <c r="F382" s="3130">
        <v>0.98899999999999999</v>
      </c>
      <c r="G382" s="3130">
        <v>0.98899999999999999</v>
      </c>
      <c r="H382" s="3130">
        <v>0.98899999999999999</v>
      </c>
      <c r="I382" s="3130">
        <v>0.89539999999999997</v>
      </c>
      <c r="J382" s="3130">
        <v>0.89539999999999997</v>
      </c>
      <c r="K382" s="3130">
        <v>0.89539999999999997</v>
      </c>
      <c r="L382" s="3130">
        <v>0.89539999999999997</v>
      </c>
      <c r="M382" s="3131">
        <v>0.89539999999999997</v>
      </c>
    </row>
    <row r="383" spans="1:20">
      <c r="A383" s="3132">
        <v>2.2000000000000002</v>
      </c>
      <c r="B383" s="3130">
        <v>1.0243</v>
      </c>
      <c r="C383" s="3130">
        <v>1.0243</v>
      </c>
      <c r="D383" s="3130">
        <v>0.97860000000000003</v>
      </c>
      <c r="E383" s="3130">
        <v>0.97860000000000003</v>
      </c>
      <c r="F383" s="3130">
        <v>0.97860000000000003</v>
      </c>
      <c r="G383" s="3130">
        <v>0.97860000000000003</v>
      </c>
      <c r="H383" s="3130">
        <v>0.97860000000000003</v>
      </c>
      <c r="I383" s="3130">
        <v>0.88139999999999996</v>
      </c>
      <c r="J383" s="3130">
        <v>0.88139999999999996</v>
      </c>
      <c r="K383" s="3130">
        <v>0.88139999999999996</v>
      </c>
      <c r="L383" s="3130">
        <v>0.88139999999999996</v>
      </c>
      <c r="M383" s="3131">
        <v>0.88139999999999996</v>
      </c>
    </row>
    <row r="384" spans="1:20">
      <c r="A384" s="3132">
        <v>2.2999999999999998</v>
      </c>
      <c r="B384" s="3130">
        <v>1.0157</v>
      </c>
      <c r="C384" s="3130">
        <v>1.0157</v>
      </c>
      <c r="D384" s="3130">
        <v>0.96889999999999998</v>
      </c>
      <c r="E384" s="3130">
        <v>0.96889999999999998</v>
      </c>
      <c r="F384" s="3130">
        <v>0.96889999999999998</v>
      </c>
      <c r="G384" s="3130">
        <v>0.96889999999999998</v>
      </c>
      <c r="H384" s="3130">
        <v>0.96889999999999998</v>
      </c>
      <c r="I384" s="3130">
        <v>0.86819999999999997</v>
      </c>
      <c r="J384" s="3130">
        <v>0.86819999999999997</v>
      </c>
      <c r="K384" s="3130">
        <v>0.86819999999999997</v>
      </c>
      <c r="L384" s="3130">
        <v>0.86819999999999997</v>
      </c>
      <c r="M384" s="3131">
        <v>0.86819999999999997</v>
      </c>
    </row>
    <row r="385" spans="1:13">
      <c r="A385" s="3132">
        <v>2.4</v>
      </c>
      <c r="B385" s="3130">
        <v>1.0076000000000001</v>
      </c>
      <c r="C385" s="3130">
        <v>1.0076000000000001</v>
      </c>
      <c r="D385" s="3130">
        <v>0.95979999999999999</v>
      </c>
      <c r="E385" s="3130">
        <v>0.95979999999999999</v>
      </c>
      <c r="F385" s="3130">
        <v>0.95979999999999999</v>
      </c>
      <c r="G385" s="3130">
        <v>0.95979999999999999</v>
      </c>
      <c r="H385" s="3130">
        <v>0.95979999999999999</v>
      </c>
      <c r="I385" s="3130">
        <v>0.85580000000000001</v>
      </c>
      <c r="J385" s="3130">
        <v>0.85580000000000001</v>
      </c>
      <c r="K385" s="3130">
        <v>0.85580000000000001</v>
      </c>
      <c r="L385" s="3130">
        <v>0.85580000000000001</v>
      </c>
      <c r="M385" s="3131">
        <v>0.85580000000000001</v>
      </c>
    </row>
    <row r="386" spans="1:13">
      <c r="A386" s="3132">
        <v>2.5</v>
      </c>
      <c r="B386" s="3130">
        <v>1</v>
      </c>
      <c r="C386" s="3130">
        <v>1</v>
      </c>
      <c r="D386" s="3130">
        <v>0.95120000000000005</v>
      </c>
      <c r="E386" s="3130">
        <v>0.95120000000000005</v>
      </c>
      <c r="F386" s="3130">
        <v>0.95120000000000005</v>
      </c>
      <c r="G386" s="3130">
        <v>0.95120000000000005</v>
      </c>
      <c r="H386" s="3130">
        <v>0.95120000000000005</v>
      </c>
      <c r="I386" s="3130">
        <v>0.84419999999999995</v>
      </c>
      <c r="J386" s="3130">
        <v>0.84419999999999995</v>
      </c>
      <c r="K386" s="3130">
        <v>0.84419999999999995</v>
      </c>
      <c r="L386" s="3130">
        <v>0.84419999999999995</v>
      </c>
      <c r="M386" s="3131">
        <v>0.84419999999999995</v>
      </c>
    </row>
    <row r="387" spans="1:13">
      <c r="A387" s="3132">
        <v>2.6</v>
      </c>
      <c r="B387" s="3130">
        <v>0.9929</v>
      </c>
      <c r="C387" s="3130">
        <v>0.9929</v>
      </c>
      <c r="D387" s="3130">
        <v>0.94320000000000004</v>
      </c>
      <c r="E387" s="3130">
        <v>0.94320000000000004</v>
      </c>
      <c r="F387" s="3130">
        <v>0.94320000000000004</v>
      </c>
      <c r="G387" s="3130">
        <v>0.94320000000000004</v>
      </c>
      <c r="H387" s="3130">
        <v>0.94320000000000004</v>
      </c>
      <c r="I387" s="3130">
        <v>0.83330000000000004</v>
      </c>
      <c r="J387" s="3130">
        <v>0.83330000000000004</v>
      </c>
      <c r="K387" s="3130">
        <v>0.83330000000000004</v>
      </c>
      <c r="L387" s="3130">
        <v>0.83330000000000004</v>
      </c>
      <c r="M387" s="3131">
        <v>0.83330000000000004</v>
      </c>
    </row>
    <row r="388" spans="1:13">
      <c r="A388" s="3132">
        <v>2.7</v>
      </c>
      <c r="B388" s="3130">
        <v>0.98629999999999995</v>
      </c>
      <c r="C388" s="3130">
        <v>0.98629999999999995</v>
      </c>
      <c r="D388" s="3130">
        <v>0.93569999999999998</v>
      </c>
      <c r="E388" s="3130">
        <v>0.93569999999999998</v>
      </c>
      <c r="F388" s="3130">
        <v>0.93569999999999998</v>
      </c>
      <c r="G388" s="3130">
        <v>0.93569999999999998</v>
      </c>
      <c r="H388" s="3130">
        <v>0.93569999999999998</v>
      </c>
      <c r="I388" s="3130">
        <v>0.82320000000000004</v>
      </c>
      <c r="J388" s="3130">
        <v>0.82320000000000004</v>
      </c>
      <c r="K388" s="3130">
        <v>0.82320000000000004</v>
      </c>
      <c r="L388" s="3130">
        <v>0.82320000000000004</v>
      </c>
      <c r="M388" s="3131">
        <v>0.82320000000000004</v>
      </c>
    </row>
    <row r="389" spans="1:13">
      <c r="A389" s="3132">
        <v>2.8</v>
      </c>
      <c r="B389" s="3130">
        <v>0.98009999999999997</v>
      </c>
      <c r="C389" s="3130">
        <v>0.98009999999999997</v>
      </c>
      <c r="D389" s="3130">
        <v>0.92879999999999996</v>
      </c>
      <c r="E389" s="3130">
        <v>0.92879999999999996</v>
      </c>
      <c r="F389" s="3130">
        <v>0.92879999999999996</v>
      </c>
      <c r="G389" s="3130">
        <v>0.92879999999999996</v>
      </c>
      <c r="H389" s="3130">
        <v>0.92879999999999996</v>
      </c>
      <c r="I389" s="3130">
        <v>0.81359999999999999</v>
      </c>
      <c r="J389" s="3130">
        <v>0.81359999999999999</v>
      </c>
      <c r="K389" s="3130">
        <v>0.81359999999999999</v>
      </c>
      <c r="L389" s="3130">
        <v>0.81359999999999999</v>
      </c>
      <c r="M389" s="3131">
        <v>0.81359999999999999</v>
      </c>
    </row>
    <row r="390" spans="1:13">
      <c r="A390" s="3132">
        <v>2.9</v>
      </c>
      <c r="B390" s="3130">
        <v>0.97430000000000005</v>
      </c>
      <c r="C390" s="3130">
        <v>0.97430000000000005</v>
      </c>
      <c r="D390" s="3130">
        <v>0.92220000000000002</v>
      </c>
      <c r="E390" s="3130">
        <v>0.92220000000000002</v>
      </c>
      <c r="F390" s="3130">
        <v>0.92220000000000002</v>
      </c>
      <c r="G390" s="3130">
        <v>0.92220000000000002</v>
      </c>
      <c r="H390" s="3130">
        <v>0.92220000000000002</v>
      </c>
      <c r="I390" s="3130">
        <v>0.80459999999999998</v>
      </c>
      <c r="J390" s="3130">
        <v>0.80459999999999998</v>
      </c>
      <c r="K390" s="3130">
        <v>0.80459999999999998</v>
      </c>
      <c r="L390" s="3130">
        <v>0.80459999999999998</v>
      </c>
      <c r="M390" s="3131">
        <v>0.80459999999999998</v>
      </c>
    </row>
    <row r="391" spans="1:13">
      <c r="A391" s="3132">
        <v>3</v>
      </c>
      <c r="B391" s="3130">
        <v>0.96889999999999998</v>
      </c>
      <c r="C391" s="3130">
        <v>0.96889999999999998</v>
      </c>
      <c r="D391" s="3130">
        <v>0.91610000000000003</v>
      </c>
      <c r="E391" s="3130">
        <v>0.91610000000000003</v>
      </c>
      <c r="F391" s="3130">
        <v>0.91610000000000003</v>
      </c>
      <c r="G391" s="3130">
        <v>0.91610000000000003</v>
      </c>
      <c r="H391" s="3130">
        <v>0.91610000000000003</v>
      </c>
      <c r="I391" s="3130">
        <v>0.79620000000000002</v>
      </c>
      <c r="J391" s="3130">
        <v>0.79620000000000002</v>
      </c>
      <c r="K391" s="3130">
        <v>0.79620000000000002</v>
      </c>
      <c r="L391" s="3130">
        <v>0.79620000000000002</v>
      </c>
      <c r="M391" s="3131">
        <v>0.79620000000000002</v>
      </c>
    </row>
    <row r="392" spans="1:13">
      <c r="A392" s="3132">
        <v>3.1</v>
      </c>
      <c r="B392" s="3130">
        <v>0.96389999999999998</v>
      </c>
      <c r="C392" s="3130">
        <v>0.96389999999999998</v>
      </c>
      <c r="D392" s="3130">
        <v>0.91039999999999999</v>
      </c>
      <c r="E392" s="3130">
        <v>0.91039999999999999</v>
      </c>
      <c r="F392" s="3130">
        <v>0.91039999999999999</v>
      </c>
      <c r="G392" s="3130">
        <v>0.91039999999999999</v>
      </c>
      <c r="H392" s="3130">
        <v>0.91039999999999999</v>
      </c>
      <c r="I392" s="3130">
        <v>0.7883</v>
      </c>
      <c r="J392" s="3130">
        <v>0.7883</v>
      </c>
      <c r="K392" s="3130">
        <v>0.7883</v>
      </c>
      <c r="L392" s="3130">
        <v>0.7883</v>
      </c>
      <c r="M392" s="3131">
        <v>0.7883</v>
      </c>
    </row>
    <row r="393" spans="1:13">
      <c r="A393" s="3132">
        <v>3.2</v>
      </c>
      <c r="B393" s="3130">
        <v>0.95930000000000004</v>
      </c>
      <c r="C393" s="3130">
        <v>0.95930000000000004</v>
      </c>
      <c r="D393" s="3130">
        <v>0.9052</v>
      </c>
      <c r="E393" s="3130">
        <v>0.9052</v>
      </c>
      <c r="F393" s="3130">
        <v>0.9052</v>
      </c>
      <c r="G393" s="3130">
        <v>0.9052</v>
      </c>
      <c r="H393" s="3130">
        <v>0.9052</v>
      </c>
      <c r="I393" s="3130">
        <v>0.78090000000000004</v>
      </c>
      <c r="J393" s="3130">
        <v>0.78090000000000004</v>
      </c>
      <c r="K393" s="3130">
        <v>0.78090000000000004</v>
      </c>
      <c r="L393" s="3130">
        <v>0.78090000000000004</v>
      </c>
      <c r="M393" s="3131">
        <v>0.78090000000000004</v>
      </c>
    </row>
    <row r="394" spans="1:13">
      <c r="A394" s="3132">
        <v>3.3</v>
      </c>
      <c r="B394" s="3130">
        <v>0.95489999999999997</v>
      </c>
      <c r="C394" s="3130">
        <v>0.95489999999999997</v>
      </c>
      <c r="D394" s="3130">
        <v>0.9002</v>
      </c>
      <c r="E394" s="3130">
        <v>0.9002</v>
      </c>
      <c r="F394" s="3130">
        <v>0.9002</v>
      </c>
      <c r="G394" s="3130">
        <v>0.9002</v>
      </c>
      <c r="H394" s="3130">
        <v>0.9002</v>
      </c>
      <c r="I394" s="3130">
        <v>0.77410000000000001</v>
      </c>
      <c r="J394" s="3130">
        <v>0.77410000000000001</v>
      </c>
      <c r="K394" s="3130">
        <v>0.77410000000000001</v>
      </c>
      <c r="L394" s="3130">
        <v>0.77410000000000001</v>
      </c>
      <c r="M394" s="3131">
        <v>0.77410000000000001</v>
      </c>
    </row>
    <row r="395" spans="1:13">
      <c r="A395" s="3132">
        <v>3.4</v>
      </c>
      <c r="B395" s="3130">
        <v>0.95089999999999997</v>
      </c>
      <c r="C395" s="3130">
        <v>0.95089999999999997</v>
      </c>
      <c r="D395" s="3130">
        <v>0.89559999999999995</v>
      </c>
      <c r="E395" s="3130">
        <v>0.89559999999999995</v>
      </c>
      <c r="F395" s="3130">
        <v>0.89559999999999995</v>
      </c>
      <c r="G395" s="3130">
        <v>0.89559999999999995</v>
      </c>
      <c r="H395" s="3130">
        <v>0.89559999999999995</v>
      </c>
      <c r="I395" s="3130">
        <v>0.76759999999999995</v>
      </c>
      <c r="J395" s="3130">
        <v>0.76759999999999995</v>
      </c>
      <c r="K395" s="3130">
        <v>0.76759999999999995</v>
      </c>
      <c r="L395" s="3130">
        <v>0.76759999999999995</v>
      </c>
      <c r="M395" s="3131">
        <v>0.76759999999999995</v>
      </c>
    </row>
    <row r="396" spans="1:13">
      <c r="A396" s="3132">
        <v>3.5</v>
      </c>
      <c r="B396" s="3130">
        <v>0.94710000000000005</v>
      </c>
      <c r="C396" s="3130">
        <v>0.94710000000000005</v>
      </c>
      <c r="D396" s="3130">
        <v>0.89129999999999998</v>
      </c>
      <c r="E396" s="3130">
        <v>0.89129999999999998</v>
      </c>
      <c r="F396" s="3130">
        <v>0.89129999999999998</v>
      </c>
      <c r="G396" s="3130">
        <v>0.89129999999999998</v>
      </c>
      <c r="H396" s="3130">
        <v>0.89129999999999998</v>
      </c>
      <c r="I396" s="3130">
        <v>0.76160000000000005</v>
      </c>
      <c r="J396" s="3130">
        <v>0.76160000000000005</v>
      </c>
      <c r="K396" s="3130">
        <v>0.76160000000000005</v>
      </c>
      <c r="L396" s="3130">
        <v>0.76160000000000005</v>
      </c>
      <c r="M396" s="3131">
        <v>0.76160000000000005</v>
      </c>
    </row>
    <row r="397" spans="1:13">
      <c r="A397" s="3132">
        <v>3.6</v>
      </c>
      <c r="B397" s="3130">
        <v>0.94359999999999999</v>
      </c>
      <c r="C397" s="3130">
        <v>0.94359999999999999</v>
      </c>
      <c r="D397" s="3130">
        <v>0.88729999999999998</v>
      </c>
      <c r="E397" s="3130">
        <v>0.88729999999999998</v>
      </c>
      <c r="F397" s="3130">
        <v>0.88729999999999998</v>
      </c>
      <c r="G397" s="3130">
        <v>0.88729999999999998</v>
      </c>
      <c r="H397" s="3130">
        <v>0.88729999999999998</v>
      </c>
      <c r="I397" s="3130">
        <v>0.75590000000000002</v>
      </c>
      <c r="J397" s="3130">
        <v>0.75590000000000002</v>
      </c>
      <c r="K397" s="3130">
        <v>0.75590000000000002</v>
      </c>
      <c r="L397" s="3130">
        <v>0.75590000000000002</v>
      </c>
      <c r="M397" s="3131">
        <v>0.75590000000000002</v>
      </c>
    </row>
    <row r="398" spans="1:13">
      <c r="A398" s="3132">
        <v>3.7</v>
      </c>
      <c r="B398" s="3130">
        <v>0.94040000000000001</v>
      </c>
      <c r="C398" s="3130">
        <v>0.94040000000000001</v>
      </c>
      <c r="D398" s="3130">
        <v>0.88349999999999995</v>
      </c>
      <c r="E398" s="3130">
        <v>0.88349999999999995</v>
      </c>
      <c r="F398" s="3130">
        <v>0.88349999999999995</v>
      </c>
      <c r="G398" s="3130">
        <v>0.88349999999999995</v>
      </c>
      <c r="H398" s="3130">
        <v>0.88349999999999995</v>
      </c>
      <c r="I398" s="3130">
        <v>0.75070000000000003</v>
      </c>
      <c r="J398" s="3130">
        <v>0.75070000000000003</v>
      </c>
      <c r="K398" s="3130">
        <v>0.75070000000000003</v>
      </c>
      <c r="L398" s="3130">
        <v>0.75070000000000003</v>
      </c>
      <c r="M398" s="3131">
        <v>0.75070000000000003</v>
      </c>
    </row>
    <row r="399" spans="1:13">
      <c r="A399" s="3132">
        <v>3.8</v>
      </c>
      <c r="B399" s="3130">
        <v>0.93740000000000001</v>
      </c>
      <c r="C399" s="3130">
        <v>0.93740000000000001</v>
      </c>
      <c r="D399" s="3130">
        <v>0.88009999999999999</v>
      </c>
      <c r="E399" s="3130">
        <v>0.88009999999999999</v>
      </c>
      <c r="F399" s="3130">
        <v>0.88009999999999999</v>
      </c>
      <c r="G399" s="3130">
        <v>0.88009999999999999</v>
      </c>
      <c r="H399" s="3130">
        <v>0.88009999999999999</v>
      </c>
      <c r="I399" s="3130">
        <v>0.74570000000000003</v>
      </c>
      <c r="J399" s="3130">
        <v>0.74570000000000003</v>
      </c>
      <c r="K399" s="3130">
        <v>0.74570000000000003</v>
      </c>
      <c r="L399" s="3130">
        <v>0.74570000000000003</v>
      </c>
      <c r="M399" s="3131">
        <v>0.74570000000000003</v>
      </c>
    </row>
    <row r="400" spans="1:13">
      <c r="A400" s="3132">
        <v>3.9</v>
      </c>
      <c r="B400" s="3130">
        <v>0.93459999999999999</v>
      </c>
      <c r="C400" s="3130">
        <v>0.93459999999999999</v>
      </c>
      <c r="D400" s="3130">
        <v>0.87680000000000002</v>
      </c>
      <c r="E400" s="3130">
        <v>0.87680000000000002</v>
      </c>
      <c r="F400" s="3130">
        <v>0.87680000000000002</v>
      </c>
      <c r="G400" s="3130">
        <v>0.87680000000000002</v>
      </c>
      <c r="H400" s="3130">
        <v>0.87680000000000002</v>
      </c>
      <c r="I400" s="3130">
        <v>0.74109999999999998</v>
      </c>
      <c r="J400" s="3130">
        <v>0.74109999999999998</v>
      </c>
      <c r="K400" s="3130">
        <v>0.74109999999999998</v>
      </c>
      <c r="L400" s="3130">
        <v>0.74109999999999998</v>
      </c>
      <c r="M400" s="3131">
        <v>0.74109999999999998</v>
      </c>
    </row>
    <row r="401" spans="1:13">
      <c r="A401" s="3132">
        <v>4</v>
      </c>
      <c r="B401" s="3130">
        <v>0.93179999999999996</v>
      </c>
      <c r="C401" s="3130">
        <v>0.93179999999999996</v>
      </c>
      <c r="D401" s="3130">
        <v>0.87380000000000002</v>
      </c>
      <c r="E401" s="3130">
        <v>0.87380000000000002</v>
      </c>
      <c r="F401" s="3130">
        <v>0.87380000000000002</v>
      </c>
      <c r="G401" s="3130">
        <v>0.87380000000000002</v>
      </c>
      <c r="H401" s="3130">
        <v>0.87380000000000002</v>
      </c>
      <c r="I401" s="3130">
        <v>0.73680000000000001</v>
      </c>
      <c r="J401" s="3130">
        <v>0.73680000000000001</v>
      </c>
      <c r="K401" s="3130">
        <v>0.73680000000000001</v>
      </c>
      <c r="L401" s="3130">
        <v>0.73680000000000001</v>
      </c>
      <c r="M401" s="3131">
        <v>0.73680000000000001</v>
      </c>
    </row>
    <row r="402" spans="1:13">
      <c r="A402" s="3132">
        <v>4.0999999999999996</v>
      </c>
      <c r="B402" s="3130">
        <v>0.92920000000000003</v>
      </c>
      <c r="C402" s="3130">
        <v>0.92920000000000003</v>
      </c>
      <c r="D402" s="3130">
        <v>0.87090000000000001</v>
      </c>
      <c r="E402" s="3130">
        <v>0.87090000000000001</v>
      </c>
      <c r="F402" s="3130">
        <v>0.87090000000000001</v>
      </c>
      <c r="G402" s="3130">
        <v>0.87090000000000001</v>
      </c>
      <c r="H402" s="3130">
        <v>0.87090000000000001</v>
      </c>
      <c r="I402" s="3130">
        <v>0.73270000000000002</v>
      </c>
      <c r="J402" s="3130">
        <v>0.73270000000000002</v>
      </c>
      <c r="K402" s="3130">
        <v>0.73270000000000002</v>
      </c>
      <c r="L402" s="3130">
        <v>0.73270000000000002</v>
      </c>
      <c r="M402" s="3131">
        <v>0.73270000000000002</v>
      </c>
    </row>
    <row r="403" spans="1:13">
      <c r="A403" s="3132">
        <v>4.2</v>
      </c>
      <c r="B403" s="3130">
        <v>0.92659999999999998</v>
      </c>
      <c r="C403" s="3130">
        <v>0.92659999999999998</v>
      </c>
      <c r="D403" s="3130">
        <v>0.86819999999999997</v>
      </c>
      <c r="E403" s="3130">
        <v>0.86819999999999997</v>
      </c>
      <c r="F403" s="3130">
        <v>0.86819999999999997</v>
      </c>
      <c r="G403" s="3130">
        <v>0.86819999999999997</v>
      </c>
      <c r="H403" s="3130">
        <v>0.86819999999999997</v>
      </c>
      <c r="I403" s="3130">
        <v>0.7288</v>
      </c>
      <c r="J403" s="3130">
        <v>0.7288</v>
      </c>
      <c r="K403" s="3130">
        <v>0.7288</v>
      </c>
      <c r="L403" s="3130">
        <v>0.7288</v>
      </c>
      <c r="M403" s="3131">
        <v>0.7288</v>
      </c>
    </row>
    <row r="404" spans="1:13">
      <c r="A404" s="3132">
        <v>4.3</v>
      </c>
      <c r="B404" s="3130">
        <v>0.92410000000000003</v>
      </c>
      <c r="C404" s="3130">
        <v>0.92410000000000003</v>
      </c>
      <c r="D404" s="3130">
        <v>0.86550000000000005</v>
      </c>
      <c r="E404" s="3130">
        <v>0.86550000000000005</v>
      </c>
      <c r="F404" s="3130">
        <v>0.86550000000000005</v>
      </c>
      <c r="G404" s="3130">
        <v>0.86550000000000005</v>
      </c>
      <c r="H404" s="3130">
        <v>0.86550000000000005</v>
      </c>
      <c r="I404" s="3130">
        <v>0.72509999999999997</v>
      </c>
      <c r="J404" s="3130">
        <v>0.72509999999999997</v>
      </c>
      <c r="K404" s="3130">
        <v>0.72509999999999997</v>
      </c>
      <c r="L404" s="3130">
        <v>0.72509999999999997</v>
      </c>
      <c r="M404" s="3131">
        <v>0.72509999999999997</v>
      </c>
    </row>
    <row r="405" spans="1:13">
      <c r="A405" s="3132">
        <v>4.4000000000000004</v>
      </c>
      <c r="B405" s="3130">
        <v>0.92179999999999995</v>
      </c>
      <c r="C405" s="3130">
        <v>0.92179999999999995</v>
      </c>
      <c r="D405" s="3130">
        <v>0.8629</v>
      </c>
      <c r="E405" s="3130">
        <v>0.8629</v>
      </c>
      <c r="F405" s="3130">
        <v>0.8629</v>
      </c>
      <c r="G405" s="3130">
        <v>0.8629</v>
      </c>
      <c r="H405" s="3130">
        <v>0.8629</v>
      </c>
      <c r="I405" s="3130">
        <v>0.72150000000000003</v>
      </c>
      <c r="J405" s="3130">
        <v>0.72150000000000003</v>
      </c>
      <c r="K405" s="3130">
        <v>0.72150000000000003</v>
      </c>
      <c r="L405" s="3130">
        <v>0.72150000000000003</v>
      </c>
      <c r="M405" s="3131">
        <v>0.72150000000000003</v>
      </c>
    </row>
    <row r="406" spans="1:13">
      <c r="A406" s="3132">
        <v>4.5</v>
      </c>
      <c r="B406" s="3130">
        <v>0.91949999999999998</v>
      </c>
      <c r="C406" s="3130">
        <v>0.91949999999999998</v>
      </c>
      <c r="D406" s="3130">
        <v>0.86050000000000004</v>
      </c>
      <c r="E406" s="3130">
        <v>0.86050000000000004</v>
      </c>
      <c r="F406" s="3130">
        <v>0.86050000000000004</v>
      </c>
      <c r="G406" s="3130">
        <v>0.86050000000000004</v>
      </c>
      <c r="H406" s="3130">
        <v>0.86050000000000004</v>
      </c>
      <c r="I406" s="3130">
        <v>0.71819999999999995</v>
      </c>
      <c r="J406" s="3130">
        <v>0.71819999999999995</v>
      </c>
      <c r="K406" s="3130">
        <v>0.71819999999999995</v>
      </c>
      <c r="L406" s="3130">
        <v>0.71819999999999995</v>
      </c>
      <c r="M406" s="3131">
        <v>0.71819999999999995</v>
      </c>
    </row>
    <row r="407" spans="1:13">
      <c r="A407" s="3132">
        <v>4.5999999999999996</v>
      </c>
      <c r="B407" s="3130">
        <v>0.9173</v>
      </c>
      <c r="C407" s="3130">
        <v>0.9173</v>
      </c>
      <c r="D407" s="3130">
        <v>0.85809999999999997</v>
      </c>
      <c r="E407" s="3130">
        <v>0.85809999999999997</v>
      </c>
      <c r="F407" s="3130">
        <v>0.85809999999999997</v>
      </c>
      <c r="G407" s="3130">
        <v>0.85809999999999997</v>
      </c>
      <c r="H407" s="3130">
        <v>0.85809999999999997</v>
      </c>
      <c r="I407" s="3130">
        <v>0.71499999999999997</v>
      </c>
      <c r="J407" s="3130">
        <v>0.71499999999999997</v>
      </c>
      <c r="K407" s="3130">
        <v>0.71499999999999997</v>
      </c>
      <c r="L407" s="3130">
        <v>0.71499999999999997</v>
      </c>
      <c r="M407" s="3131">
        <v>0.71499999999999997</v>
      </c>
    </row>
    <row r="408" spans="1:13">
      <c r="A408" s="3132">
        <v>4.7</v>
      </c>
      <c r="B408" s="3130">
        <v>0.91520000000000001</v>
      </c>
      <c r="C408" s="3130">
        <v>0.91520000000000001</v>
      </c>
      <c r="D408" s="3130">
        <v>0.85570000000000002</v>
      </c>
      <c r="E408" s="3130">
        <v>0.85570000000000002</v>
      </c>
      <c r="F408" s="3130">
        <v>0.85570000000000002</v>
      </c>
      <c r="G408" s="3130">
        <v>0.85570000000000002</v>
      </c>
      <c r="H408" s="3130">
        <v>0.85570000000000002</v>
      </c>
      <c r="I408" s="3130">
        <v>0.71199999999999997</v>
      </c>
      <c r="J408" s="3130">
        <v>0.71199999999999997</v>
      </c>
      <c r="K408" s="3130">
        <v>0.71199999999999997</v>
      </c>
      <c r="L408" s="3130">
        <v>0.71199999999999997</v>
      </c>
      <c r="M408" s="3131">
        <v>0.71199999999999997</v>
      </c>
    </row>
    <row r="409" spans="1:13">
      <c r="A409" s="3132">
        <v>4.8</v>
      </c>
      <c r="B409" s="3130">
        <v>0.91310000000000002</v>
      </c>
      <c r="C409" s="3130">
        <v>0.91310000000000002</v>
      </c>
      <c r="D409" s="3130">
        <v>0.85340000000000005</v>
      </c>
      <c r="E409" s="3130">
        <v>0.85340000000000005</v>
      </c>
      <c r="F409" s="3130">
        <v>0.85340000000000005</v>
      </c>
      <c r="G409" s="3130">
        <v>0.85340000000000005</v>
      </c>
      <c r="H409" s="3130">
        <v>0.85340000000000005</v>
      </c>
      <c r="I409" s="3130">
        <v>0.70909999999999995</v>
      </c>
      <c r="J409" s="3130">
        <v>0.70909999999999995</v>
      </c>
      <c r="K409" s="3130">
        <v>0.70909999999999995</v>
      </c>
      <c r="L409" s="3130">
        <v>0.70909999999999995</v>
      </c>
      <c r="M409" s="3131">
        <v>0.70909999999999995</v>
      </c>
    </row>
    <row r="410" spans="1:13">
      <c r="A410" s="3132">
        <v>4.9000000000000004</v>
      </c>
      <c r="B410" s="3130">
        <v>0.91120000000000001</v>
      </c>
      <c r="C410" s="3130">
        <v>0.91120000000000001</v>
      </c>
      <c r="D410" s="3130">
        <v>0.85109999999999997</v>
      </c>
      <c r="E410" s="3130">
        <v>0.85109999999999997</v>
      </c>
      <c r="F410" s="3130">
        <v>0.85109999999999997</v>
      </c>
      <c r="G410" s="3130">
        <v>0.85109999999999997</v>
      </c>
      <c r="H410" s="3130">
        <v>0.85109999999999997</v>
      </c>
      <c r="I410" s="3130">
        <v>0.70620000000000005</v>
      </c>
      <c r="J410" s="3130">
        <v>0.70620000000000005</v>
      </c>
      <c r="K410" s="3130">
        <v>0.70620000000000005</v>
      </c>
      <c r="L410" s="3130">
        <v>0.70620000000000005</v>
      </c>
      <c r="M410" s="3131">
        <v>0.70620000000000005</v>
      </c>
    </row>
    <row r="411" spans="1:13">
      <c r="A411" s="3132">
        <v>5</v>
      </c>
      <c r="B411" s="3130">
        <v>0.90920000000000001</v>
      </c>
      <c r="C411" s="3130">
        <v>0.90920000000000001</v>
      </c>
      <c r="D411" s="3130">
        <v>0.84889999999999999</v>
      </c>
      <c r="E411" s="3130">
        <v>0.84889999999999999</v>
      </c>
      <c r="F411" s="3130">
        <v>0.84889999999999999</v>
      </c>
      <c r="G411" s="3130">
        <v>0.84889999999999999</v>
      </c>
      <c r="H411" s="3130">
        <v>0.84889999999999999</v>
      </c>
      <c r="I411" s="3130">
        <v>0.70350000000000001</v>
      </c>
      <c r="J411" s="3130">
        <v>0.70350000000000001</v>
      </c>
      <c r="K411" s="3130">
        <v>0.70350000000000001</v>
      </c>
      <c r="L411" s="3130">
        <v>0.70350000000000001</v>
      </c>
      <c r="M411" s="3131">
        <v>0.70350000000000001</v>
      </c>
    </row>
    <row r="412" spans="1:13">
      <c r="A412" s="3129">
        <v>5.0999999999999996</v>
      </c>
      <c r="B412" s="3130">
        <v>0.90720000000000001</v>
      </c>
      <c r="C412" s="3130">
        <v>0.90720000000000001</v>
      </c>
      <c r="D412" s="3130">
        <v>0.84670000000000001</v>
      </c>
      <c r="E412" s="3130">
        <v>0.84670000000000001</v>
      </c>
      <c r="F412" s="3130">
        <v>0.84670000000000001</v>
      </c>
      <c r="G412" s="3130">
        <v>0.84670000000000001</v>
      </c>
      <c r="H412" s="3130">
        <v>0.84670000000000001</v>
      </c>
      <c r="I412" s="3130">
        <v>0.70089999999999997</v>
      </c>
      <c r="J412" s="3130">
        <v>0.70089999999999997</v>
      </c>
      <c r="K412" s="3130">
        <v>0.70089999999999997</v>
      </c>
      <c r="L412" s="3130">
        <v>0.70089999999999997</v>
      </c>
      <c r="M412" s="3131">
        <v>0.70089999999999997</v>
      </c>
    </row>
    <row r="413" spans="1:13">
      <c r="A413" s="3129">
        <v>5.2</v>
      </c>
      <c r="B413" s="3130">
        <v>0.90529999999999999</v>
      </c>
      <c r="C413" s="3130">
        <v>0.90529999999999999</v>
      </c>
      <c r="D413" s="3130">
        <v>0.84450000000000003</v>
      </c>
      <c r="E413" s="3130">
        <v>0.84450000000000003</v>
      </c>
      <c r="F413" s="3130">
        <v>0.84450000000000003</v>
      </c>
      <c r="G413" s="3130">
        <v>0.84450000000000003</v>
      </c>
      <c r="H413" s="3130">
        <v>0.84450000000000003</v>
      </c>
      <c r="I413" s="3130">
        <v>0.69820000000000004</v>
      </c>
      <c r="J413" s="3130">
        <v>0.69820000000000004</v>
      </c>
      <c r="K413" s="3130">
        <v>0.69820000000000004</v>
      </c>
      <c r="L413" s="3130">
        <v>0.69820000000000004</v>
      </c>
      <c r="M413" s="3131">
        <v>0.69820000000000004</v>
      </c>
    </row>
    <row r="414" spans="1:13">
      <c r="A414" s="3129">
        <v>5.3</v>
      </c>
      <c r="B414" s="3130">
        <v>0.90339999999999998</v>
      </c>
      <c r="C414" s="3130">
        <v>0.90339999999999998</v>
      </c>
      <c r="D414" s="3130">
        <v>0.84230000000000005</v>
      </c>
      <c r="E414" s="3130">
        <v>0.84230000000000005</v>
      </c>
      <c r="F414" s="3130">
        <v>0.84230000000000005</v>
      </c>
      <c r="G414" s="3130">
        <v>0.84230000000000005</v>
      </c>
      <c r="H414" s="3130">
        <v>0.84230000000000005</v>
      </c>
      <c r="I414" s="3130">
        <v>0.69569999999999999</v>
      </c>
      <c r="J414" s="3130">
        <v>0.69569999999999999</v>
      </c>
      <c r="K414" s="3130">
        <v>0.69569999999999999</v>
      </c>
      <c r="L414" s="3130">
        <v>0.69569999999999999</v>
      </c>
      <c r="M414" s="3131">
        <v>0.69569999999999999</v>
      </c>
    </row>
    <row r="415" spans="1:13">
      <c r="A415" s="3129">
        <v>5.4</v>
      </c>
      <c r="B415" s="3130">
        <v>0.90149999999999997</v>
      </c>
      <c r="C415" s="3130">
        <v>0.90149999999999997</v>
      </c>
      <c r="D415" s="3130">
        <v>0.84019999999999995</v>
      </c>
      <c r="E415" s="3130">
        <v>0.84019999999999995</v>
      </c>
      <c r="F415" s="3130">
        <v>0.84019999999999995</v>
      </c>
      <c r="G415" s="3130">
        <v>0.84019999999999995</v>
      </c>
      <c r="H415" s="3130">
        <v>0.84019999999999995</v>
      </c>
      <c r="I415" s="3130">
        <v>0.69310000000000005</v>
      </c>
      <c r="J415" s="3130">
        <v>0.69310000000000005</v>
      </c>
      <c r="K415" s="3130">
        <v>0.69310000000000005</v>
      </c>
      <c r="L415" s="3130">
        <v>0.69310000000000005</v>
      </c>
      <c r="M415" s="3131">
        <v>0.69310000000000005</v>
      </c>
    </row>
    <row r="416" spans="1:13">
      <c r="A416" s="3129">
        <v>5.5</v>
      </c>
      <c r="B416" s="3130">
        <v>0.89959999999999996</v>
      </c>
      <c r="C416" s="3130">
        <v>0.89959999999999996</v>
      </c>
      <c r="D416" s="3130">
        <v>0.83809999999999996</v>
      </c>
      <c r="E416" s="3130">
        <v>0.83809999999999996</v>
      </c>
      <c r="F416" s="3130">
        <v>0.83809999999999996</v>
      </c>
      <c r="G416" s="3130">
        <v>0.83809999999999996</v>
      </c>
      <c r="H416" s="3130">
        <v>0.83809999999999996</v>
      </c>
      <c r="I416" s="3130">
        <v>0.69059999999999999</v>
      </c>
      <c r="J416" s="3130">
        <v>0.69059999999999999</v>
      </c>
      <c r="K416" s="3130">
        <v>0.69059999999999999</v>
      </c>
      <c r="L416" s="3130">
        <v>0.69059999999999999</v>
      </c>
      <c r="M416" s="3131">
        <v>0.69059999999999999</v>
      </c>
    </row>
    <row r="417" spans="1:13">
      <c r="A417" s="3129">
        <v>5.6</v>
      </c>
      <c r="B417" s="3130">
        <v>0.89780000000000004</v>
      </c>
      <c r="C417" s="3130">
        <v>0.89780000000000004</v>
      </c>
      <c r="D417" s="3130">
        <v>0.83599999999999997</v>
      </c>
      <c r="E417" s="3130">
        <v>0.83599999999999997</v>
      </c>
      <c r="F417" s="3130">
        <v>0.83599999999999997</v>
      </c>
      <c r="G417" s="3130">
        <v>0.83599999999999997</v>
      </c>
      <c r="H417" s="3130">
        <v>0.83599999999999997</v>
      </c>
      <c r="I417" s="3130">
        <v>0.68810000000000004</v>
      </c>
      <c r="J417" s="3130">
        <v>0.68810000000000004</v>
      </c>
      <c r="K417" s="3130">
        <v>0.68810000000000004</v>
      </c>
      <c r="L417" s="3130">
        <v>0.68810000000000004</v>
      </c>
      <c r="M417" s="3131">
        <v>0.68810000000000004</v>
      </c>
    </row>
    <row r="418" spans="1:13">
      <c r="A418" s="3132">
        <v>5.7</v>
      </c>
      <c r="B418" s="3130">
        <v>0.89600000000000002</v>
      </c>
      <c r="C418" s="3130">
        <v>0.89600000000000002</v>
      </c>
      <c r="D418" s="3130">
        <v>0.83389999999999997</v>
      </c>
      <c r="E418" s="3130">
        <v>0.83389999999999997</v>
      </c>
      <c r="F418" s="3130">
        <v>0.83389999999999997</v>
      </c>
      <c r="G418" s="3130">
        <v>0.83389999999999997</v>
      </c>
      <c r="H418" s="3130">
        <v>0.83389999999999997</v>
      </c>
      <c r="I418" s="3130">
        <v>0.68569999999999998</v>
      </c>
      <c r="J418" s="3130">
        <v>0.68569999999999998</v>
      </c>
      <c r="K418" s="3130">
        <v>0.68569999999999998</v>
      </c>
      <c r="L418" s="3130">
        <v>0.68569999999999998</v>
      </c>
      <c r="M418" s="3131">
        <v>0.68569999999999998</v>
      </c>
    </row>
    <row r="419" spans="1:13">
      <c r="A419" s="3129">
        <v>5.8</v>
      </c>
      <c r="B419" s="3130">
        <v>0.89419999999999999</v>
      </c>
      <c r="C419" s="3130">
        <v>0.89419999999999999</v>
      </c>
      <c r="D419" s="3130">
        <v>0.83189999999999997</v>
      </c>
      <c r="E419" s="3130">
        <v>0.83189999999999997</v>
      </c>
      <c r="F419" s="3130">
        <v>0.83189999999999997</v>
      </c>
      <c r="G419" s="3130">
        <v>0.83189999999999997</v>
      </c>
      <c r="H419" s="3130">
        <v>0.83189999999999997</v>
      </c>
      <c r="I419" s="3130">
        <v>0.68320000000000003</v>
      </c>
      <c r="J419" s="3130">
        <v>0.68320000000000003</v>
      </c>
      <c r="K419" s="3130">
        <v>0.68320000000000003</v>
      </c>
      <c r="L419" s="3130">
        <v>0.68320000000000003</v>
      </c>
      <c r="M419" s="3131">
        <v>0.68320000000000003</v>
      </c>
    </row>
    <row r="420" spans="1:13">
      <c r="A420" s="3129">
        <v>5.9</v>
      </c>
      <c r="B420" s="3130">
        <v>0.89239999999999997</v>
      </c>
      <c r="C420" s="3130">
        <v>0.89239999999999997</v>
      </c>
      <c r="D420" s="3130">
        <v>0.82989999999999997</v>
      </c>
      <c r="E420" s="3130">
        <v>0.82989999999999997</v>
      </c>
      <c r="F420" s="3130">
        <v>0.82989999999999997</v>
      </c>
      <c r="G420" s="3130">
        <v>0.82989999999999997</v>
      </c>
      <c r="H420" s="3130">
        <v>0.82989999999999997</v>
      </c>
      <c r="I420" s="3130">
        <v>0.68069999999999997</v>
      </c>
      <c r="J420" s="3130">
        <v>0.68069999999999997</v>
      </c>
      <c r="K420" s="3130">
        <v>0.68069999999999997</v>
      </c>
      <c r="L420" s="3130">
        <v>0.68069999999999997</v>
      </c>
      <c r="M420" s="3131">
        <v>0.68069999999999997</v>
      </c>
    </row>
    <row r="421" spans="1:13">
      <c r="A421" s="3129">
        <v>6</v>
      </c>
      <c r="B421" s="3130">
        <v>0.89070000000000005</v>
      </c>
      <c r="C421" s="3130">
        <v>0.89070000000000005</v>
      </c>
      <c r="D421" s="3130">
        <v>0.82789999999999997</v>
      </c>
      <c r="E421" s="3130">
        <v>0.82789999999999997</v>
      </c>
      <c r="F421" s="3130">
        <v>0.82789999999999997</v>
      </c>
      <c r="G421" s="3130">
        <v>0.82789999999999997</v>
      </c>
      <c r="H421" s="3130">
        <v>0.82789999999999997</v>
      </c>
      <c r="I421" s="3130">
        <v>0.6784</v>
      </c>
      <c r="J421" s="3130">
        <v>0.6784</v>
      </c>
      <c r="K421" s="3130">
        <v>0.6784</v>
      </c>
      <c r="L421" s="3130">
        <v>0.6784</v>
      </c>
      <c r="M421" s="3131">
        <v>0.6784</v>
      </c>
    </row>
    <row r="422" spans="1:13">
      <c r="A422" s="3129">
        <v>6.1</v>
      </c>
      <c r="B422" s="3130">
        <v>0.88900000000000001</v>
      </c>
      <c r="C422" s="3130">
        <v>0.88900000000000001</v>
      </c>
      <c r="D422" s="3130">
        <v>0.82589999999999997</v>
      </c>
      <c r="E422" s="3130">
        <v>0.82589999999999997</v>
      </c>
      <c r="F422" s="3130">
        <v>0.82589999999999997</v>
      </c>
      <c r="G422" s="3130">
        <v>0.82589999999999997</v>
      </c>
      <c r="H422" s="3130">
        <v>0.82589999999999997</v>
      </c>
      <c r="I422" s="3130">
        <v>0.67600000000000005</v>
      </c>
      <c r="J422" s="3130">
        <v>0.67600000000000005</v>
      </c>
      <c r="K422" s="3130">
        <v>0.67600000000000005</v>
      </c>
      <c r="L422" s="3130">
        <v>0.67600000000000005</v>
      </c>
      <c r="M422" s="3131">
        <v>0.67600000000000005</v>
      </c>
    </row>
    <row r="423" spans="1:13">
      <c r="A423" s="3129">
        <v>6.2</v>
      </c>
      <c r="B423" s="3130">
        <v>0.88729999999999998</v>
      </c>
      <c r="C423" s="3130">
        <v>0.88729999999999998</v>
      </c>
      <c r="D423" s="3130">
        <v>0.82389999999999997</v>
      </c>
      <c r="E423" s="3130">
        <v>0.82389999999999997</v>
      </c>
      <c r="F423" s="3130">
        <v>0.82389999999999997</v>
      </c>
      <c r="G423" s="3130">
        <v>0.82389999999999997</v>
      </c>
      <c r="H423" s="3130">
        <v>0.82389999999999997</v>
      </c>
      <c r="I423" s="3130">
        <v>0.67359999999999998</v>
      </c>
      <c r="J423" s="3130">
        <v>0.67359999999999998</v>
      </c>
      <c r="K423" s="3130">
        <v>0.67359999999999998</v>
      </c>
      <c r="L423" s="3130">
        <v>0.67359999999999998</v>
      </c>
      <c r="M423" s="3131">
        <v>0.67359999999999998</v>
      </c>
    </row>
    <row r="424" spans="1:13">
      <c r="A424" s="3129">
        <v>6.3</v>
      </c>
      <c r="B424" s="3130">
        <v>0.88560000000000005</v>
      </c>
      <c r="C424" s="3130">
        <v>0.88560000000000005</v>
      </c>
      <c r="D424" s="3130">
        <v>0.82189999999999996</v>
      </c>
      <c r="E424" s="3130">
        <v>0.82189999999999996</v>
      </c>
      <c r="F424" s="3130">
        <v>0.82189999999999996</v>
      </c>
      <c r="G424" s="3130">
        <v>0.82189999999999996</v>
      </c>
      <c r="H424" s="3130">
        <v>0.82189999999999996</v>
      </c>
      <c r="I424" s="3130">
        <v>0.67130000000000001</v>
      </c>
      <c r="J424" s="3130">
        <v>0.67130000000000001</v>
      </c>
      <c r="K424" s="3130">
        <v>0.67130000000000001</v>
      </c>
      <c r="L424" s="3130">
        <v>0.67130000000000001</v>
      </c>
      <c r="M424" s="3131">
        <v>0.67130000000000001</v>
      </c>
    </row>
    <row r="425" spans="1:13">
      <c r="A425" s="3129">
        <v>6.4</v>
      </c>
      <c r="B425" s="3130">
        <v>0.88390000000000002</v>
      </c>
      <c r="C425" s="3130">
        <v>0.88390000000000002</v>
      </c>
      <c r="D425" s="3130">
        <v>0.82</v>
      </c>
      <c r="E425" s="3130">
        <v>0.82</v>
      </c>
      <c r="F425" s="3130">
        <v>0.82</v>
      </c>
      <c r="G425" s="3130">
        <v>0.82</v>
      </c>
      <c r="H425" s="3130">
        <v>0.82</v>
      </c>
      <c r="I425" s="3130">
        <v>0.66890000000000005</v>
      </c>
      <c r="J425" s="3130">
        <v>0.66890000000000005</v>
      </c>
      <c r="K425" s="3130">
        <v>0.66890000000000005</v>
      </c>
      <c r="L425" s="3130">
        <v>0.66890000000000005</v>
      </c>
      <c r="M425" s="3131">
        <v>0.66890000000000005</v>
      </c>
    </row>
    <row r="426" spans="1:13">
      <c r="A426" s="3129">
        <v>6.5</v>
      </c>
      <c r="B426" s="3130">
        <v>0.88229999999999997</v>
      </c>
      <c r="C426" s="3130">
        <v>0.88229999999999997</v>
      </c>
      <c r="D426" s="3130">
        <v>0.81810000000000005</v>
      </c>
      <c r="E426" s="3130">
        <v>0.81810000000000005</v>
      </c>
      <c r="F426" s="3130">
        <v>0.81810000000000005</v>
      </c>
      <c r="G426" s="3130">
        <v>0.81810000000000005</v>
      </c>
      <c r="H426" s="3130">
        <v>0.81810000000000005</v>
      </c>
      <c r="I426" s="3130">
        <v>0.66659999999999997</v>
      </c>
      <c r="J426" s="3130">
        <v>0.66659999999999997</v>
      </c>
      <c r="K426" s="3130">
        <v>0.66659999999999997</v>
      </c>
      <c r="L426" s="3130">
        <v>0.66659999999999997</v>
      </c>
      <c r="M426" s="3131">
        <v>0.66659999999999997</v>
      </c>
    </row>
    <row r="427" spans="1:13">
      <c r="A427" s="3129">
        <v>6.6</v>
      </c>
      <c r="B427" s="3130">
        <v>0.88070000000000004</v>
      </c>
      <c r="C427" s="3130">
        <v>0.88070000000000004</v>
      </c>
      <c r="D427" s="3130">
        <v>0.81620000000000004</v>
      </c>
      <c r="E427" s="3130">
        <v>0.81620000000000004</v>
      </c>
      <c r="F427" s="3130">
        <v>0.81620000000000004</v>
      </c>
      <c r="G427" s="3130">
        <v>0.81620000000000004</v>
      </c>
      <c r="H427" s="3130">
        <v>0.81620000000000004</v>
      </c>
      <c r="I427" s="3130">
        <v>0.66439999999999999</v>
      </c>
      <c r="J427" s="3130">
        <v>0.66439999999999999</v>
      </c>
      <c r="K427" s="3130">
        <v>0.66439999999999999</v>
      </c>
      <c r="L427" s="3130">
        <v>0.66439999999999999</v>
      </c>
      <c r="M427" s="3131">
        <v>0.66439999999999999</v>
      </c>
    </row>
    <row r="428" spans="1:13">
      <c r="A428" s="3129">
        <v>6.7</v>
      </c>
      <c r="B428" s="3130">
        <v>0.879</v>
      </c>
      <c r="C428" s="3130">
        <v>0.879</v>
      </c>
      <c r="D428" s="3130">
        <v>0.81430000000000002</v>
      </c>
      <c r="E428" s="3130">
        <v>0.81430000000000002</v>
      </c>
      <c r="F428" s="3130">
        <v>0.81430000000000002</v>
      </c>
      <c r="G428" s="3130">
        <v>0.81430000000000002</v>
      </c>
      <c r="H428" s="3130">
        <v>0.81430000000000002</v>
      </c>
      <c r="I428" s="3130">
        <v>0.66210000000000002</v>
      </c>
      <c r="J428" s="3130">
        <v>0.66210000000000002</v>
      </c>
      <c r="K428" s="3130">
        <v>0.66210000000000002</v>
      </c>
      <c r="L428" s="3130">
        <v>0.66210000000000002</v>
      </c>
      <c r="M428" s="3131">
        <v>0.66210000000000002</v>
      </c>
    </row>
    <row r="429" spans="1:13">
      <c r="A429" s="3129">
        <v>6.8</v>
      </c>
      <c r="B429" s="3130">
        <v>0.87739999999999996</v>
      </c>
      <c r="C429" s="3130">
        <v>0.87739999999999996</v>
      </c>
      <c r="D429" s="3130">
        <v>0.81240000000000001</v>
      </c>
      <c r="E429" s="3130">
        <v>0.81240000000000001</v>
      </c>
      <c r="F429" s="3130">
        <v>0.81240000000000001</v>
      </c>
      <c r="G429" s="3130">
        <v>0.81240000000000001</v>
      </c>
      <c r="H429" s="3130">
        <v>0.81240000000000001</v>
      </c>
      <c r="I429" s="3130">
        <v>0.65980000000000005</v>
      </c>
      <c r="J429" s="3130">
        <v>0.65980000000000005</v>
      </c>
      <c r="K429" s="3130">
        <v>0.65980000000000005</v>
      </c>
      <c r="L429" s="3130">
        <v>0.65980000000000005</v>
      </c>
      <c r="M429" s="3131">
        <v>0.65980000000000005</v>
      </c>
    </row>
    <row r="430" spans="1:13">
      <c r="A430" s="3129">
        <v>6.9</v>
      </c>
      <c r="B430" s="3130">
        <v>0.87580000000000002</v>
      </c>
      <c r="C430" s="3130">
        <v>0.87580000000000002</v>
      </c>
      <c r="D430" s="3130">
        <v>0.8105</v>
      </c>
      <c r="E430" s="3130">
        <v>0.8105</v>
      </c>
      <c r="F430" s="3130">
        <v>0.8105</v>
      </c>
      <c r="G430" s="3130">
        <v>0.8105</v>
      </c>
      <c r="H430" s="3130">
        <v>0.8105</v>
      </c>
      <c r="I430" s="3130">
        <v>0.65749999999999997</v>
      </c>
      <c r="J430" s="3130">
        <v>0.65749999999999997</v>
      </c>
      <c r="K430" s="3130">
        <v>0.65749999999999997</v>
      </c>
      <c r="L430" s="3130">
        <v>0.65749999999999997</v>
      </c>
      <c r="M430" s="3131">
        <v>0.65749999999999997</v>
      </c>
    </row>
    <row r="431" spans="1:13">
      <c r="A431" s="3129">
        <v>7</v>
      </c>
      <c r="B431" s="3130">
        <v>0.87419999999999998</v>
      </c>
      <c r="C431" s="3130">
        <v>0.87419999999999998</v>
      </c>
      <c r="D431" s="3130">
        <v>0.80869999999999997</v>
      </c>
      <c r="E431" s="3130">
        <v>0.80869999999999997</v>
      </c>
      <c r="F431" s="3130">
        <v>0.80869999999999997</v>
      </c>
      <c r="G431" s="3130">
        <v>0.80869999999999997</v>
      </c>
      <c r="H431" s="3130">
        <v>0.80869999999999997</v>
      </c>
      <c r="I431" s="3130">
        <v>0.65529999999999999</v>
      </c>
      <c r="J431" s="3130">
        <v>0.65529999999999999</v>
      </c>
      <c r="K431" s="3130">
        <v>0.65529999999999999</v>
      </c>
      <c r="L431" s="3130">
        <v>0.65529999999999999</v>
      </c>
      <c r="M431" s="3131">
        <v>0.65529999999999999</v>
      </c>
    </row>
    <row r="432" spans="1:13">
      <c r="A432" s="3129">
        <v>7.1</v>
      </c>
      <c r="B432" s="3130">
        <v>0.87270000000000003</v>
      </c>
      <c r="C432" s="3130">
        <v>0.87270000000000003</v>
      </c>
      <c r="D432" s="3130">
        <v>0.80689999999999995</v>
      </c>
      <c r="E432" s="3130">
        <v>0.80689999999999995</v>
      </c>
      <c r="F432" s="3130">
        <v>0.80689999999999995</v>
      </c>
      <c r="G432" s="3130">
        <v>0.80689999999999995</v>
      </c>
      <c r="H432" s="3130">
        <v>0.80689999999999995</v>
      </c>
      <c r="I432" s="3130">
        <v>0.6532</v>
      </c>
      <c r="J432" s="3130">
        <v>0.6532</v>
      </c>
      <c r="K432" s="3130">
        <v>0.6532</v>
      </c>
      <c r="L432" s="3130">
        <v>0.6532</v>
      </c>
      <c r="M432" s="3131">
        <v>0.6532</v>
      </c>
    </row>
    <row r="433" spans="1:13">
      <c r="A433" s="3129">
        <v>7.2</v>
      </c>
      <c r="B433" s="3130">
        <v>0.87119999999999997</v>
      </c>
      <c r="C433" s="3130">
        <v>0.87119999999999997</v>
      </c>
      <c r="D433" s="3130">
        <v>0.80510000000000004</v>
      </c>
      <c r="E433" s="3130">
        <v>0.80510000000000004</v>
      </c>
      <c r="F433" s="3130">
        <v>0.80510000000000004</v>
      </c>
      <c r="G433" s="3130">
        <v>0.80510000000000004</v>
      </c>
      <c r="H433" s="3130">
        <v>0.80510000000000004</v>
      </c>
      <c r="I433" s="3130">
        <v>0.65100000000000002</v>
      </c>
      <c r="J433" s="3130">
        <v>0.65100000000000002</v>
      </c>
      <c r="K433" s="3130">
        <v>0.65100000000000002</v>
      </c>
      <c r="L433" s="3130">
        <v>0.65100000000000002</v>
      </c>
      <c r="M433" s="3131">
        <v>0.65100000000000002</v>
      </c>
    </row>
    <row r="434" spans="1:13">
      <c r="A434" s="3129">
        <v>7.3</v>
      </c>
      <c r="B434" s="3130">
        <v>0.86970000000000003</v>
      </c>
      <c r="C434" s="3130">
        <v>0.86970000000000003</v>
      </c>
      <c r="D434" s="3130">
        <v>0.80330000000000001</v>
      </c>
      <c r="E434" s="3130">
        <v>0.80330000000000001</v>
      </c>
      <c r="F434" s="3130">
        <v>0.80330000000000001</v>
      </c>
      <c r="G434" s="3130">
        <v>0.80330000000000001</v>
      </c>
      <c r="H434" s="3130">
        <v>0.80330000000000001</v>
      </c>
      <c r="I434" s="3130">
        <v>0.64880000000000004</v>
      </c>
      <c r="J434" s="3130">
        <v>0.64880000000000004</v>
      </c>
      <c r="K434" s="3130">
        <v>0.64880000000000004</v>
      </c>
      <c r="L434" s="3130">
        <v>0.64880000000000004</v>
      </c>
      <c r="M434" s="3131">
        <v>0.64880000000000004</v>
      </c>
    </row>
    <row r="435" spans="1:13">
      <c r="A435" s="3129">
        <v>7.4</v>
      </c>
      <c r="B435" s="3130">
        <v>0.86819999999999997</v>
      </c>
      <c r="C435" s="3130">
        <v>0.86819999999999997</v>
      </c>
      <c r="D435" s="3130">
        <v>0.80149999999999999</v>
      </c>
      <c r="E435" s="3130">
        <v>0.80149999999999999</v>
      </c>
      <c r="F435" s="3130">
        <v>0.80149999999999999</v>
      </c>
      <c r="G435" s="3130">
        <v>0.80149999999999999</v>
      </c>
      <c r="H435" s="3130">
        <v>0.80149999999999999</v>
      </c>
      <c r="I435" s="3130">
        <v>0.64659999999999995</v>
      </c>
      <c r="J435" s="3130">
        <v>0.64659999999999995</v>
      </c>
      <c r="K435" s="3130">
        <v>0.64659999999999995</v>
      </c>
      <c r="L435" s="3130">
        <v>0.64659999999999995</v>
      </c>
      <c r="M435" s="3131">
        <v>0.64659999999999995</v>
      </c>
    </row>
    <row r="436" spans="1:13">
      <c r="A436" s="3129">
        <v>7.5</v>
      </c>
      <c r="B436" s="3130">
        <v>0.86660000000000004</v>
      </c>
      <c r="C436" s="3130">
        <v>0.86660000000000004</v>
      </c>
      <c r="D436" s="3130">
        <v>0.79969999999999997</v>
      </c>
      <c r="E436" s="3130">
        <v>0.79969999999999997</v>
      </c>
      <c r="F436" s="3130">
        <v>0.79969999999999997</v>
      </c>
      <c r="G436" s="3130">
        <v>0.79969999999999997</v>
      </c>
      <c r="H436" s="3130">
        <v>0.79969999999999997</v>
      </c>
      <c r="I436" s="3130">
        <v>0.64449999999999996</v>
      </c>
      <c r="J436" s="3130">
        <v>0.64449999999999996</v>
      </c>
      <c r="K436" s="3130">
        <v>0.64449999999999996</v>
      </c>
      <c r="L436" s="3130">
        <v>0.64449999999999996</v>
      </c>
      <c r="M436" s="3131">
        <v>0.64449999999999996</v>
      </c>
    </row>
    <row r="437" spans="1:13">
      <c r="A437" s="3129">
        <v>7.6</v>
      </c>
      <c r="B437" s="3130">
        <v>0.86509999999999998</v>
      </c>
      <c r="C437" s="3130">
        <v>0.86509999999999998</v>
      </c>
      <c r="D437" s="3130">
        <v>0.79800000000000004</v>
      </c>
      <c r="E437" s="3130">
        <v>0.79800000000000004</v>
      </c>
      <c r="F437" s="3130">
        <v>0.79800000000000004</v>
      </c>
      <c r="G437" s="3130">
        <v>0.79800000000000004</v>
      </c>
      <c r="H437" s="3130">
        <v>0.79800000000000004</v>
      </c>
      <c r="I437" s="3130">
        <v>0.64239999999999997</v>
      </c>
      <c r="J437" s="3130">
        <v>0.64239999999999997</v>
      </c>
      <c r="K437" s="3130">
        <v>0.64239999999999997</v>
      </c>
      <c r="L437" s="3130">
        <v>0.64239999999999997</v>
      </c>
      <c r="M437" s="3131">
        <v>0.64239999999999997</v>
      </c>
    </row>
    <row r="438" spans="1:13">
      <c r="A438" s="3129">
        <v>7.7</v>
      </c>
      <c r="B438" s="3130">
        <v>0.86370000000000002</v>
      </c>
      <c r="C438" s="3130">
        <v>0.86370000000000002</v>
      </c>
      <c r="D438" s="3130">
        <v>0.79630000000000001</v>
      </c>
      <c r="E438" s="3130">
        <v>0.79630000000000001</v>
      </c>
      <c r="F438" s="3130">
        <v>0.79630000000000001</v>
      </c>
      <c r="G438" s="3130">
        <v>0.79630000000000001</v>
      </c>
      <c r="H438" s="3130">
        <v>0.79630000000000001</v>
      </c>
      <c r="I438" s="3130">
        <v>0.64029999999999998</v>
      </c>
      <c r="J438" s="3130">
        <v>0.64029999999999998</v>
      </c>
      <c r="K438" s="3130">
        <v>0.64029999999999998</v>
      </c>
      <c r="L438" s="3130">
        <v>0.64029999999999998</v>
      </c>
      <c r="M438" s="3131">
        <v>0.64029999999999998</v>
      </c>
    </row>
    <row r="439" spans="1:13">
      <c r="A439" s="3129">
        <v>7.8</v>
      </c>
      <c r="B439" s="3130">
        <v>0.86229999999999996</v>
      </c>
      <c r="C439" s="3130">
        <v>0.86229999999999996</v>
      </c>
      <c r="D439" s="3130">
        <v>0.79449999999999998</v>
      </c>
      <c r="E439" s="3130">
        <v>0.79449999999999998</v>
      </c>
      <c r="F439" s="3130">
        <v>0.79449999999999998</v>
      </c>
      <c r="G439" s="3130">
        <v>0.79449999999999998</v>
      </c>
      <c r="H439" s="3130">
        <v>0.79449999999999998</v>
      </c>
      <c r="I439" s="3130">
        <v>0.63819999999999999</v>
      </c>
      <c r="J439" s="3130">
        <v>0.63819999999999999</v>
      </c>
      <c r="K439" s="3130">
        <v>0.63819999999999999</v>
      </c>
      <c r="L439" s="3130">
        <v>0.63819999999999999</v>
      </c>
      <c r="M439" s="3131">
        <v>0.63819999999999999</v>
      </c>
    </row>
    <row r="440" spans="1:13">
      <c r="A440" s="3129">
        <v>7.9</v>
      </c>
      <c r="B440" s="3130">
        <v>0.8609</v>
      </c>
      <c r="C440" s="3130">
        <v>0.8609</v>
      </c>
      <c r="D440" s="3130">
        <v>0.79279999999999995</v>
      </c>
      <c r="E440" s="3130">
        <v>0.79279999999999995</v>
      </c>
      <c r="F440" s="3130">
        <v>0.79279999999999995</v>
      </c>
      <c r="G440" s="3130">
        <v>0.79279999999999995</v>
      </c>
      <c r="H440" s="3130">
        <v>0.79279999999999995</v>
      </c>
      <c r="I440" s="3130">
        <v>0.6361</v>
      </c>
      <c r="J440" s="3130">
        <v>0.6361</v>
      </c>
      <c r="K440" s="3130">
        <v>0.6361</v>
      </c>
      <c r="L440" s="3130">
        <v>0.6361</v>
      </c>
      <c r="M440" s="3131">
        <v>0.6361</v>
      </c>
    </row>
    <row r="441" spans="1:13">
      <c r="A441" s="3129">
        <v>8</v>
      </c>
      <c r="B441" s="3130">
        <v>0.85940000000000005</v>
      </c>
      <c r="C441" s="3130">
        <v>0.85940000000000005</v>
      </c>
      <c r="D441" s="3130">
        <v>0.79110000000000003</v>
      </c>
      <c r="E441" s="3130">
        <v>0.79110000000000003</v>
      </c>
      <c r="F441" s="3130">
        <v>0.79110000000000003</v>
      </c>
      <c r="G441" s="3130">
        <v>0.79110000000000003</v>
      </c>
      <c r="H441" s="3130">
        <v>0.79110000000000003</v>
      </c>
      <c r="I441" s="3130">
        <v>0.6341</v>
      </c>
      <c r="J441" s="3130">
        <v>0.6341</v>
      </c>
      <c r="K441" s="3130">
        <v>0.6341</v>
      </c>
      <c r="L441" s="3130">
        <v>0.6341</v>
      </c>
      <c r="M441" s="3131">
        <v>0.6341</v>
      </c>
    </row>
    <row r="442" spans="1:13">
      <c r="A442" s="3129">
        <v>8.1</v>
      </c>
      <c r="B442" s="3130">
        <v>0.85799999999999998</v>
      </c>
      <c r="C442" s="3130">
        <v>0.85799999999999998</v>
      </c>
      <c r="D442" s="3130">
        <v>0.78939999999999999</v>
      </c>
      <c r="E442" s="3130">
        <v>0.78939999999999999</v>
      </c>
      <c r="F442" s="3130">
        <v>0.78939999999999999</v>
      </c>
      <c r="G442" s="3130">
        <v>0.78939999999999999</v>
      </c>
      <c r="H442" s="3130">
        <v>0.78939999999999999</v>
      </c>
      <c r="I442" s="3130">
        <v>0.6321</v>
      </c>
      <c r="J442" s="3130">
        <v>0.6321</v>
      </c>
      <c r="K442" s="3130">
        <v>0.6321</v>
      </c>
      <c r="L442" s="3130">
        <v>0.6321</v>
      </c>
      <c r="M442" s="3131">
        <v>0.6321</v>
      </c>
    </row>
    <row r="443" spans="1:13">
      <c r="A443" s="3129">
        <v>8.1999999999999993</v>
      </c>
      <c r="B443" s="3130">
        <v>0.85660000000000003</v>
      </c>
      <c r="C443" s="3130">
        <v>0.85660000000000003</v>
      </c>
      <c r="D443" s="3130">
        <v>0.78779999999999994</v>
      </c>
      <c r="E443" s="3130">
        <v>0.78779999999999994</v>
      </c>
      <c r="F443" s="3130">
        <v>0.78779999999999994</v>
      </c>
      <c r="G443" s="3130">
        <v>0.78779999999999994</v>
      </c>
      <c r="H443" s="3130">
        <v>0.78779999999999994</v>
      </c>
      <c r="I443" s="3130">
        <v>0.63009999999999999</v>
      </c>
      <c r="J443" s="3130">
        <v>0.63009999999999999</v>
      </c>
      <c r="K443" s="3130">
        <v>0.63009999999999999</v>
      </c>
      <c r="L443" s="3130">
        <v>0.63009999999999999</v>
      </c>
      <c r="M443" s="3131">
        <v>0.63009999999999999</v>
      </c>
    </row>
    <row r="444" spans="1:13">
      <c r="A444" s="3129">
        <v>8.3000000000000007</v>
      </c>
      <c r="B444" s="3130">
        <v>0.85529999999999995</v>
      </c>
      <c r="C444" s="3130">
        <v>0.85529999999999995</v>
      </c>
      <c r="D444" s="3130">
        <v>0.78620000000000001</v>
      </c>
      <c r="E444" s="3130">
        <v>0.78620000000000001</v>
      </c>
      <c r="F444" s="3130">
        <v>0.78620000000000001</v>
      </c>
      <c r="G444" s="3130">
        <v>0.78620000000000001</v>
      </c>
      <c r="H444" s="3130">
        <v>0.78620000000000001</v>
      </c>
      <c r="I444" s="3130">
        <v>0.62809999999999999</v>
      </c>
      <c r="J444" s="3130">
        <v>0.62809999999999999</v>
      </c>
      <c r="K444" s="3130">
        <v>0.62809999999999999</v>
      </c>
      <c r="L444" s="3130">
        <v>0.62809999999999999</v>
      </c>
      <c r="M444" s="3131">
        <v>0.62809999999999999</v>
      </c>
    </row>
    <row r="445" spans="1:13">
      <c r="A445" s="3129">
        <v>8.4</v>
      </c>
      <c r="B445" s="3130">
        <v>0.85389999999999999</v>
      </c>
      <c r="C445" s="3130">
        <v>0.85389999999999999</v>
      </c>
      <c r="D445" s="3130">
        <v>0.78459999999999996</v>
      </c>
      <c r="E445" s="3130">
        <v>0.78459999999999996</v>
      </c>
      <c r="F445" s="3130">
        <v>0.78459999999999996</v>
      </c>
      <c r="G445" s="3130">
        <v>0.78459999999999996</v>
      </c>
      <c r="H445" s="3130">
        <v>0.78459999999999996</v>
      </c>
      <c r="I445" s="3130">
        <v>0.62609999999999999</v>
      </c>
      <c r="J445" s="3130">
        <v>0.62609999999999999</v>
      </c>
      <c r="K445" s="3130">
        <v>0.62609999999999999</v>
      </c>
      <c r="L445" s="3130">
        <v>0.62609999999999999</v>
      </c>
      <c r="M445" s="3131">
        <v>0.62609999999999999</v>
      </c>
    </row>
    <row r="446" spans="1:13">
      <c r="A446" s="3129">
        <v>8.5</v>
      </c>
      <c r="B446" s="3130">
        <v>0.85260000000000002</v>
      </c>
      <c r="C446" s="3130">
        <v>0.85260000000000002</v>
      </c>
      <c r="D446" s="3130">
        <v>0.78290000000000004</v>
      </c>
      <c r="E446" s="3130">
        <v>0.78290000000000004</v>
      </c>
      <c r="F446" s="3130">
        <v>0.78290000000000004</v>
      </c>
      <c r="G446" s="3130">
        <v>0.78290000000000004</v>
      </c>
      <c r="H446" s="3130">
        <v>0.78290000000000004</v>
      </c>
      <c r="I446" s="3130">
        <v>0.62419999999999998</v>
      </c>
      <c r="J446" s="3130">
        <v>0.62419999999999998</v>
      </c>
      <c r="K446" s="3130">
        <v>0.62419999999999998</v>
      </c>
      <c r="L446" s="3130">
        <v>0.62419999999999998</v>
      </c>
      <c r="M446" s="3131">
        <v>0.62419999999999998</v>
      </c>
    </row>
    <row r="447" spans="1:13">
      <c r="A447" s="3129">
        <v>8.6</v>
      </c>
      <c r="B447" s="3130">
        <v>0.85129999999999995</v>
      </c>
      <c r="C447" s="3130">
        <v>0.85129999999999995</v>
      </c>
      <c r="D447" s="3130">
        <v>0.78129999999999999</v>
      </c>
      <c r="E447" s="3130">
        <v>0.78129999999999999</v>
      </c>
      <c r="F447" s="3130">
        <v>0.78129999999999999</v>
      </c>
      <c r="G447" s="3130">
        <v>0.78129999999999999</v>
      </c>
      <c r="H447" s="3130">
        <v>0.78129999999999999</v>
      </c>
      <c r="I447" s="3130">
        <v>0.62229999999999996</v>
      </c>
      <c r="J447" s="3130">
        <v>0.62229999999999996</v>
      </c>
      <c r="K447" s="3130">
        <v>0.62229999999999996</v>
      </c>
      <c r="L447" s="3130">
        <v>0.62229999999999996</v>
      </c>
      <c r="M447" s="3131">
        <v>0.62229999999999996</v>
      </c>
    </row>
    <row r="448" spans="1:13">
      <c r="A448" s="3129">
        <v>8.6999999999999993</v>
      </c>
      <c r="B448" s="3130">
        <v>0.85</v>
      </c>
      <c r="C448" s="3130">
        <v>0.85</v>
      </c>
      <c r="D448" s="3130">
        <v>0.77969999999999995</v>
      </c>
      <c r="E448" s="3130">
        <v>0.77969999999999995</v>
      </c>
      <c r="F448" s="3130">
        <v>0.77969999999999995</v>
      </c>
      <c r="G448" s="3130">
        <v>0.77969999999999995</v>
      </c>
      <c r="H448" s="3130">
        <v>0.77969999999999995</v>
      </c>
      <c r="I448" s="3130">
        <v>0.62039999999999995</v>
      </c>
      <c r="J448" s="3130">
        <v>0.62039999999999995</v>
      </c>
      <c r="K448" s="3130">
        <v>0.62039999999999995</v>
      </c>
      <c r="L448" s="3130">
        <v>0.62039999999999995</v>
      </c>
      <c r="M448" s="3131">
        <v>0.62039999999999995</v>
      </c>
    </row>
    <row r="449" spans="1:13">
      <c r="A449" s="3129">
        <v>8.8000000000000007</v>
      </c>
      <c r="B449" s="3130">
        <v>0.84860000000000002</v>
      </c>
      <c r="C449" s="3130">
        <v>0.84860000000000002</v>
      </c>
      <c r="D449" s="3130">
        <v>0.7782</v>
      </c>
      <c r="E449" s="3130">
        <v>0.7782</v>
      </c>
      <c r="F449" s="3130">
        <v>0.7782</v>
      </c>
      <c r="G449" s="3130">
        <v>0.7782</v>
      </c>
      <c r="H449" s="3130">
        <v>0.7782</v>
      </c>
      <c r="I449" s="3130">
        <v>0.61850000000000005</v>
      </c>
      <c r="J449" s="3130">
        <v>0.61850000000000005</v>
      </c>
      <c r="K449" s="3130">
        <v>0.61850000000000005</v>
      </c>
      <c r="L449" s="3130">
        <v>0.61850000000000005</v>
      </c>
      <c r="M449" s="3131">
        <v>0.61850000000000005</v>
      </c>
    </row>
    <row r="450" spans="1:13">
      <c r="A450" s="3129">
        <v>8.9</v>
      </c>
      <c r="B450" s="3130">
        <v>0.84740000000000004</v>
      </c>
      <c r="C450" s="3130">
        <v>0.84740000000000004</v>
      </c>
      <c r="D450" s="3130">
        <v>0.77669999999999995</v>
      </c>
      <c r="E450" s="3130">
        <v>0.77669999999999995</v>
      </c>
      <c r="F450" s="3130">
        <v>0.77669999999999995</v>
      </c>
      <c r="G450" s="3130">
        <v>0.77669999999999995</v>
      </c>
      <c r="H450" s="3130">
        <v>0.77669999999999995</v>
      </c>
      <c r="I450" s="3130">
        <v>0.61670000000000003</v>
      </c>
      <c r="J450" s="3130">
        <v>0.61670000000000003</v>
      </c>
      <c r="K450" s="3130">
        <v>0.61670000000000003</v>
      </c>
      <c r="L450" s="3130">
        <v>0.61670000000000003</v>
      </c>
      <c r="M450" s="3131">
        <v>0.61670000000000003</v>
      </c>
    </row>
    <row r="451" spans="1:13">
      <c r="A451" s="3132">
        <v>9</v>
      </c>
      <c r="B451" s="3130">
        <v>0.84619999999999995</v>
      </c>
      <c r="C451" s="3130">
        <v>0.84619999999999995</v>
      </c>
      <c r="D451" s="3130">
        <v>0.77510000000000001</v>
      </c>
      <c r="E451" s="3130">
        <v>0.77510000000000001</v>
      </c>
      <c r="F451" s="3130">
        <v>0.77510000000000001</v>
      </c>
      <c r="G451" s="3130">
        <v>0.77510000000000001</v>
      </c>
      <c r="H451" s="3130">
        <v>0.77510000000000001</v>
      </c>
      <c r="I451" s="3130">
        <v>0.61480000000000001</v>
      </c>
      <c r="J451" s="3130">
        <v>0.61480000000000001</v>
      </c>
      <c r="K451" s="3130">
        <v>0.61480000000000001</v>
      </c>
      <c r="L451" s="3130">
        <v>0.61480000000000001</v>
      </c>
      <c r="M451" s="3131">
        <v>0.61480000000000001</v>
      </c>
    </row>
    <row r="452" spans="1:13">
      <c r="A452" s="3132">
        <v>9.1</v>
      </c>
      <c r="B452" s="3130">
        <v>0.84499999999999997</v>
      </c>
      <c r="C452" s="3130">
        <v>0.84499999999999997</v>
      </c>
      <c r="D452" s="3130">
        <v>0.77359999999999995</v>
      </c>
      <c r="E452" s="3130">
        <v>0.77359999999999995</v>
      </c>
      <c r="F452" s="3130">
        <v>0.77359999999999995</v>
      </c>
      <c r="G452" s="3130">
        <v>0.77359999999999995</v>
      </c>
      <c r="H452" s="3130">
        <v>0.77359999999999995</v>
      </c>
      <c r="I452" s="3130">
        <v>0.61299999999999999</v>
      </c>
      <c r="J452" s="3130">
        <v>0.61299999999999999</v>
      </c>
      <c r="K452" s="3130">
        <v>0.61299999999999999</v>
      </c>
      <c r="L452" s="3130">
        <v>0.61299999999999999</v>
      </c>
      <c r="M452" s="3131">
        <v>0.61299999999999999</v>
      </c>
    </row>
    <row r="453" spans="1:13">
      <c r="A453" s="3132">
        <v>9.1999999999999993</v>
      </c>
      <c r="B453" s="3130">
        <v>0.84370000000000001</v>
      </c>
      <c r="C453" s="3130">
        <v>0.84370000000000001</v>
      </c>
      <c r="D453" s="3130">
        <v>0.77210000000000001</v>
      </c>
      <c r="E453" s="3130">
        <v>0.77210000000000001</v>
      </c>
      <c r="F453" s="3130">
        <v>0.77210000000000001</v>
      </c>
      <c r="G453" s="3130">
        <v>0.77210000000000001</v>
      </c>
      <c r="H453" s="3130">
        <v>0.77210000000000001</v>
      </c>
      <c r="I453" s="3130">
        <v>0.61119999999999997</v>
      </c>
      <c r="J453" s="3130">
        <v>0.61119999999999997</v>
      </c>
      <c r="K453" s="3130">
        <v>0.61119999999999997</v>
      </c>
      <c r="L453" s="3130">
        <v>0.61119999999999997</v>
      </c>
      <c r="M453" s="3131">
        <v>0.61119999999999997</v>
      </c>
    </row>
    <row r="454" spans="1:13">
      <c r="A454" s="3132">
        <v>9.3000000000000007</v>
      </c>
      <c r="B454" s="3130">
        <v>0.84250000000000003</v>
      </c>
      <c r="C454" s="3130">
        <v>0.84250000000000003</v>
      </c>
      <c r="D454" s="3130">
        <v>0.77059999999999995</v>
      </c>
      <c r="E454" s="3130">
        <v>0.77059999999999995</v>
      </c>
      <c r="F454" s="3130">
        <v>0.77059999999999995</v>
      </c>
      <c r="G454" s="3130">
        <v>0.77059999999999995</v>
      </c>
      <c r="H454" s="3130">
        <v>0.77059999999999995</v>
      </c>
      <c r="I454" s="3130">
        <v>0.60940000000000005</v>
      </c>
      <c r="J454" s="3130">
        <v>0.60940000000000005</v>
      </c>
      <c r="K454" s="3130">
        <v>0.60940000000000005</v>
      </c>
      <c r="L454" s="3130">
        <v>0.60940000000000005</v>
      </c>
      <c r="M454" s="3131">
        <v>0.60940000000000005</v>
      </c>
    </row>
    <row r="455" spans="1:13">
      <c r="A455" s="3132">
        <v>9.4</v>
      </c>
      <c r="B455" s="3130">
        <v>0.84130000000000005</v>
      </c>
      <c r="C455" s="3130">
        <v>0.84130000000000005</v>
      </c>
      <c r="D455" s="3130">
        <v>0.76900000000000002</v>
      </c>
      <c r="E455" s="3130">
        <v>0.76900000000000002</v>
      </c>
      <c r="F455" s="3130">
        <v>0.76900000000000002</v>
      </c>
      <c r="G455" s="3130">
        <v>0.76900000000000002</v>
      </c>
      <c r="H455" s="3130">
        <v>0.76900000000000002</v>
      </c>
      <c r="I455" s="3130">
        <v>0.60760000000000003</v>
      </c>
      <c r="J455" s="3130">
        <v>0.60760000000000003</v>
      </c>
      <c r="K455" s="3130">
        <v>0.60760000000000003</v>
      </c>
      <c r="L455" s="3130">
        <v>0.60760000000000003</v>
      </c>
      <c r="M455" s="3131">
        <v>0.60760000000000003</v>
      </c>
    </row>
    <row r="456" spans="1:13">
      <c r="A456" s="3132">
        <v>9.5</v>
      </c>
      <c r="B456" s="3130">
        <v>0.84009999999999996</v>
      </c>
      <c r="C456" s="3130">
        <v>0.84009999999999996</v>
      </c>
      <c r="D456" s="3130">
        <v>0.76759999999999995</v>
      </c>
      <c r="E456" s="3130">
        <v>0.76759999999999995</v>
      </c>
      <c r="F456" s="3130">
        <v>0.76759999999999995</v>
      </c>
      <c r="G456" s="3130">
        <v>0.76759999999999995</v>
      </c>
      <c r="H456" s="3130">
        <v>0.76759999999999995</v>
      </c>
      <c r="I456" s="3130">
        <v>0.60580000000000001</v>
      </c>
      <c r="J456" s="3130">
        <v>0.60580000000000001</v>
      </c>
      <c r="K456" s="3130">
        <v>0.60580000000000001</v>
      </c>
      <c r="L456" s="3130">
        <v>0.60580000000000001</v>
      </c>
      <c r="M456" s="3131">
        <v>0.60580000000000001</v>
      </c>
    </row>
    <row r="457" spans="1:13">
      <c r="A457" s="3132">
        <v>9.6</v>
      </c>
      <c r="B457" s="3130">
        <v>0.83899999999999997</v>
      </c>
      <c r="C457" s="3130">
        <v>0.83899999999999997</v>
      </c>
      <c r="D457" s="3130">
        <v>0.76619999999999999</v>
      </c>
      <c r="E457" s="3130">
        <v>0.76619999999999999</v>
      </c>
      <c r="F457" s="3130">
        <v>0.76619999999999999</v>
      </c>
      <c r="G457" s="3130">
        <v>0.76619999999999999</v>
      </c>
      <c r="H457" s="3130">
        <v>0.76619999999999999</v>
      </c>
      <c r="I457" s="3130">
        <v>0.60409999999999997</v>
      </c>
      <c r="J457" s="3130">
        <v>0.60409999999999997</v>
      </c>
      <c r="K457" s="3130">
        <v>0.60409999999999997</v>
      </c>
      <c r="L457" s="3130">
        <v>0.60409999999999997</v>
      </c>
      <c r="M457" s="3131">
        <v>0.60409999999999997</v>
      </c>
    </row>
    <row r="458" spans="1:13">
      <c r="A458" s="3132">
        <v>9.6999999999999993</v>
      </c>
      <c r="B458" s="3130">
        <v>0.83779999999999999</v>
      </c>
      <c r="C458" s="3130">
        <v>0.83779999999999999</v>
      </c>
      <c r="D458" s="3130">
        <v>0.76480000000000004</v>
      </c>
      <c r="E458" s="3130">
        <v>0.76480000000000004</v>
      </c>
      <c r="F458" s="3130">
        <v>0.76480000000000004</v>
      </c>
      <c r="G458" s="3130">
        <v>0.76480000000000004</v>
      </c>
      <c r="H458" s="3130">
        <v>0.76480000000000004</v>
      </c>
      <c r="I458" s="3130">
        <v>0.60240000000000005</v>
      </c>
      <c r="J458" s="3130">
        <v>0.60240000000000005</v>
      </c>
      <c r="K458" s="3130">
        <v>0.60240000000000005</v>
      </c>
      <c r="L458" s="3130">
        <v>0.60240000000000005</v>
      </c>
      <c r="M458" s="3131">
        <v>0.60240000000000005</v>
      </c>
    </row>
    <row r="459" spans="1:13">
      <c r="A459" s="3132">
        <v>9.8000000000000007</v>
      </c>
      <c r="B459" s="3130">
        <v>0.8367</v>
      </c>
      <c r="C459" s="3130">
        <v>0.8367</v>
      </c>
      <c r="D459" s="3130">
        <v>0.76329999999999998</v>
      </c>
      <c r="E459" s="3130">
        <v>0.76329999999999998</v>
      </c>
      <c r="F459" s="3130">
        <v>0.76329999999999998</v>
      </c>
      <c r="G459" s="3130">
        <v>0.76329999999999998</v>
      </c>
      <c r="H459" s="3130">
        <v>0.76329999999999998</v>
      </c>
      <c r="I459" s="3130">
        <v>0.60060000000000002</v>
      </c>
      <c r="J459" s="3130">
        <v>0.60060000000000002</v>
      </c>
      <c r="K459" s="3130">
        <v>0.60060000000000002</v>
      </c>
      <c r="L459" s="3130">
        <v>0.60060000000000002</v>
      </c>
      <c r="M459" s="3131">
        <v>0.60060000000000002</v>
      </c>
    </row>
    <row r="460" spans="1:13" ht="14.25" thickBot="1">
      <c r="A460" s="3133">
        <v>9.9</v>
      </c>
      <c r="B460" s="3134">
        <v>0.83560000000000001</v>
      </c>
      <c r="C460" s="3134">
        <v>0.83560000000000001</v>
      </c>
      <c r="D460" s="3134">
        <v>0.76190000000000002</v>
      </c>
      <c r="E460" s="3134">
        <v>0.76190000000000002</v>
      </c>
      <c r="F460" s="3134">
        <v>0.76190000000000002</v>
      </c>
      <c r="G460" s="3134">
        <v>0.76190000000000002</v>
      </c>
      <c r="H460" s="3134">
        <v>0.76190000000000002</v>
      </c>
      <c r="I460" s="3134">
        <v>0.59889999999999999</v>
      </c>
      <c r="J460" s="3134">
        <v>0.59889999999999999</v>
      </c>
      <c r="K460" s="3134">
        <v>0.59889999999999999</v>
      </c>
      <c r="L460" s="3134">
        <v>0.59889999999999999</v>
      </c>
      <c r="M460" s="3135">
        <v>0.59889999999999999</v>
      </c>
    </row>
  </sheetData>
  <sheetProtection password="CEE9" sheet="1" objects="1" scenarios="1" formatCells="0" formatColumns="0" formatRows="0"/>
  <phoneticPr fontId="7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41016</v>
      </c>
      <c r="C2" s="2" t="s">
        <v>106</v>
      </c>
      <c r="D2" s="199"/>
      <c r="E2" s="199"/>
      <c r="F2" s="199"/>
      <c r="G2" s="199"/>
    </row>
    <row r="3" spans="1:7" s="200" customFormat="1" ht="18" customHeight="1" thickBot="1">
      <c r="A3" s="203" t="s">
        <v>58</v>
      </c>
      <c r="B3" s="204">
        <f ca="1">ROUND(B2*10000/'数据-汇总表'!E3,0)</f>
        <v>20444</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7" t="s">
        <v>346</v>
      </c>
      <c r="B6" s="215" t="s">
        <v>64</v>
      </c>
      <c r="C6" s="216">
        <v>20000</v>
      </c>
      <c r="D6" s="217"/>
      <c r="E6" s="218"/>
      <c r="F6" s="218"/>
      <c r="G6" s="219"/>
    </row>
    <row r="7" spans="1:7" s="214" customFormat="1" ht="13.5" customHeight="1">
      <c r="A7" s="777" t="s">
        <v>347</v>
      </c>
      <c r="B7" s="215" t="s">
        <v>30</v>
      </c>
      <c r="C7" s="220">
        <f>ROUND(C6*F7,0)</f>
        <v>610</v>
      </c>
      <c r="D7" s="220"/>
      <c r="E7" s="218"/>
      <c r="F7" s="221">
        <f>'数据-取费表'!B48+'数据-取费表'!B49</f>
        <v>3.0499999999999999E-2</v>
      </c>
      <c r="G7" s="219"/>
    </row>
    <row r="8" spans="1:7" s="223" customFormat="1">
      <c r="A8" s="777" t="s">
        <v>348</v>
      </c>
      <c r="B8" s="215" t="s">
        <v>65</v>
      </c>
      <c r="C8" s="220" t="str">
        <f>IF(G8="已包含在土地购买价格中","0",'数据-取费表'!B29)</f>
        <v>0</v>
      </c>
      <c r="D8" s="222"/>
      <c r="E8" s="220"/>
      <c r="F8" s="221"/>
      <c r="G8" s="1" t="s">
        <v>451</v>
      </c>
    </row>
    <row r="9" spans="1:7" s="214" customFormat="1" ht="13.5" customHeight="1">
      <c r="A9" s="778" t="s">
        <v>355</v>
      </c>
      <c r="B9" s="224" t="s">
        <v>66</v>
      </c>
      <c r="C9" s="225">
        <f>ROUND(D9*E9/10000,0)</f>
        <v>0</v>
      </c>
      <c r="D9" s="844">
        <f>'数据-汇总表'!E5</f>
        <v>0</v>
      </c>
      <c r="E9" s="225">
        <f>'数据-取费表'!B27</f>
        <v>0</v>
      </c>
      <c r="F9" s="221"/>
      <c r="G9" s="226"/>
    </row>
    <row r="10" spans="1:7" s="214" customFormat="1" ht="13.5" customHeight="1">
      <c r="A10" s="778" t="s">
        <v>356</v>
      </c>
      <c r="B10" s="224" t="s">
        <v>67</v>
      </c>
      <c r="C10" s="225">
        <f>ROUND(D10*E10/10000,0)</f>
        <v>401</v>
      </c>
      <c r="D10" s="844">
        <f>'数据-汇总表'!E6</f>
        <v>20062.899999999998</v>
      </c>
      <c r="E10" s="225">
        <f>'数据-取费表'!B28</f>
        <v>200</v>
      </c>
      <c r="F10" s="221"/>
      <c r="G10" s="226"/>
    </row>
    <row r="11" spans="1:7" s="214" customFormat="1" ht="13.5" hidden="1" customHeight="1">
      <c r="A11" s="227" t="s">
        <v>4</v>
      </c>
      <c r="B11" s="215" t="s">
        <v>68</v>
      </c>
      <c r="C11" s="211"/>
      <c r="D11" s="846"/>
      <c r="E11" s="218"/>
      <c r="F11" s="218"/>
      <c r="G11" s="219"/>
    </row>
    <row r="12" spans="1:7" s="214" customFormat="1" ht="13.5" hidden="1" customHeight="1">
      <c r="A12" s="227" t="s">
        <v>5</v>
      </c>
      <c r="B12" s="215" t="s">
        <v>69</v>
      </c>
      <c r="C12" s="211">
        <v>0</v>
      </c>
      <c r="D12" s="846"/>
      <c r="E12" s="228"/>
      <c r="F12" s="221">
        <v>3.0499999999999999E-2</v>
      </c>
      <c r="G12" s="219"/>
    </row>
    <row r="13" spans="1:7" s="214" customFormat="1" ht="13.5" hidden="1" customHeight="1">
      <c r="A13" s="227" t="s">
        <v>6</v>
      </c>
      <c r="B13" s="215" t="s">
        <v>70</v>
      </c>
      <c r="C13" s="211"/>
      <c r="D13" s="846"/>
      <c r="E13" s="218"/>
      <c r="F13" s="218"/>
      <c r="G13" s="219"/>
    </row>
    <row r="14" spans="1:7" s="214" customFormat="1" ht="13.5" hidden="1" customHeight="1">
      <c r="A14" s="227" t="s">
        <v>7</v>
      </c>
      <c r="B14" s="215" t="s">
        <v>65</v>
      </c>
      <c r="C14" s="211"/>
      <c r="D14" s="846"/>
      <c r="E14" s="218"/>
      <c r="F14" s="218"/>
      <c r="G14" s="219" t="s">
        <v>71</v>
      </c>
    </row>
    <row r="15" spans="1:7" s="214" customFormat="1" ht="13.5" hidden="1" customHeight="1">
      <c r="A15" s="227" t="s">
        <v>8</v>
      </c>
      <c r="B15" s="215" t="s">
        <v>72</v>
      </c>
      <c r="C15" s="220"/>
      <c r="D15" s="846"/>
      <c r="E15" s="218"/>
      <c r="F15" s="218"/>
      <c r="G15" s="219" t="s">
        <v>73</v>
      </c>
    </row>
    <row r="16" spans="1:7" s="214" customFormat="1" ht="13.5" hidden="1" customHeight="1">
      <c r="A16" s="227" t="s">
        <v>9</v>
      </c>
      <c r="B16" s="215" t="s">
        <v>65</v>
      </c>
      <c r="C16" s="220"/>
      <c r="D16" s="846"/>
      <c r="E16" s="218"/>
      <c r="F16" s="218"/>
      <c r="G16" s="219"/>
    </row>
    <row r="17" spans="1:7" s="214" customFormat="1" ht="13.5" hidden="1" customHeight="1">
      <c r="A17" s="227" t="s">
        <v>10</v>
      </c>
      <c r="B17" s="215" t="s">
        <v>74</v>
      </c>
      <c r="C17" s="229"/>
      <c r="D17" s="847"/>
      <c r="E17" s="229"/>
      <c r="F17" s="229"/>
      <c r="G17" s="219" t="s">
        <v>73</v>
      </c>
    </row>
    <row r="18" spans="1:7" s="214" customFormat="1" ht="13.5" hidden="1" customHeight="1">
      <c r="A18" s="227" t="s">
        <v>11</v>
      </c>
      <c r="B18" s="215" t="s">
        <v>75</v>
      </c>
      <c r="C18" s="220">
        <v>0</v>
      </c>
      <c r="D18" s="846"/>
      <c r="E18" s="218"/>
      <c r="F18" s="221">
        <v>3.0499999999999999E-2</v>
      </c>
      <c r="G18" s="219" t="s">
        <v>76</v>
      </c>
    </row>
    <row r="19" spans="1:7" s="223" customFormat="1" ht="13.5" customHeight="1">
      <c r="A19" s="776" t="s">
        <v>417</v>
      </c>
      <c r="B19" s="210" t="s">
        <v>84</v>
      </c>
      <c r="C19" s="211">
        <f>IF(G19="已包含在土地取得成本中","0",ROUND(D19*E19/10000,0))</f>
        <v>401</v>
      </c>
      <c r="D19" s="848">
        <f>'数据-汇总表'!E3</f>
        <v>20062.899999999998</v>
      </c>
      <c r="E19" s="211">
        <f>'数据-取费表'!B31</f>
        <v>200</v>
      </c>
      <c r="F19" s="231"/>
      <c r="G19" s="1" t="s">
        <v>436</v>
      </c>
    </row>
    <row r="20" spans="1:7" s="214" customFormat="1" ht="13.5" customHeight="1">
      <c r="A20" s="776" t="s">
        <v>419</v>
      </c>
      <c r="B20" s="210" t="s">
        <v>77</v>
      </c>
      <c r="C20" s="232">
        <f>ROUND((C5+C19)*F20,0)</f>
        <v>420</v>
      </c>
      <c r="D20" s="232"/>
      <c r="E20" s="232"/>
      <c r="F20" s="233">
        <f>'数据-取费表'!B37</f>
        <v>0.02</v>
      </c>
      <c r="G20" s="1066" t="s">
        <v>430</v>
      </c>
    </row>
    <row r="21" spans="1:7" s="214" customFormat="1" ht="13.5" customHeight="1">
      <c r="A21" s="776" t="s">
        <v>421</v>
      </c>
      <c r="B21" s="210" t="s">
        <v>78</v>
      </c>
      <c r="C21" s="235">
        <f>F21</f>
        <v>0.02</v>
      </c>
      <c r="D21" s="236" t="s">
        <v>99</v>
      </c>
      <c r="E21" s="232"/>
      <c r="F21" s="233">
        <f>'数据-取费表'!B38</f>
        <v>0.02</v>
      </c>
      <c r="G21" s="234" t="s">
        <v>79</v>
      </c>
    </row>
    <row r="22" spans="1:7" s="214" customFormat="1" ht="13.5" customHeight="1">
      <c r="A22" s="776" t="s">
        <v>341</v>
      </c>
      <c r="B22" s="210" t="s">
        <v>80</v>
      </c>
      <c r="C22" s="1103">
        <f ca="1">ROUND(SUM(C23:C25),0)</f>
        <v>1797</v>
      </c>
      <c r="D22" s="235">
        <f ca="1">C26</f>
        <v>8.0000000000000004E-4</v>
      </c>
      <c r="E22" s="236" t="s">
        <v>99</v>
      </c>
      <c r="F22" s="237">
        <f ca="1">'数据-取费表'!B40</f>
        <v>4.1499999999999995E-2</v>
      </c>
      <c r="G22" s="1066" t="str">
        <f>IF('数据-取费表'!B22&lt;=1,"单利计息","复利计息")</f>
        <v>复利计息</v>
      </c>
    </row>
    <row r="23" spans="1:7" s="214" customFormat="1" ht="13.5" customHeight="1">
      <c r="A23" s="779" t="s">
        <v>349</v>
      </c>
      <c r="B23" s="215" t="s">
        <v>423</v>
      </c>
      <c r="C23" s="1104">
        <f ca="1">ROUND(IF('数据-取费表'!B22&lt;=1,C5*F22*'数据-取费表'!B23,C5*(POWER((1+F22),'数据-取费表'!B23)-1)),0)</f>
        <v>1746</v>
      </c>
      <c r="D23" s="238"/>
      <c r="E23" s="238"/>
      <c r="F23" s="239"/>
      <c r="G23" s="240" t="s">
        <v>81</v>
      </c>
    </row>
    <row r="24" spans="1:7" s="214" customFormat="1" ht="13.5" customHeight="1">
      <c r="A24" s="779" t="s">
        <v>347</v>
      </c>
      <c r="B24" s="215" t="s">
        <v>418</v>
      </c>
      <c r="C24" s="1104">
        <f ca="1">ROUND(IF('数据-取费表'!B22&lt;=1,C19*F22*('数据-取费表'!B19/2+'数据-取费表'!B21),C19*(POWER((1+F22),('数据-取费表'!B19/2+'数据-取费表'!B21))-1)),0)</f>
        <v>34</v>
      </c>
      <c r="D24" s="238"/>
      <c r="E24" s="238"/>
      <c r="F24" s="239"/>
      <c r="G24" s="240" t="s">
        <v>82</v>
      </c>
    </row>
    <row r="25" spans="1:7" s="214" customFormat="1" ht="24">
      <c r="A25" s="779" t="s">
        <v>348</v>
      </c>
      <c r="B25" s="215" t="s">
        <v>420</v>
      </c>
      <c r="C25" s="1104">
        <f ca="1">ROUND(IF('数据-取费表'!B22&lt;=1,C20*F22*'数据-取费表'!B23/2,C20*(POWER((1+F22),'数据-取费表'!B23/2)-1)),0)</f>
        <v>17</v>
      </c>
      <c r="D25" s="238"/>
      <c r="E25" s="241"/>
      <c r="F25" s="239"/>
      <c r="G25" s="242" t="s">
        <v>83</v>
      </c>
    </row>
    <row r="26" spans="1:7" s="214" customFormat="1">
      <c r="A26" s="779" t="s">
        <v>350</v>
      </c>
      <c r="B26" s="215" t="s">
        <v>422</v>
      </c>
      <c r="C26" s="238">
        <f ca="1">ROUND(IF('数据-取费表'!B22&lt;=1,F21*F22*'数据-取费表'!B23/2,F21*(POWER((1+F22),'数据-取费表'!B23/2)-1)),4)</f>
        <v>8.0000000000000004E-4</v>
      </c>
      <c r="D26" s="238"/>
      <c r="E26" s="241"/>
      <c r="F26" s="239"/>
      <c r="G26" s="243"/>
    </row>
    <row r="27" spans="1:7" s="214" customFormat="1" ht="24.75">
      <c r="A27" s="776" t="s">
        <v>342</v>
      </c>
      <c r="B27" s="244" t="s">
        <v>85</v>
      </c>
      <c r="C27" s="245">
        <f>C28</f>
        <v>4286</v>
      </c>
      <c r="D27" s="235">
        <f>C29</f>
        <v>4.0000000000000001E-3</v>
      </c>
      <c r="E27" s="236" t="s">
        <v>99</v>
      </c>
      <c r="F27" s="246">
        <f>'数据-取费表'!Q16</f>
        <v>0.2</v>
      </c>
      <c r="G27" s="247" t="s">
        <v>431</v>
      </c>
    </row>
    <row r="28" spans="1:7" s="214" customFormat="1" ht="13.5" customHeight="1">
      <c r="A28" s="779" t="s">
        <v>349</v>
      </c>
      <c r="B28" s="248" t="s">
        <v>424</v>
      </c>
      <c r="C28" s="249">
        <f>ROUND((C5+C19+C20)*F27*'数据-取费表'!B21/'数据-取费表'!B20,0)</f>
        <v>4286</v>
      </c>
      <c r="D28" s="235"/>
      <c r="E28" s="236"/>
      <c r="F28" s="246"/>
      <c r="G28" s="247"/>
    </row>
    <row r="29" spans="1:7" s="214" customFormat="1" ht="13.5" customHeight="1">
      <c r="A29" s="779" t="s">
        <v>347</v>
      </c>
      <c r="B29" s="248" t="s">
        <v>425</v>
      </c>
      <c r="C29" s="238">
        <f>ROUND(C21*F27*'数据-取费表'!B21/'数据-取费表'!B20,4)</f>
        <v>4.0000000000000001E-3</v>
      </c>
      <c r="D29" s="235"/>
      <c r="E29" s="236"/>
      <c r="F29" s="246"/>
      <c r="G29" s="247"/>
    </row>
    <row r="30" spans="1:7" s="214" customFormat="1" ht="13.5" customHeight="1">
      <c r="A30" s="776" t="s">
        <v>343</v>
      </c>
      <c r="B30" s="210" t="s">
        <v>31</v>
      </c>
      <c r="C30" s="235">
        <f>F30</f>
        <v>5.5000000000000007E-2</v>
      </c>
      <c r="D30" s="236" t="s">
        <v>100</v>
      </c>
      <c r="E30" s="241"/>
      <c r="F30" s="237">
        <f>'数据-取费表'!B41</f>
        <v>5.5000000000000007E-2</v>
      </c>
      <c r="G30" s="234" t="s">
        <v>86</v>
      </c>
    </row>
    <row r="31" spans="1:7" ht="16.5" customHeight="1">
      <c r="A31" s="209">
        <v>1</v>
      </c>
      <c r="B31" s="210" t="s">
        <v>101</v>
      </c>
      <c r="C31" s="211">
        <f ca="1">ROUND((C5+C19+C20+C22+C27)/(1-C21-D22-D27-C30/(1+'数据-取费表'!B42)),0)</f>
        <v>29815</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10883</v>
      </c>
      <c r="D33" s="232"/>
      <c r="E33" s="212"/>
      <c r="F33" s="241"/>
      <c r="G33" s="234"/>
    </row>
    <row r="34" spans="1:7" s="258" customFormat="1" ht="13.5" customHeight="1">
      <c r="A34" s="779" t="s">
        <v>349</v>
      </c>
      <c r="B34" s="215" t="s">
        <v>32</v>
      </c>
      <c r="C34" s="220">
        <f>IF(F34=100%,'数据-取费表'!M16-SUMIF('数据-取费表'!C:C,"公共配套",'数据-取费表'!M:M),'数据-取费表'!O16-SUMIF('数据-取费表'!C:C,"公共配套",'数据-取费表'!O:O))</f>
        <v>10031</v>
      </c>
      <c r="D34" s="217"/>
      <c r="E34" s="220"/>
      <c r="F34" s="257">
        <f>IF('数据-取费表'!B24=0,1,'数据-取费表'!N16)</f>
        <v>1</v>
      </c>
      <c r="G34" s="219" t="s">
        <v>89</v>
      </c>
    </row>
    <row r="35" spans="1:7" ht="13.5" customHeight="1">
      <c r="A35" s="779" t="s">
        <v>351</v>
      </c>
      <c r="B35" s="215" t="s">
        <v>33</v>
      </c>
      <c r="C35" s="220">
        <f>ROUND(C34*F35,0)</f>
        <v>301</v>
      </c>
      <c r="D35" s="220"/>
      <c r="E35" s="220"/>
      <c r="F35" s="259">
        <f>'数据-取费表'!B33</f>
        <v>0.03</v>
      </c>
      <c r="G35" s="219" t="s">
        <v>90</v>
      </c>
    </row>
    <row r="36" spans="1:7" ht="24">
      <c r="A36" s="779"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0.05</v>
      </c>
      <c r="G36" s="260" t="s">
        <v>35</v>
      </c>
    </row>
    <row r="37" spans="1:7" s="258" customFormat="1" ht="13.5" customHeight="1">
      <c r="A37" s="779" t="s">
        <v>353</v>
      </c>
      <c r="B37" s="215" t="s">
        <v>91</v>
      </c>
      <c r="C37" s="249">
        <f>ROUND(E37*D37*F34/10000,0)</f>
        <v>401</v>
      </c>
      <c r="D37" s="217">
        <f>'数据-汇总表'!E3</f>
        <v>20062.899999999998</v>
      </c>
      <c r="E37" s="249">
        <f>'数据-取费表'!B35</f>
        <v>200</v>
      </c>
      <c r="F37" s="259"/>
      <c r="G37" s="261" t="s">
        <v>92</v>
      </c>
    </row>
    <row r="38" spans="1:7" ht="13.5" customHeight="1">
      <c r="A38" s="779" t="s">
        <v>354</v>
      </c>
      <c r="B38" s="215" t="s">
        <v>36</v>
      </c>
      <c r="C38" s="220">
        <f>ROUND(C34*F38,0)</f>
        <v>150</v>
      </c>
      <c r="D38" s="220"/>
      <c r="E38" s="220"/>
      <c r="F38" s="259">
        <f>'数据-取费表'!B36</f>
        <v>1.4999999999999999E-2</v>
      </c>
      <c r="G38" s="219" t="s">
        <v>90</v>
      </c>
    </row>
    <row r="39" spans="1:7" s="214" customFormat="1" ht="13.5" customHeight="1">
      <c r="A39" s="776" t="s">
        <v>338</v>
      </c>
      <c r="B39" s="210" t="s">
        <v>77</v>
      </c>
      <c r="C39" s="232">
        <f>ROUND(C33*F20,0)</f>
        <v>218</v>
      </c>
      <c r="D39" s="232"/>
      <c r="E39" s="232"/>
      <c r="F39" s="233"/>
      <c r="G39" s="1066" t="s">
        <v>433</v>
      </c>
    </row>
    <row r="40" spans="1:7" s="214" customFormat="1" ht="13.5" customHeight="1">
      <c r="A40" s="776" t="s">
        <v>339</v>
      </c>
      <c r="B40" s="210" t="s">
        <v>78</v>
      </c>
      <c r="C40" s="262">
        <f>F21</f>
        <v>0.02</v>
      </c>
      <c r="D40" s="236" t="s">
        <v>102</v>
      </c>
      <c r="E40" s="232"/>
      <c r="F40" s="233"/>
      <c r="G40" s="234" t="s">
        <v>93</v>
      </c>
    </row>
    <row r="41" spans="1:7" s="214" customFormat="1" ht="13.5" customHeight="1">
      <c r="A41" s="776" t="s">
        <v>340</v>
      </c>
      <c r="B41" s="210" t="s">
        <v>80</v>
      </c>
      <c r="C41" s="232">
        <f ca="1">ROUND(SUM(C42:C43),0)</f>
        <v>461</v>
      </c>
      <c r="D41" s="235">
        <f ca="1">C44</f>
        <v>8.0000000000000004E-4</v>
      </c>
      <c r="E41" s="236" t="s">
        <v>102</v>
      </c>
      <c r="F41" s="237"/>
      <c r="G41" s="1066" t="str">
        <f>IF('数据-取费表'!B22&lt;=1,"单利计息","复利计息")</f>
        <v>复利计息</v>
      </c>
    </row>
    <row r="42" spans="1:7" ht="13.5" customHeight="1">
      <c r="A42" s="779" t="s">
        <v>349</v>
      </c>
      <c r="B42" s="215" t="s">
        <v>423</v>
      </c>
      <c r="C42" s="238">
        <f ca="1">ROUND(IF('数据-取费表'!B22&lt;=1,C33*F22*'数据-取费表'!B21/2,C33*(POWER((1+F22),'数据-取费表'!B21/2)-1)),0)</f>
        <v>452</v>
      </c>
      <c r="D42" s="238"/>
      <c r="E42" s="238"/>
      <c r="F42" s="239"/>
      <c r="G42" s="3757" t="s">
        <v>94</v>
      </c>
    </row>
    <row r="43" spans="1:7" ht="13.5" customHeight="1">
      <c r="A43" s="779" t="s">
        <v>347</v>
      </c>
      <c r="B43" s="215" t="s">
        <v>426</v>
      </c>
      <c r="C43" s="238">
        <f ca="1">ROUND(IF('数据-取费表'!B22&lt;=1,C39*F22*'数据-取费表'!B21/2,C39*(POWER((1+F22),'数据-取费表'!B21/2)-1)),0)</f>
        <v>9</v>
      </c>
      <c r="D43" s="238"/>
      <c r="E43" s="238"/>
      <c r="F43" s="239"/>
      <c r="G43" s="3758"/>
    </row>
    <row r="44" spans="1:7" ht="13.5" customHeight="1">
      <c r="A44" s="779" t="s">
        <v>348</v>
      </c>
      <c r="B44" s="215" t="s">
        <v>428</v>
      </c>
      <c r="C44" s="238">
        <f ca="1">ROUND(IF('数据-取费表'!B22&lt;=1,C40*F22*'数据-取费表'!B21/2,C40*(POWER((1+F22),'数据-取费表'!B21/2)-1)),4)</f>
        <v>8.0000000000000004E-4</v>
      </c>
      <c r="D44" s="238"/>
      <c r="E44" s="238"/>
      <c r="F44" s="239"/>
      <c r="G44" s="3759"/>
    </row>
    <row r="45" spans="1:7" s="214" customFormat="1" ht="13.5" customHeight="1">
      <c r="A45" s="776" t="s">
        <v>341</v>
      </c>
      <c r="B45" s="244" t="s">
        <v>85</v>
      </c>
      <c r="C45" s="245">
        <f>C46</f>
        <v>2220</v>
      </c>
      <c r="D45" s="235">
        <f>C47</f>
        <v>4.0000000000000001E-3</v>
      </c>
      <c r="E45" s="236" t="s">
        <v>102</v>
      </c>
      <c r="F45" s="246"/>
      <c r="G45" s="247" t="s">
        <v>434</v>
      </c>
    </row>
    <row r="46" spans="1:7" s="214" customFormat="1" ht="13.5" customHeight="1">
      <c r="A46" s="779" t="s">
        <v>349</v>
      </c>
      <c r="B46" s="248" t="s">
        <v>427</v>
      </c>
      <c r="C46" s="249">
        <f>ROUND((C33+C39)*F27,0)</f>
        <v>2220</v>
      </c>
      <c r="D46" s="263"/>
      <c r="E46" s="236"/>
      <c r="F46" s="246"/>
      <c r="G46" s="247"/>
    </row>
    <row r="47" spans="1:7" s="214" customFormat="1" ht="13.5" customHeight="1">
      <c r="A47" s="779" t="s">
        <v>347</v>
      </c>
      <c r="B47" s="248" t="s">
        <v>429</v>
      </c>
      <c r="C47" s="238">
        <f>ROUND(C40*F27,4)</f>
        <v>4.0000000000000001E-3</v>
      </c>
      <c r="D47" s="263"/>
      <c r="E47" s="236"/>
      <c r="F47" s="246"/>
      <c r="G47" s="247"/>
    </row>
    <row r="48" spans="1:7" s="214" customFormat="1" ht="13.5" customHeight="1">
      <c r="A48" s="776" t="s">
        <v>342</v>
      </c>
      <c r="B48" s="210" t="s">
        <v>95</v>
      </c>
      <c r="C48" s="262">
        <f>F30</f>
        <v>5.5000000000000007E-2</v>
      </c>
      <c r="D48" s="236" t="s">
        <v>103</v>
      </c>
      <c r="E48" s="232"/>
      <c r="F48" s="237"/>
      <c r="G48" s="234" t="s">
        <v>96</v>
      </c>
    </row>
    <row r="49" spans="1:7" ht="16.5" customHeight="1">
      <c r="A49" s="776" t="s">
        <v>343</v>
      </c>
      <c r="B49" s="210" t="s">
        <v>104</v>
      </c>
      <c r="C49" s="232">
        <f ca="1">ROUND((C33+C39+C41+C45)/(1-C40-D41-D45-C48/(1+'数据-取费表'!B42)),0)</f>
        <v>14935</v>
      </c>
      <c r="D49" s="232"/>
      <c r="E49" s="232"/>
      <c r="F49" s="264"/>
      <c r="G49" s="234" t="s">
        <v>435</v>
      </c>
    </row>
    <row r="50" spans="1:7" s="258" customFormat="1" ht="24">
      <c r="A50" s="776" t="s">
        <v>344</v>
      </c>
      <c r="B50" s="210" t="s">
        <v>97</v>
      </c>
      <c r="C50" s="232"/>
      <c r="D50" s="232"/>
      <c r="E50" s="232"/>
      <c r="F50" s="264">
        <f>IF('数据-取费表'!B24=0,'数据-取费表'!N16,1)</f>
        <v>0.75</v>
      </c>
      <c r="G50" s="247" t="s">
        <v>98</v>
      </c>
    </row>
    <row r="51" spans="1:7" ht="16.5" customHeight="1">
      <c r="A51" s="776" t="s">
        <v>345</v>
      </c>
      <c r="B51" s="210" t="s">
        <v>105</v>
      </c>
      <c r="C51" s="232">
        <f ca="1">ROUND(C49*F50,0)</f>
        <v>11201</v>
      </c>
      <c r="D51" s="232"/>
      <c r="E51" s="232"/>
      <c r="F51" s="264"/>
      <c r="G51" s="234" t="s">
        <v>37</v>
      </c>
    </row>
    <row r="52" spans="1:7" s="208" customFormat="1" ht="16.5" thickBot="1">
      <c r="A52" s="265" t="s">
        <v>38</v>
      </c>
      <c r="B52" s="266"/>
      <c r="C52" s="267">
        <f ca="1">C31+C51</f>
        <v>41016</v>
      </c>
      <c r="D52" s="266"/>
      <c r="E52" s="266"/>
      <c r="F52" s="266"/>
      <c r="G52" s="268"/>
    </row>
    <row r="55" spans="1:7" ht="15">
      <c r="B55" s="270" t="s">
        <v>39</v>
      </c>
      <c r="C55" s="271"/>
    </row>
    <row r="56" spans="1:7">
      <c r="B56" s="273" t="s">
        <v>40</v>
      </c>
      <c r="C56" s="274">
        <f ca="1">ROUND(C51/C52,3)</f>
        <v>0.27300000000000002</v>
      </c>
    </row>
    <row r="57" spans="1:7">
      <c r="B57" s="273" t="s">
        <v>41</v>
      </c>
      <c r="C57" s="275">
        <f ca="1">1-C56</f>
        <v>0.72699999999999998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22" customWidth="1"/>
    <col min="2" max="2" width="18.625" style="3222" customWidth="1"/>
    <col min="3" max="6" width="10.25" style="3222" customWidth="1"/>
    <col min="7" max="7" width="10.5" style="3222" bestFit="1" customWidth="1"/>
    <col min="8" max="8" width="8.875" style="3218"/>
    <col min="9" max="9" width="13.375" style="3218" customWidth="1"/>
    <col min="10" max="13" width="13.375" style="3222" customWidth="1"/>
    <col min="14" max="14" width="18.25" style="3222" customWidth="1"/>
    <col min="15" max="17" width="15.125" style="3222" customWidth="1"/>
    <col min="18" max="20" width="11.5" style="3222" customWidth="1"/>
    <col min="21" max="16384" width="8.875" style="3222"/>
  </cols>
  <sheetData>
    <row r="1" spans="1:20" ht="12" thickBot="1">
      <c r="A1" s="3835" t="s">
        <v>2842</v>
      </c>
      <c r="B1" s="3835"/>
      <c r="C1" s="3835"/>
      <c r="D1" s="3835"/>
      <c r="E1" s="3835"/>
      <c r="F1" s="3835"/>
      <c r="G1" s="3836"/>
      <c r="I1" s="3219" t="s">
        <v>2843</v>
      </c>
      <c r="J1" s="3220" t="s">
        <v>2844</v>
      </c>
      <c r="K1" s="3220" t="s">
        <v>2845</v>
      </c>
      <c r="L1" s="3220" t="s">
        <v>2846</v>
      </c>
      <c r="M1" s="3220" t="s">
        <v>2847</v>
      </c>
      <c r="N1" s="3220" t="s">
        <v>2848</v>
      </c>
      <c r="O1" s="3220" t="s">
        <v>2849</v>
      </c>
      <c r="P1" s="3220" t="s">
        <v>2850</v>
      </c>
      <c r="Q1" s="3220" t="s">
        <v>2851</v>
      </c>
      <c r="R1" s="3220" t="s">
        <v>2852</v>
      </c>
      <c r="S1" s="3220" t="s">
        <v>2853</v>
      </c>
      <c r="T1" s="3221" t="s">
        <v>2854</v>
      </c>
    </row>
    <row r="2" spans="1:20" ht="12" thickBot="1">
      <c r="A2" s="3223" t="s">
        <v>2855</v>
      </c>
      <c r="B2" s="3223"/>
      <c r="C2" s="3223"/>
      <c r="D2" s="3223"/>
      <c r="E2" s="3223"/>
      <c r="F2" s="3223"/>
      <c r="G2" s="3224" t="s">
        <v>2856</v>
      </c>
      <c r="I2" s="3225" t="s">
        <v>2857</v>
      </c>
      <c r="J2" s="3225" t="s">
        <v>2858</v>
      </c>
      <c r="K2" s="3225" t="s">
        <v>2859</v>
      </c>
      <c r="L2" s="3225" t="s">
        <v>2860</v>
      </c>
      <c r="M2" s="3225" t="s">
        <v>2861</v>
      </c>
      <c r="N2" s="3225" t="s">
        <v>2862</v>
      </c>
      <c r="O2" s="3225" t="s">
        <v>2863</v>
      </c>
      <c r="P2" s="3225" t="s">
        <v>2864</v>
      </c>
      <c r="Q2" s="3225" t="s">
        <v>2865</v>
      </c>
      <c r="R2" s="3225" t="s">
        <v>2866</v>
      </c>
      <c r="S2" s="3225" t="s">
        <v>2867</v>
      </c>
      <c r="T2" s="3225" t="s">
        <v>2868</v>
      </c>
    </row>
    <row r="3" spans="1:20" s="3231" customFormat="1">
      <c r="A3" s="3833" t="s">
        <v>2869</v>
      </c>
      <c r="B3" s="3226"/>
      <c r="C3" s="3227" t="s">
        <v>2812</v>
      </c>
      <c r="D3" s="3227" t="s">
        <v>2870</v>
      </c>
      <c r="E3" s="3227" t="s">
        <v>2814</v>
      </c>
      <c r="F3" s="3227" t="s">
        <v>2871</v>
      </c>
      <c r="G3" s="3227" t="s">
        <v>2632</v>
      </c>
      <c r="H3" s="3228"/>
      <c r="I3" s="3229" t="s">
        <v>2872</v>
      </c>
      <c r="J3" s="3230" t="s">
        <v>128</v>
      </c>
      <c r="K3" s="3230" t="s">
        <v>129</v>
      </c>
      <c r="L3" s="3229" t="s">
        <v>130</v>
      </c>
      <c r="M3" s="3229" t="s">
        <v>131</v>
      </c>
      <c r="N3" s="3229" t="s">
        <v>132</v>
      </c>
      <c r="O3" s="3229" t="s">
        <v>133</v>
      </c>
      <c r="P3" s="3229" t="s">
        <v>134</v>
      </c>
      <c r="Q3" s="3229" t="s">
        <v>135</v>
      </c>
      <c r="R3" s="3229" t="s">
        <v>136</v>
      </c>
      <c r="S3" s="3229" t="s">
        <v>2873</v>
      </c>
      <c r="T3" s="3229" t="s">
        <v>2874</v>
      </c>
    </row>
    <row r="4" spans="1:20" s="3231" customFormat="1" ht="12" thickBot="1">
      <c r="A4" s="3834"/>
      <c r="B4" s="3232" t="s">
        <v>2875</v>
      </c>
      <c r="C4" s="3232" t="s">
        <v>2876</v>
      </c>
      <c r="D4" s="3232" t="s">
        <v>2876</v>
      </c>
      <c r="E4" s="3232" t="s">
        <v>2876</v>
      </c>
      <c r="F4" s="3233" t="s">
        <v>2876</v>
      </c>
      <c r="G4" s="3233" t="s">
        <v>2876</v>
      </c>
      <c r="H4" s="3228"/>
      <c r="I4" s="3230" t="s">
        <v>137</v>
      </c>
      <c r="J4" s="3230" t="s">
        <v>111</v>
      </c>
      <c r="K4" s="3230" t="s">
        <v>138</v>
      </c>
      <c r="L4" s="3229" t="s">
        <v>139</v>
      </c>
      <c r="M4" s="3229" t="s">
        <v>140</v>
      </c>
      <c r="N4" s="3229" t="s">
        <v>141</v>
      </c>
      <c r="O4" s="3229" t="s">
        <v>142</v>
      </c>
      <c r="P4" s="3229" t="s">
        <v>143</v>
      </c>
      <c r="Q4" s="3229" t="s">
        <v>2877</v>
      </c>
      <c r="R4" s="3229" t="s">
        <v>2878</v>
      </c>
      <c r="S4" s="3229" t="s">
        <v>2879</v>
      </c>
      <c r="T4" s="3229" t="s">
        <v>2880</v>
      </c>
    </row>
    <row r="5" spans="1:20">
      <c r="A5" s="3234" t="s">
        <v>2843</v>
      </c>
      <c r="B5" s="3225" t="s">
        <v>2857</v>
      </c>
      <c r="C5" s="3225">
        <v>34550</v>
      </c>
      <c r="D5" s="3225">
        <v>34470</v>
      </c>
      <c r="E5" s="3225">
        <v>34330</v>
      </c>
      <c r="F5" s="3225">
        <v>13400</v>
      </c>
      <c r="G5" s="3225">
        <v>25450</v>
      </c>
      <c r="H5" s="3228"/>
      <c r="I5" s="3229" t="s">
        <v>145</v>
      </c>
      <c r="J5" s="3230" t="s">
        <v>146</v>
      </c>
      <c r="K5" s="3230" t="s">
        <v>147</v>
      </c>
      <c r="L5" s="3229" t="s">
        <v>148</v>
      </c>
      <c r="M5" s="3229" t="s">
        <v>149</v>
      </c>
      <c r="N5" s="3229" t="s">
        <v>150</v>
      </c>
      <c r="O5" s="3229" t="s">
        <v>151</v>
      </c>
      <c r="P5" s="3229" t="s">
        <v>152</v>
      </c>
      <c r="Q5" s="3229" t="s">
        <v>2881</v>
      </c>
      <c r="R5" s="3229" t="s">
        <v>2882</v>
      </c>
      <c r="S5" s="3229" t="s">
        <v>153</v>
      </c>
      <c r="T5" s="3229" t="s">
        <v>2883</v>
      </c>
    </row>
    <row r="6" spans="1:20" ht="12" thickBot="1">
      <c r="A6" s="3229" t="s">
        <v>144</v>
      </c>
      <c r="B6" s="3229" t="s">
        <v>2872</v>
      </c>
      <c r="C6" s="3229">
        <v>36990</v>
      </c>
      <c r="D6" s="3229">
        <v>36850</v>
      </c>
      <c r="E6" s="3229">
        <v>36700</v>
      </c>
      <c r="F6" s="3229">
        <v>14590</v>
      </c>
      <c r="G6" s="3229">
        <v>27450</v>
      </c>
      <c r="H6" s="3228"/>
      <c r="I6" s="3235" t="s">
        <v>154</v>
      </c>
      <c r="J6" s="3230" t="s">
        <v>155</v>
      </c>
      <c r="K6" s="3230" t="s">
        <v>156</v>
      </c>
      <c r="L6" s="3229" t="s">
        <v>157</v>
      </c>
      <c r="M6" s="3229" t="s">
        <v>158</v>
      </c>
      <c r="N6" s="3229" t="s">
        <v>159</v>
      </c>
      <c r="O6" s="3229" t="s">
        <v>160</v>
      </c>
      <c r="P6" s="3229" t="s">
        <v>2884</v>
      </c>
      <c r="Q6" s="3229" t="s">
        <v>2885</v>
      </c>
      <c r="R6" s="3229" t="s">
        <v>161</v>
      </c>
      <c r="S6" s="3229" t="s">
        <v>2886</v>
      </c>
      <c r="T6" s="3229" t="s">
        <v>2887</v>
      </c>
    </row>
    <row r="7" spans="1:20">
      <c r="A7" s="3229" t="s">
        <v>144</v>
      </c>
      <c r="B7" s="3230" t="s">
        <v>137</v>
      </c>
      <c r="C7" s="3229">
        <v>34850</v>
      </c>
      <c r="D7" s="3229">
        <v>34690</v>
      </c>
      <c r="E7" s="3229">
        <v>34550</v>
      </c>
      <c r="F7" s="3229">
        <v>14360</v>
      </c>
      <c r="G7" s="3229">
        <v>25620</v>
      </c>
      <c r="H7" s="3228"/>
      <c r="J7" s="3230" t="s">
        <v>162</v>
      </c>
      <c r="K7" s="3230" t="s">
        <v>163</v>
      </c>
      <c r="L7" s="3229" t="s">
        <v>164</v>
      </c>
      <c r="M7" s="3229" t="s">
        <v>165</v>
      </c>
      <c r="N7" s="3229" t="s">
        <v>166</v>
      </c>
      <c r="O7" s="3229" t="s">
        <v>167</v>
      </c>
      <c r="P7" s="3229" t="s">
        <v>2888</v>
      </c>
      <c r="Q7" s="3229" t="s">
        <v>2889</v>
      </c>
      <c r="R7" s="3229" t="s">
        <v>2890</v>
      </c>
      <c r="S7" s="3229" t="s">
        <v>2891</v>
      </c>
      <c r="T7" s="3229" t="s">
        <v>2892</v>
      </c>
    </row>
    <row r="8" spans="1:20" ht="12" thickBot="1">
      <c r="A8" s="3229" t="s">
        <v>144</v>
      </c>
      <c r="B8" s="3229" t="s">
        <v>145</v>
      </c>
      <c r="C8" s="3229">
        <v>32630</v>
      </c>
      <c r="D8" s="3229">
        <v>32510</v>
      </c>
      <c r="E8" s="3229">
        <v>32420</v>
      </c>
      <c r="F8" s="3229">
        <v>13300</v>
      </c>
      <c r="G8" s="3229">
        <v>24010</v>
      </c>
      <c r="H8" s="3228"/>
      <c r="J8" s="3230" t="s">
        <v>168</v>
      </c>
      <c r="K8" s="3230" t="s">
        <v>169</v>
      </c>
      <c r="L8" s="3229" t="s">
        <v>170</v>
      </c>
      <c r="M8" s="3229" t="s">
        <v>171</v>
      </c>
      <c r="N8" s="3229" t="s">
        <v>172</v>
      </c>
      <c r="O8" s="3229" t="s">
        <v>173</v>
      </c>
      <c r="P8" s="3229" t="s">
        <v>2893</v>
      </c>
      <c r="Q8" s="3229" t="s">
        <v>174</v>
      </c>
      <c r="R8" s="3229" t="s">
        <v>2894</v>
      </c>
      <c r="S8" s="3229" t="s">
        <v>2895</v>
      </c>
      <c r="T8" s="3236" t="s">
        <v>2896</v>
      </c>
    </row>
    <row r="9" spans="1:20" ht="12" thickBot="1">
      <c r="A9" s="3237" t="s">
        <v>144</v>
      </c>
      <c r="B9" s="3235" t="s">
        <v>154</v>
      </c>
      <c r="C9" s="3236">
        <v>36370</v>
      </c>
      <c r="D9" s="3236">
        <v>36210</v>
      </c>
      <c r="E9" s="3236">
        <v>36050</v>
      </c>
      <c r="F9" s="3236"/>
      <c r="G9" s="3236">
        <v>26740</v>
      </c>
      <c r="H9" s="3228"/>
      <c r="J9" s="3230" t="s">
        <v>175</v>
      </c>
      <c r="K9" s="3230" t="s">
        <v>176</v>
      </c>
      <c r="L9" s="3229" t="s">
        <v>177</v>
      </c>
      <c r="M9" s="3229" t="s">
        <v>178</v>
      </c>
      <c r="N9" s="3229" t="s">
        <v>179</v>
      </c>
      <c r="O9" s="3229" t="s">
        <v>180</v>
      </c>
      <c r="P9" s="3229" t="s">
        <v>2897</v>
      </c>
      <c r="Q9" s="3229" t="s">
        <v>182</v>
      </c>
      <c r="R9" s="3229" t="s">
        <v>183</v>
      </c>
      <c r="S9" s="3229" t="s">
        <v>200</v>
      </c>
    </row>
    <row r="10" spans="1:20">
      <c r="A10" s="3234" t="s">
        <v>184</v>
      </c>
      <c r="B10" s="3225" t="s">
        <v>2858</v>
      </c>
      <c r="C10" s="3229">
        <v>32350</v>
      </c>
      <c r="D10" s="3229">
        <v>31430</v>
      </c>
      <c r="E10" s="3229">
        <v>31320</v>
      </c>
      <c r="F10" s="3229">
        <v>10850</v>
      </c>
      <c r="G10" s="3229">
        <v>22860</v>
      </c>
      <c r="H10" s="3228"/>
      <c r="J10" s="3230" t="s">
        <v>185</v>
      </c>
      <c r="K10" s="3230" t="s">
        <v>186</v>
      </c>
      <c r="L10" s="3229" t="s">
        <v>187</v>
      </c>
      <c r="M10" s="3229" t="s">
        <v>188</v>
      </c>
      <c r="N10" s="3229" t="s">
        <v>189</v>
      </c>
      <c r="O10" s="3229" t="s">
        <v>190</v>
      </c>
      <c r="P10" s="3229" t="s">
        <v>181</v>
      </c>
      <c r="Q10" s="3229" t="s">
        <v>192</v>
      </c>
      <c r="R10" s="3229" t="s">
        <v>193</v>
      </c>
      <c r="S10" s="3229" t="s">
        <v>2898</v>
      </c>
    </row>
    <row r="11" spans="1:20">
      <c r="A11" s="3229" t="s">
        <v>184</v>
      </c>
      <c r="B11" s="3230" t="s">
        <v>128</v>
      </c>
      <c r="C11" s="3229">
        <v>31590</v>
      </c>
      <c r="D11" s="3229">
        <v>29490</v>
      </c>
      <c r="E11" s="3229">
        <v>28700</v>
      </c>
      <c r="F11" s="3229">
        <v>10410</v>
      </c>
      <c r="G11" s="3229">
        <v>21460</v>
      </c>
      <c r="H11" s="3228"/>
      <c r="J11" s="3230" t="s">
        <v>194</v>
      </c>
      <c r="K11" s="3230" t="s">
        <v>195</v>
      </c>
      <c r="L11" s="3229" t="s">
        <v>196</v>
      </c>
      <c r="M11" s="3229" t="s">
        <v>197</v>
      </c>
      <c r="N11" s="3229" t="s">
        <v>198</v>
      </c>
      <c r="O11" s="3229" t="s">
        <v>2899</v>
      </c>
      <c r="P11" s="3229" t="s">
        <v>191</v>
      </c>
      <c r="Q11" s="3229" t="s">
        <v>199</v>
      </c>
      <c r="R11" s="3229" t="s">
        <v>2900</v>
      </c>
      <c r="S11" s="3229" t="s">
        <v>2901</v>
      </c>
    </row>
    <row r="12" spans="1:20">
      <c r="A12" s="3229" t="s">
        <v>184</v>
      </c>
      <c r="B12" s="3230" t="s">
        <v>111</v>
      </c>
      <c r="C12" s="3229">
        <v>29640</v>
      </c>
      <c r="D12" s="3229">
        <v>27550</v>
      </c>
      <c r="E12" s="3229">
        <v>28010</v>
      </c>
      <c r="F12" s="3229">
        <v>8730</v>
      </c>
      <c r="G12" s="3229">
        <v>20050</v>
      </c>
      <c r="H12" s="3228"/>
      <c r="J12" s="3230" t="s">
        <v>201</v>
      </c>
      <c r="K12" s="3230" t="s">
        <v>202</v>
      </c>
      <c r="L12" s="3229" t="s">
        <v>203</v>
      </c>
      <c r="M12" s="3229" t="s">
        <v>204</v>
      </c>
      <c r="N12" s="3229" t="s">
        <v>205</v>
      </c>
      <c r="O12" s="3229" t="s">
        <v>2902</v>
      </c>
      <c r="P12" s="3229" t="s">
        <v>2903</v>
      </c>
      <c r="Q12" s="3229" t="s">
        <v>2904</v>
      </c>
      <c r="R12" s="3229" t="s">
        <v>2905</v>
      </c>
      <c r="S12" s="3229" t="s">
        <v>2906</v>
      </c>
    </row>
    <row r="13" spans="1:20">
      <c r="A13" s="3229" t="s">
        <v>184</v>
      </c>
      <c r="B13" s="3230" t="s">
        <v>146</v>
      </c>
      <c r="C13" s="3229">
        <v>29680</v>
      </c>
      <c r="D13" s="3229">
        <v>27660</v>
      </c>
      <c r="E13" s="3229">
        <v>28210</v>
      </c>
      <c r="F13" s="3229">
        <v>9590</v>
      </c>
      <c r="G13" s="3229">
        <v>20120</v>
      </c>
      <c r="H13" s="3228"/>
      <c r="J13" s="3230" t="s">
        <v>208</v>
      </c>
      <c r="K13" s="3230" t="s">
        <v>209</v>
      </c>
      <c r="L13" s="3229" t="s">
        <v>210</v>
      </c>
      <c r="M13" s="3229" t="s">
        <v>211</v>
      </c>
      <c r="N13" s="3229" t="s">
        <v>212</v>
      </c>
      <c r="O13" s="3229" t="s">
        <v>2907</v>
      </c>
      <c r="P13" s="3229" t="s">
        <v>206</v>
      </c>
      <c r="Q13" s="3229" t="s">
        <v>219</v>
      </c>
      <c r="R13" s="3229" t="s">
        <v>220</v>
      </c>
      <c r="S13" s="3229" t="s">
        <v>214</v>
      </c>
    </row>
    <row r="14" spans="1:20">
      <c r="A14" s="3229" t="s">
        <v>184</v>
      </c>
      <c r="B14" s="3230" t="s">
        <v>155</v>
      </c>
      <c r="C14" s="3229">
        <v>30520</v>
      </c>
      <c r="D14" s="3229">
        <v>29510</v>
      </c>
      <c r="E14" s="3229">
        <v>29400</v>
      </c>
      <c r="F14" s="3229">
        <v>9630</v>
      </c>
      <c r="G14" s="3229">
        <v>21480</v>
      </c>
      <c r="H14" s="3228"/>
      <c r="J14" s="3230" t="s">
        <v>2908</v>
      </c>
      <c r="K14" s="3230" t="s">
        <v>215</v>
      </c>
      <c r="L14" s="3229" t="s">
        <v>216</v>
      </c>
      <c r="M14" s="3229" t="s">
        <v>217</v>
      </c>
      <c r="N14" s="3229" t="s">
        <v>218</v>
      </c>
      <c r="O14" s="3229" t="s">
        <v>240</v>
      </c>
      <c r="P14" s="3229" t="s">
        <v>213</v>
      </c>
      <c r="Q14" s="3229" t="s">
        <v>2909</v>
      </c>
      <c r="R14" s="3229" t="s">
        <v>228</v>
      </c>
      <c r="S14" s="3229" t="s">
        <v>221</v>
      </c>
    </row>
    <row r="15" spans="1:20">
      <c r="A15" s="3229" t="s">
        <v>184</v>
      </c>
      <c r="B15" s="3230" t="s">
        <v>162</v>
      </c>
      <c r="C15" s="3229">
        <v>29090</v>
      </c>
      <c r="D15" s="3229">
        <v>27590</v>
      </c>
      <c r="E15" s="3229">
        <v>28120</v>
      </c>
      <c r="F15" s="3229">
        <v>9110</v>
      </c>
      <c r="G15" s="3229">
        <v>20070</v>
      </c>
      <c r="H15" s="3228"/>
      <c r="J15" s="3230" t="s">
        <v>222</v>
      </c>
      <c r="K15" s="3230" t="s">
        <v>223</v>
      </c>
      <c r="L15" s="3229" t="s">
        <v>224</v>
      </c>
      <c r="M15" s="3229" t="s">
        <v>225</v>
      </c>
      <c r="N15" s="3229" t="s">
        <v>226</v>
      </c>
      <c r="O15" s="3229" t="s">
        <v>2910</v>
      </c>
      <c r="P15" s="3229" t="s">
        <v>2911</v>
      </c>
      <c r="Q15" s="3229" t="s">
        <v>242</v>
      </c>
      <c r="R15" s="3229" t="s">
        <v>2912</v>
      </c>
      <c r="S15" s="3229" t="s">
        <v>229</v>
      </c>
    </row>
    <row r="16" spans="1:20">
      <c r="A16" s="3229" t="s">
        <v>184</v>
      </c>
      <c r="B16" s="3230" t="s">
        <v>168</v>
      </c>
      <c r="C16" s="3229">
        <v>26790</v>
      </c>
      <c r="D16" s="3229">
        <v>30370</v>
      </c>
      <c r="E16" s="3229">
        <v>30240</v>
      </c>
      <c r="F16" s="3229">
        <v>11590</v>
      </c>
      <c r="G16" s="3229">
        <v>22090</v>
      </c>
      <c r="H16" s="3228"/>
      <c r="J16" s="3230" t="s">
        <v>230</v>
      </c>
      <c r="K16" s="3230" t="s">
        <v>231</v>
      </c>
      <c r="L16" s="3229" t="s">
        <v>232</v>
      </c>
      <c r="M16" s="3229" t="s">
        <v>233</v>
      </c>
      <c r="N16" s="3229" t="s">
        <v>234</v>
      </c>
      <c r="O16" s="3229" t="s">
        <v>2913</v>
      </c>
      <c r="P16" s="3229" t="s">
        <v>227</v>
      </c>
      <c r="Q16" s="3229" t="s">
        <v>250</v>
      </c>
      <c r="R16" s="3229" t="s">
        <v>207</v>
      </c>
      <c r="S16" s="3229" t="s">
        <v>2914</v>
      </c>
    </row>
    <row r="17" spans="1:19" ht="14.25" customHeight="1">
      <c r="A17" s="3229" t="s">
        <v>184</v>
      </c>
      <c r="B17" s="3230" t="s">
        <v>175</v>
      </c>
      <c r="C17" s="3229">
        <v>29180</v>
      </c>
      <c r="D17" s="3229">
        <v>27620</v>
      </c>
      <c r="E17" s="3229">
        <v>28180</v>
      </c>
      <c r="F17" s="3229">
        <v>10790</v>
      </c>
      <c r="G17" s="3229">
        <v>20090</v>
      </c>
      <c r="H17" s="3228"/>
      <c r="J17" s="3230" t="s">
        <v>235</v>
      </c>
      <c r="K17" s="3230" t="s">
        <v>236</v>
      </c>
      <c r="L17" s="3229" t="s">
        <v>237</v>
      </c>
      <c r="M17" s="3229" t="s">
        <v>238</v>
      </c>
      <c r="N17" s="3229" t="s">
        <v>239</v>
      </c>
      <c r="O17" s="3229" t="s">
        <v>2915</v>
      </c>
      <c r="P17" s="3229" t="s">
        <v>2916</v>
      </c>
      <c r="Q17" s="3229" t="s">
        <v>256</v>
      </c>
      <c r="R17" s="3229" t="s">
        <v>2917</v>
      </c>
      <c r="S17" s="3229" t="s">
        <v>258</v>
      </c>
    </row>
    <row r="18" spans="1:19" ht="14.25" customHeight="1">
      <c r="A18" s="3229" t="s">
        <v>184</v>
      </c>
      <c r="B18" s="3230" t="s">
        <v>185</v>
      </c>
      <c r="C18" s="3229">
        <v>26840</v>
      </c>
      <c r="D18" s="3229">
        <v>28930</v>
      </c>
      <c r="E18" s="3229">
        <v>28820</v>
      </c>
      <c r="F18" s="3229"/>
      <c r="G18" s="3229">
        <v>21050</v>
      </c>
      <c r="H18" s="3228"/>
      <c r="J18" s="3230" t="s">
        <v>244</v>
      </c>
      <c r="K18" s="3230" t="s">
        <v>245</v>
      </c>
      <c r="L18" s="3229" t="s">
        <v>246</v>
      </c>
      <c r="M18" s="3229" t="s">
        <v>247</v>
      </c>
      <c r="N18" s="3229" t="s">
        <v>248</v>
      </c>
      <c r="O18" s="3229" t="s">
        <v>2918</v>
      </c>
      <c r="P18" s="3229" t="s">
        <v>241</v>
      </c>
      <c r="Q18" s="3229" t="s">
        <v>2919</v>
      </c>
      <c r="R18" s="3229" t="s">
        <v>257</v>
      </c>
      <c r="S18" s="3229" t="s">
        <v>266</v>
      </c>
    </row>
    <row r="19" spans="1:19" ht="14.25" customHeight="1">
      <c r="A19" s="3229" t="s">
        <v>184</v>
      </c>
      <c r="B19" s="3230" t="s">
        <v>194</v>
      </c>
      <c r="C19" s="3229">
        <v>27750</v>
      </c>
      <c r="D19" s="3229">
        <v>26680</v>
      </c>
      <c r="E19" s="3229">
        <v>26590</v>
      </c>
      <c r="F19" s="3229"/>
      <c r="G19" s="3229">
        <v>19420</v>
      </c>
      <c r="H19" s="3228"/>
      <c r="J19" s="3230" t="s">
        <v>251</v>
      </c>
      <c r="K19" s="3230" t="s">
        <v>252</v>
      </c>
      <c r="L19" s="3229" t="s">
        <v>253</v>
      </c>
      <c r="M19" s="3229" t="s">
        <v>254</v>
      </c>
      <c r="N19" s="3229" t="s">
        <v>255</v>
      </c>
      <c r="O19" s="3229" t="s">
        <v>2920</v>
      </c>
      <c r="P19" s="3229" t="s">
        <v>249</v>
      </c>
      <c r="Q19" s="3229" t="s">
        <v>2921</v>
      </c>
      <c r="R19" s="3229" t="s">
        <v>265</v>
      </c>
      <c r="S19" s="3229" t="s">
        <v>2922</v>
      </c>
    </row>
    <row r="20" spans="1:19" ht="14.25" customHeight="1">
      <c r="A20" s="3229" t="s">
        <v>184</v>
      </c>
      <c r="B20" s="3230" t="s">
        <v>201</v>
      </c>
      <c r="C20" s="3229">
        <v>27050</v>
      </c>
      <c r="D20" s="3229">
        <v>29010</v>
      </c>
      <c r="E20" s="3229">
        <v>28910</v>
      </c>
      <c r="F20" s="3229"/>
      <c r="G20" s="3229">
        <v>21110</v>
      </c>
      <c r="J20" s="3230" t="s">
        <v>259</v>
      </c>
      <c r="K20" s="3230" t="s">
        <v>260</v>
      </c>
      <c r="L20" s="3229" t="s">
        <v>261</v>
      </c>
      <c r="M20" s="3229" t="s">
        <v>262</v>
      </c>
      <c r="N20" s="3229" t="s">
        <v>263</v>
      </c>
      <c r="O20" s="3229" t="s">
        <v>2923</v>
      </c>
      <c r="P20" s="3229" t="s">
        <v>2924</v>
      </c>
      <c r="Q20" s="3229" t="s">
        <v>290</v>
      </c>
      <c r="R20" s="3229" t="s">
        <v>2925</v>
      </c>
      <c r="S20" s="3229" t="s">
        <v>277</v>
      </c>
    </row>
    <row r="21" spans="1:19" ht="14.25" customHeight="1" thickBot="1">
      <c r="A21" s="3229" t="s">
        <v>184</v>
      </c>
      <c r="B21" s="3230" t="s">
        <v>208</v>
      </c>
      <c r="C21" s="3229">
        <v>32370</v>
      </c>
      <c r="D21" s="3229">
        <v>26730</v>
      </c>
      <c r="E21" s="3229">
        <v>26640</v>
      </c>
      <c r="F21" s="3229"/>
      <c r="G21" s="3229">
        <v>19440</v>
      </c>
      <c r="J21" s="3236" t="s">
        <v>2926</v>
      </c>
      <c r="K21" s="3230" t="s">
        <v>267</v>
      </c>
      <c r="L21" s="3229" t="s">
        <v>268</v>
      </c>
      <c r="M21" s="3229" t="s">
        <v>269</v>
      </c>
      <c r="N21" s="3229" t="s">
        <v>270</v>
      </c>
      <c r="O21" s="3229" t="s">
        <v>264</v>
      </c>
      <c r="P21" s="3229" t="s">
        <v>283</v>
      </c>
      <c r="Q21" s="3229" t="s">
        <v>293</v>
      </c>
      <c r="R21" s="3229" t="s">
        <v>2927</v>
      </c>
      <c r="S21" s="3236" t="s">
        <v>2928</v>
      </c>
    </row>
    <row r="22" spans="1:19" ht="14.25" customHeight="1">
      <c r="A22" s="3229" t="s">
        <v>184</v>
      </c>
      <c r="B22" s="3230" t="s">
        <v>2908</v>
      </c>
      <c r="C22" s="3229">
        <v>29830</v>
      </c>
      <c r="D22" s="3229">
        <v>27600</v>
      </c>
      <c r="E22" s="3229">
        <v>28150</v>
      </c>
      <c r="F22" s="3229"/>
      <c r="G22" s="3229">
        <v>20080</v>
      </c>
      <c r="K22" s="3230" t="s">
        <v>2929</v>
      </c>
      <c r="L22" s="3229" t="s">
        <v>272</v>
      </c>
      <c r="M22" s="3229" t="s">
        <v>273</v>
      </c>
      <c r="N22" s="3229" t="s">
        <v>274</v>
      </c>
      <c r="O22" s="3229" t="s">
        <v>2930</v>
      </c>
      <c r="P22" s="3229" t="s">
        <v>286</v>
      </c>
      <c r="Q22" s="3229" t="s">
        <v>295</v>
      </c>
      <c r="R22" s="3229" t="s">
        <v>243</v>
      </c>
    </row>
    <row r="23" spans="1:19" ht="14.25" customHeight="1">
      <c r="A23" s="3229" t="s">
        <v>184</v>
      </c>
      <c r="B23" s="3230" t="s">
        <v>222</v>
      </c>
      <c r="C23" s="3229">
        <v>27800</v>
      </c>
      <c r="D23" s="3229">
        <v>26900</v>
      </c>
      <c r="E23" s="3229">
        <v>27170</v>
      </c>
      <c r="F23" s="3229"/>
      <c r="G23" s="3229">
        <v>19570</v>
      </c>
      <c r="K23" s="3230" t="s">
        <v>2931</v>
      </c>
      <c r="L23" s="3229" t="s">
        <v>278</v>
      </c>
      <c r="M23" s="3229" t="s">
        <v>279</v>
      </c>
      <c r="N23" s="3229" t="s">
        <v>2932</v>
      </c>
      <c r="O23" s="3229" t="s">
        <v>2933</v>
      </c>
      <c r="P23" s="3229" t="s">
        <v>289</v>
      </c>
      <c r="Q23" s="3229" t="s">
        <v>298</v>
      </c>
      <c r="R23" s="3229" t="s">
        <v>2934</v>
      </c>
    </row>
    <row r="24" spans="1:19" ht="14.25" customHeight="1">
      <c r="A24" s="3229" t="s">
        <v>184</v>
      </c>
      <c r="B24" s="3230" t="s">
        <v>230</v>
      </c>
      <c r="C24" s="3229">
        <v>27930</v>
      </c>
      <c r="D24" s="3229">
        <v>32260</v>
      </c>
      <c r="E24" s="3229">
        <v>32120</v>
      </c>
      <c r="F24" s="3229"/>
      <c r="G24" s="3229">
        <v>23470</v>
      </c>
      <c r="K24" s="3230" t="s">
        <v>2935</v>
      </c>
      <c r="L24" s="3229" t="s">
        <v>281</v>
      </c>
      <c r="M24" s="3229" t="s">
        <v>282</v>
      </c>
      <c r="N24" s="3229" t="s">
        <v>2936</v>
      </c>
      <c r="O24" s="3229" t="s">
        <v>285</v>
      </c>
      <c r="P24" s="3229" t="s">
        <v>2937</v>
      </c>
      <c r="Q24" s="3238" t="s">
        <v>2938</v>
      </c>
      <c r="R24" s="3229" t="s">
        <v>2939</v>
      </c>
    </row>
    <row r="25" spans="1:19" ht="14.25" customHeight="1">
      <c r="A25" s="3229" t="s">
        <v>184</v>
      </c>
      <c r="B25" s="3230" t="s">
        <v>235</v>
      </c>
      <c r="C25" s="3229">
        <v>32230</v>
      </c>
      <c r="D25" s="3229">
        <v>29640</v>
      </c>
      <c r="E25" s="3229">
        <v>29510</v>
      </c>
      <c r="F25" s="3229"/>
      <c r="G25" s="3229">
        <v>21560</v>
      </c>
      <c r="K25" s="3230" t="s">
        <v>2940</v>
      </c>
      <c r="L25" s="3229" t="s">
        <v>2941</v>
      </c>
      <c r="M25" s="3229" t="s">
        <v>284</v>
      </c>
      <c r="N25" s="3229" t="s">
        <v>292</v>
      </c>
      <c r="O25" s="3229" t="s">
        <v>288</v>
      </c>
      <c r="P25" s="3229" t="s">
        <v>275</v>
      </c>
      <c r="Q25" s="3238" t="s">
        <v>271</v>
      </c>
      <c r="R25" s="3229" t="s">
        <v>2942</v>
      </c>
    </row>
    <row r="26" spans="1:19" ht="14.25" customHeight="1" thickBot="1">
      <c r="A26" s="3229" t="s">
        <v>184</v>
      </c>
      <c r="B26" s="3230" t="s">
        <v>244</v>
      </c>
      <c r="C26" s="3229">
        <v>31690</v>
      </c>
      <c r="D26" s="3229">
        <v>27650</v>
      </c>
      <c r="E26" s="3229">
        <v>28200</v>
      </c>
      <c r="F26" s="3229"/>
      <c r="G26" s="3229">
        <v>20110</v>
      </c>
      <c r="K26" s="3235" t="s">
        <v>2943</v>
      </c>
      <c r="L26" s="3229" t="s">
        <v>2944</v>
      </c>
      <c r="M26" s="3229" t="s">
        <v>287</v>
      </c>
      <c r="N26" s="3229" t="s">
        <v>294</v>
      </c>
      <c r="O26" s="3229" t="s">
        <v>2945</v>
      </c>
      <c r="P26" s="3229" t="s">
        <v>2946</v>
      </c>
      <c r="Q26" s="3238" t="s">
        <v>276</v>
      </c>
      <c r="R26" s="3229" t="s">
        <v>2947</v>
      </c>
    </row>
    <row r="27" spans="1:19" ht="14.25" customHeight="1">
      <c r="A27" s="3229" t="s">
        <v>184</v>
      </c>
      <c r="B27" s="3230" t="s">
        <v>251</v>
      </c>
      <c r="C27" s="3229">
        <v>29610</v>
      </c>
      <c r="D27" s="3229">
        <v>27770</v>
      </c>
      <c r="E27" s="3229">
        <v>28300</v>
      </c>
      <c r="F27" s="3229"/>
      <c r="G27" s="3229">
        <v>20210</v>
      </c>
      <c r="L27" s="3229" t="s">
        <v>2948</v>
      </c>
      <c r="M27" s="3229" t="s">
        <v>291</v>
      </c>
      <c r="N27" s="3229" t="s">
        <v>297</v>
      </c>
      <c r="O27" s="3229" t="s">
        <v>2949</v>
      </c>
      <c r="P27" s="3229" t="s">
        <v>2950</v>
      </c>
      <c r="Q27" s="3229" t="s">
        <v>2951</v>
      </c>
      <c r="R27" s="3229" t="s">
        <v>2952</v>
      </c>
    </row>
    <row r="28" spans="1:19" ht="14.25" customHeight="1">
      <c r="A28" s="3229" t="s">
        <v>184</v>
      </c>
      <c r="B28" s="3230" t="s">
        <v>259</v>
      </c>
      <c r="C28" s="3229"/>
      <c r="D28" s="3229">
        <v>31520</v>
      </c>
      <c r="E28" s="3229">
        <v>31410</v>
      </c>
      <c r="F28" s="3229"/>
      <c r="G28" s="3229">
        <v>22940</v>
      </c>
      <c r="L28" s="3229" t="s">
        <v>2953</v>
      </c>
      <c r="M28" s="3229" t="s">
        <v>2954</v>
      </c>
      <c r="N28" s="3229" t="s">
        <v>2955</v>
      </c>
      <c r="O28" s="3229" t="s">
        <v>2956</v>
      </c>
      <c r="P28" s="3229" t="s">
        <v>2957</v>
      </c>
      <c r="Q28" s="3229" t="s">
        <v>2958</v>
      </c>
      <c r="R28" s="3229" t="s">
        <v>2959</v>
      </c>
    </row>
    <row r="29" spans="1:19" ht="14.25" customHeight="1" thickBot="1">
      <c r="A29" s="3237" t="s">
        <v>184</v>
      </c>
      <c r="B29" s="3239" t="s">
        <v>2926</v>
      </c>
      <c r="C29" s="3240"/>
      <c r="D29" s="3240">
        <v>29460</v>
      </c>
      <c r="E29" s="3240">
        <v>28640</v>
      </c>
      <c r="F29" s="3240"/>
      <c r="G29" s="3240">
        <v>21430</v>
      </c>
      <c r="L29" s="3229" t="s">
        <v>2960</v>
      </c>
      <c r="M29" s="3229" t="s">
        <v>2961</v>
      </c>
      <c r="N29" s="3229" t="s">
        <v>2962</v>
      </c>
      <c r="O29" s="3229" t="s">
        <v>2963</v>
      </c>
      <c r="P29" s="3229" t="s">
        <v>2964</v>
      </c>
      <c r="Q29" s="3229" t="s">
        <v>2965</v>
      </c>
      <c r="R29" s="3229" t="s">
        <v>280</v>
      </c>
    </row>
    <row r="30" spans="1:19" ht="14.25" customHeight="1">
      <c r="A30" s="3234" t="s">
        <v>296</v>
      </c>
      <c r="B30" s="3225" t="s">
        <v>2859</v>
      </c>
      <c r="C30" s="3225">
        <v>26890</v>
      </c>
      <c r="D30" s="3225">
        <v>26770</v>
      </c>
      <c r="E30" s="3225">
        <v>25700</v>
      </c>
      <c r="F30" s="3225">
        <v>8180</v>
      </c>
      <c r="G30" s="3241">
        <v>18740</v>
      </c>
      <c r="L30" s="3229" t="s">
        <v>2966</v>
      </c>
      <c r="M30" s="3229" t="s">
        <v>2967</v>
      </c>
      <c r="N30" s="3229" t="s">
        <v>2968</v>
      </c>
      <c r="O30" s="3229" t="s">
        <v>2969</v>
      </c>
      <c r="P30" s="3229" t="s">
        <v>2970</v>
      </c>
      <c r="Q30" s="3229" t="s">
        <v>2971</v>
      </c>
      <c r="R30" s="3229" t="s">
        <v>2972</v>
      </c>
    </row>
    <row r="31" spans="1:19" ht="14.25" customHeight="1">
      <c r="A31" s="3229" t="s">
        <v>296</v>
      </c>
      <c r="B31" s="3230" t="s">
        <v>129</v>
      </c>
      <c r="C31" s="3229">
        <v>24550</v>
      </c>
      <c r="D31" s="3229">
        <v>23990</v>
      </c>
      <c r="E31" s="3229">
        <v>22930</v>
      </c>
      <c r="F31" s="3229">
        <v>7470</v>
      </c>
      <c r="G31" s="3242">
        <v>16790</v>
      </c>
      <c r="L31" s="3229" t="s">
        <v>2973</v>
      </c>
      <c r="M31" s="3229" t="s">
        <v>2974</v>
      </c>
      <c r="N31" s="3229" t="s">
        <v>2975</v>
      </c>
      <c r="O31" s="3229" t="s">
        <v>2976</v>
      </c>
      <c r="P31" s="3229" t="s">
        <v>2977</v>
      </c>
      <c r="Q31" s="3229" t="s">
        <v>2978</v>
      </c>
      <c r="R31" s="3229" t="s">
        <v>2979</v>
      </c>
    </row>
    <row r="32" spans="1:19" ht="14.25" customHeight="1" thickBot="1">
      <c r="A32" s="3229" t="s">
        <v>296</v>
      </c>
      <c r="B32" s="3230" t="s">
        <v>138</v>
      </c>
      <c r="C32" s="3229">
        <v>27210</v>
      </c>
      <c r="D32" s="3229">
        <v>23240</v>
      </c>
      <c r="E32" s="3229">
        <v>23260</v>
      </c>
      <c r="F32" s="3229">
        <v>7130</v>
      </c>
      <c r="G32" s="3242">
        <v>16270</v>
      </c>
      <c r="L32" s="3229" t="s">
        <v>2980</v>
      </c>
      <c r="M32" s="3229" t="s">
        <v>2981</v>
      </c>
      <c r="N32" s="3229" t="s">
        <v>300</v>
      </c>
      <c r="O32" s="3229" t="s">
        <v>2982</v>
      </c>
      <c r="P32" s="3229" t="s">
        <v>299</v>
      </c>
      <c r="Q32" s="3229" t="s">
        <v>2983</v>
      </c>
      <c r="R32" s="3236" t="s">
        <v>2984</v>
      </c>
    </row>
    <row r="33" spans="1:17" ht="14.25" customHeight="1" thickBot="1">
      <c r="A33" s="3229" t="s">
        <v>296</v>
      </c>
      <c r="B33" s="3230" t="s">
        <v>147</v>
      </c>
      <c r="C33" s="3229">
        <v>27300</v>
      </c>
      <c r="D33" s="3229">
        <v>22980</v>
      </c>
      <c r="E33" s="3229">
        <v>24260</v>
      </c>
      <c r="F33" s="3229">
        <v>5860</v>
      </c>
      <c r="G33" s="3242">
        <v>16090</v>
      </c>
      <c r="L33" s="3236" t="s">
        <v>2985</v>
      </c>
      <c r="M33" s="3229" t="s">
        <v>2986</v>
      </c>
      <c r="N33" s="3229" t="s">
        <v>301</v>
      </c>
      <c r="O33" s="3229" t="s">
        <v>2987</v>
      </c>
      <c r="P33" s="3229" t="s">
        <v>2988</v>
      </c>
      <c r="Q33" s="3229" t="s">
        <v>2989</v>
      </c>
    </row>
    <row r="34" spans="1:17" ht="14.25" customHeight="1">
      <c r="A34" s="3229" t="s">
        <v>296</v>
      </c>
      <c r="B34" s="3230" t="s">
        <v>156</v>
      </c>
      <c r="C34" s="3229">
        <v>23090</v>
      </c>
      <c r="D34" s="3229">
        <v>23390</v>
      </c>
      <c r="E34" s="3229">
        <v>23510</v>
      </c>
      <c r="F34" s="3229">
        <v>6700</v>
      </c>
      <c r="G34" s="3242">
        <v>16370</v>
      </c>
      <c r="M34" s="3229" t="s">
        <v>2990</v>
      </c>
      <c r="N34" s="3229" t="s">
        <v>302</v>
      </c>
      <c r="O34" s="3229" t="s">
        <v>2991</v>
      </c>
      <c r="P34" s="3229" t="s">
        <v>2992</v>
      </c>
      <c r="Q34" s="3229" t="s">
        <v>2993</v>
      </c>
    </row>
    <row r="35" spans="1:17" ht="14.25" customHeight="1">
      <c r="A35" s="3229" t="s">
        <v>296</v>
      </c>
      <c r="B35" s="3230" t="s">
        <v>163</v>
      </c>
      <c r="C35" s="3229">
        <v>27270</v>
      </c>
      <c r="D35" s="3229">
        <v>24270</v>
      </c>
      <c r="E35" s="3229">
        <v>24950</v>
      </c>
      <c r="F35" s="3229">
        <v>6600</v>
      </c>
      <c r="G35" s="3242">
        <v>16990</v>
      </c>
      <c r="M35" s="3229" t="s">
        <v>2994</v>
      </c>
      <c r="N35" s="3229" t="s">
        <v>2995</v>
      </c>
      <c r="O35" s="3229" t="s">
        <v>2996</v>
      </c>
      <c r="P35" s="3229" t="s">
        <v>2997</v>
      </c>
      <c r="Q35" s="3229" t="s">
        <v>2998</v>
      </c>
    </row>
    <row r="36" spans="1:17" ht="14.25" customHeight="1">
      <c r="A36" s="3229" t="s">
        <v>296</v>
      </c>
      <c r="B36" s="3230" t="s">
        <v>169</v>
      </c>
      <c r="C36" s="3229">
        <v>23490</v>
      </c>
      <c r="D36" s="3229">
        <v>23020</v>
      </c>
      <c r="E36" s="3229">
        <v>25230</v>
      </c>
      <c r="F36" s="3229">
        <v>6780</v>
      </c>
      <c r="G36" s="3242">
        <v>16120</v>
      </c>
      <c r="M36" s="3229" t="s">
        <v>2999</v>
      </c>
      <c r="N36" s="3229" t="s">
        <v>3000</v>
      </c>
      <c r="O36" s="3229" t="s">
        <v>3001</v>
      </c>
      <c r="P36" s="3229" t="s">
        <v>3002</v>
      </c>
      <c r="Q36" s="3229" t="s">
        <v>3003</v>
      </c>
    </row>
    <row r="37" spans="1:17" ht="14.25" customHeight="1">
      <c r="A37" s="3229" t="s">
        <v>296</v>
      </c>
      <c r="B37" s="3230" t="s">
        <v>176</v>
      </c>
      <c r="C37" s="3229">
        <v>24380</v>
      </c>
      <c r="D37" s="3229">
        <v>22240</v>
      </c>
      <c r="E37" s="3229">
        <v>25980</v>
      </c>
      <c r="F37" s="3229">
        <v>8160</v>
      </c>
      <c r="G37" s="3242">
        <v>15570</v>
      </c>
      <c r="M37" s="3229" t="s">
        <v>3004</v>
      </c>
      <c r="N37" s="3229" t="s">
        <v>3005</v>
      </c>
      <c r="O37" s="3229" t="s">
        <v>3006</v>
      </c>
      <c r="P37" s="3229" t="s">
        <v>3007</v>
      </c>
      <c r="Q37" s="3229" t="s">
        <v>3008</v>
      </c>
    </row>
    <row r="38" spans="1:17" ht="14.25" customHeight="1">
      <c r="A38" s="3229" t="s">
        <v>296</v>
      </c>
      <c r="B38" s="3230" t="s">
        <v>186</v>
      </c>
      <c r="C38" s="3229">
        <v>23120</v>
      </c>
      <c r="D38" s="3229">
        <v>24630</v>
      </c>
      <c r="E38" s="3229">
        <v>25030</v>
      </c>
      <c r="F38" s="3229">
        <v>7710</v>
      </c>
      <c r="G38" s="3242">
        <v>17240</v>
      </c>
      <c r="M38" s="3229" t="s">
        <v>3009</v>
      </c>
      <c r="N38" s="3229" t="s">
        <v>3010</v>
      </c>
      <c r="O38" s="3229" t="s">
        <v>3011</v>
      </c>
      <c r="P38" s="3229" t="s">
        <v>3012</v>
      </c>
      <c r="Q38" s="3229" t="s">
        <v>3013</v>
      </c>
    </row>
    <row r="39" spans="1:17" ht="14.25" customHeight="1">
      <c r="A39" s="3229" t="s">
        <v>296</v>
      </c>
      <c r="B39" s="3230" t="s">
        <v>195</v>
      </c>
      <c r="C39" s="3229">
        <v>22330</v>
      </c>
      <c r="D39" s="3229">
        <v>21140</v>
      </c>
      <c r="E39" s="3229">
        <v>23970</v>
      </c>
      <c r="F39" s="3229">
        <v>7940</v>
      </c>
      <c r="G39" s="3242">
        <v>14790</v>
      </c>
      <c r="M39" s="3229" t="s">
        <v>3014</v>
      </c>
      <c r="N39" s="3229" t="s">
        <v>3015</v>
      </c>
      <c r="O39" s="3229" t="s">
        <v>3016</v>
      </c>
      <c r="P39" s="3229" t="s">
        <v>3017</v>
      </c>
      <c r="Q39" s="3229" t="s">
        <v>3018</v>
      </c>
    </row>
    <row r="40" spans="1:17" ht="14.25" customHeight="1">
      <c r="A40" s="3229" t="s">
        <v>296</v>
      </c>
      <c r="B40" s="3230" t="s">
        <v>202</v>
      </c>
      <c r="C40" s="3229">
        <v>24740</v>
      </c>
      <c r="D40" s="3229">
        <v>24690</v>
      </c>
      <c r="E40" s="3229">
        <v>22610</v>
      </c>
      <c r="F40" s="3229"/>
      <c r="G40" s="3242">
        <v>17280</v>
      </c>
      <c r="M40" s="3229" t="s">
        <v>3019</v>
      </c>
      <c r="N40" s="3229" t="s">
        <v>3020</v>
      </c>
      <c r="O40" s="3229" t="s">
        <v>3021</v>
      </c>
      <c r="P40" s="3229" t="s">
        <v>3022</v>
      </c>
      <c r="Q40" s="3229" t="s">
        <v>3023</v>
      </c>
    </row>
    <row r="41" spans="1:17" ht="14.25" customHeight="1" thickBot="1">
      <c r="A41" s="3229" t="s">
        <v>296</v>
      </c>
      <c r="B41" s="3230" t="s">
        <v>209</v>
      </c>
      <c r="C41" s="3229">
        <v>21220</v>
      </c>
      <c r="D41" s="3229">
        <v>21120</v>
      </c>
      <c r="E41" s="3229">
        <v>22590</v>
      </c>
      <c r="F41" s="3229"/>
      <c r="G41" s="3242">
        <v>14780</v>
      </c>
      <c r="M41" s="3236" t="s">
        <v>3024</v>
      </c>
      <c r="N41" s="3229" t="s">
        <v>3025</v>
      </c>
      <c r="O41" s="3229" t="s">
        <v>3026</v>
      </c>
      <c r="P41" s="3229" t="s">
        <v>3027</v>
      </c>
      <c r="Q41" s="3229" t="s">
        <v>3028</v>
      </c>
    </row>
    <row r="42" spans="1:17" ht="14.25" customHeight="1">
      <c r="A42" s="3229" t="s">
        <v>296</v>
      </c>
      <c r="B42" s="3230" t="s">
        <v>215</v>
      </c>
      <c r="C42" s="3229">
        <v>24800</v>
      </c>
      <c r="D42" s="3229">
        <v>22280</v>
      </c>
      <c r="E42" s="3229">
        <v>24350</v>
      </c>
      <c r="F42" s="3229"/>
      <c r="G42" s="3242">
        <v>15590</v>
      </c>
      <c r="N42" s="3229" t="s">
        <v>3029</v>
      </c>
      <c r="O42" s="3229" t="s">
        <v>3030</v>
      </c>
      <c r="P42" s="3229" t="s">
        <v>3031</v>
      </c>
      <c r="Q42" s="3229" t="s">
        <v>3032</v>
      </c>
    </row>
    <row r="43" spans="1:17" ht="14.25" customHeight="1">
      <c r="A43" s="3229" t="s">
        <v>3033</v>
      </c>
      <c r="B43" s="3230" t="s">
        <v>223</v>
      </c>
      <c r="C43" s="3229">
        <v>21210</v>
      </c>
      <c r="D43" s="3229">
        <v>21160</v>
      </c>
      <c r="E43" s="3229">
        <v>22650</v>
      </c>
      <c r="F43" s="3229"/>
      <c r="G43" s="3242">
        <v>14800</v>
      </c>
      <c r="N43" s="3229" t="s">
        <v>3034</v>
      </c>
      <c r="O43" s="3229" t="s">
        <v>3035</v>
      </c>
      <c r="P43" s="3229" t="s">
        <v>3036</v>
      </c>
      <c r="Q43" s="3229" t="s">
        <v>3037</v>
      </c>
    </row>
    <row r="44" spans="1:17" ht="14.25" customHeight="1" thickBot="1">
      <c r="A44" s="3229" t="s">
        <v>296</v>
      </c>
      <c r="B44" s="3230" t="s">
        <v>231</v>
      </c>
      <c r="C44" s="3229">
        <v>22370</v>
      </c>
      <c r="D44" s="3229">
        <v>23140</v>
      </c>
      <c r="E44" s="3229">
        <v>25090</v>
      </c>
      <c r="F44" s="3229"/>
      <c r="G44" s="3242">
        <v>16190</v>
      </c>
      <c r="N44" s="3229" t="s">
        <v>3038</v>
      </c>
      <c r="O44" s="3229" t="s">
        <v>3039</v>
      </c>
      <c r="P44" s="3236" t="s">
        <v>3040</v>
      </c>
      <c r="Q44" s="3229" t="s">
        <v>3041</v>
      </c>
    </row>
    <row r="45" spans="1:17" ht="14.25" customHeight="1" thickBot="1">
      <c r="A45" s="3229" t="s">
        <v>296</v>
      </c>
      <c r="B45" s="3230" t="s">
        <v>236</v>
      </c>
      <c r="C45" s="3229">
        <v>21240</v>
      </c>
      <c r="D45" s="3229">
        <v>27050</v>
      </c>
      <c r="E45" s="3229">
        <v>28000</v>
      </c>
      <c r="F45" s="3229"/>
      <c r="G45" s="3242">
        <v>18940</v>
      </c>
      <c r="N45" s="3229" t="s">
        <v>3042</v>
      </c>
      <c r="O45" s="3236" t="s">
        <v>3043</v>
      </c>
      <c r="Q45" s="3229" t="s">
        <v>3044</v>
      </c>
    </row>
    <row r="46" spans="1:17" ht="14.25" customHeight="1">
      <c r="A46" s="3229" t="s">
        <v>296</v>
      </c>
      <c r="B46" s="3230" t="s">
        <v>245</v>
      </c>
      <c r="C46" s="3229">
        <v>23240</v>
      </c>
      <c r="D46" s="3229">
        <v>23000</v>
      </c>
      <c r="E46" s="3229">
        <v>24980</v>
      </c>
      <c r="F46" s="3229"/>
      <c r="G46" s="3242">
        <v>16100</v>
      </c>
      <c r="N46" s="3229" t="s">
        <v>3045</v>
      </c>
      <c r="Q46" s="3229" t="s">
        <v>3046</v>
      </c>
    </row>
    <row r="47" spans="1:17" ht="14.25" customHeight="1">
      <c r="A47" s="3229" t="s">
        <v>296</v>
      </c>
      <c r="B47" s="3230" t="s">
        <v>252</v>
      </c>
      <c r="C47" s="3229">
        <v>27150</v>
      </c>
      <c r="D47" s="3229">
        <v>23310</v>
      </c>
      <c r="E47" s="3229">
        <v>25150</v>
      </c>
      <c r="F47" s="3229"/>
      <c r="G47" s="3242">
        <v>16310</v>
      </c>
      <c r="N47" s="3229" t="s">
        <v>3047</v>
      </c>
      <c r="Q47" s="3229" t="s">
        <v>3048</v>
      </c>
    </row>
    <row r="48" spans="1:17" ht="14.25" customHeight="1">
      <c r="A48" s="3229" t="s">
        <v>296</v>
      </c>
      <c r="B48" s="3230" t="s">
        <v>260</v>
      </c>
      <c r="C48" s="3229">
        <v>23100</v>
      </c>
      <c r="D48" s="3229">
        <v>21110</v>
      </c>
      <c r="E48" s="3229">
        <v>23080</v>
      </c>
      <c r="F48" s="3229"/>
      <c r="G48" s="3242">
        <v>14780</v>
      </c>
      <c r="N48" s="3229" t="s">
        <v>3049</v>
      </c>
      <c r="Q48" s="3229" t="s">
        <v>3050</v>
      </c>
    </row>
    <row r="49" spans="1:17" ht="14.25" customHeight="1">
      <c r="A49" s="3229" t="s">
        <v>296</v>
      </c>
      <c r="B49" s="3230" t="s">
        <v>267</v>
      </c>
      <c r="C49" s="3229">
        <v>23400</v>
      </c>
      <c r="D49" s="3229">
        <v>22920</v>
      </c>
      <c r="E49" s="3229">
        <v>24900</v>
      </c>
      <c r="F49" s="3229"/>
      <c r="G49" s="3242">
        <v>16040</v>
      </c>
      <c r="N49" s="3229" t="s">
        <v>3051</v>
      </c>
      <c r="Q49" s="3229" t="s">
        <v>3052</v>
      </c>
    </row>
    <row r="50" spans="1:17" ht="14.25" customHeight="1">
      <c r="A50" s="3229" t="s">
        <v>296</v>
      </c>
      <c r="B50" s="3230" t="s">
        <v>2929</v>
      </c>
      <c r="C50" s="3229">
        <v>21200</v>
      </c>
      <c r="D50" s="3229">
        <v>26540</v>
      </c>
      <c r="E50" s="3229">
        <v>23200</v>
      </c>
      <c r="F50" s="3229"/>
      <c r="G50" s="3242">
        <v>18580</v>
      </c>
      <c r="N50" s="3229" t="s">
        <v>3053</v>
      </c>
      <c r="Q50" s="3230" t="s">
        <v>3054</v>
      </c>
    </row>
    <row r="51" spans="1:17" ht="14.25" customHeight="1" thickBot="1">
      <c r="A51" s="3229" t="s">
        <v>296</v>
      </c>
      <c r="B51" s="3230" t="s">
        <v>2931</v>
      </c>
      <c r="C51" s="3229">
        <v>23000</v>
      </c>
      <c r="D51" s="3229">
        <v>23460</v>
      </c>
      <c r="E51" s="3229">
        <v>25290</v>
      </c>
      <c r="F51" s="3229"/>
      <c r="G51" s="3242">
        <v>16420</v>
      </c>
      <c r="N51" s="3229" t="s">
        <v>3055</v>
      </c>
      <c r="Q51" s="3236" t="s">
        <v>3056</v>
      </c>
    </row>
    <row r="52" spans="1:17" ht="14.25" customHeight="1">
      <c r="A52" s="3229" t="s">
        <v>296</v>
      </c>
      <c r="B52" s="3230" t="s">
        <v>2935</v>
      </c>
      <c r="C52" s="3229">
        <v>26660</v>
      </c>
      <c r="D52" s="3229">
        <v>22350</v>
      </c>
      <c r="E52" s="3229">
        <v>22920</v>
      </c>
      <c r="F52" s="3229"/>
      <c r="G52" s="3242">
        <v>15640</v>
      </c>
      <c r="N52" s="3229" t="s">
        <v>3057</v>
      </c>
    </row>
    <row r="53" spans="1:17" ht="14.25" customHeight="1">
      <c r="A53" s="3229" t="s">
        <v>296</v>
      </c>
      <c r="B53" s="3230" t="s">
        <v>2940</v>
      </c>
      <c r="C53" s="3229">
        <v>23580</v>
      </c>
      <c r="D53" s="3229"/>
      <c r="E53" s="3229">
        <v>24280</v>
      </c>
      <c r="F53" s="3229"/>
      <c r="G53" s="3242"/>
      <c r="N53" s="3229" t="s">
        <v>3058</v>
      </c>
    </row>
    <row r="54" spans="1:17" ht="14.25" customHeight="1" thickBot="1">
      <c r="A54" s="3243" t="s">
        <v>296</v>
      </c>
      <c r="B54" s="3235" t="s">
        <v>2943</v>
      </c>
      <c r="C54" s="3236">
        <v>22460</v>
      </c>
      <c r="D54" s="3236"/>
      <c r="E54" s="3236"/>
      <c r="F54" s="3236"/>
      <c r="G54" s="3244"/>
      <c r="N54" s="3229" t="s">
        <v>3059</v>
      </c>
    </row>
    <row r="55" spans="1:17" ht="14.25" customHeight="1">
      <c r="A55" s="3234" t="s">
        <v>110</v>
      </c>
      <c r="B55" s="3225" t="s">
        <v>3060</v>
      </c>
      <c r="C55" s="3229">
        <v>21970</v>
      </c>
      <c r="D55" s="3229">
        <v>20370</v>
      </c>
      <c r="E55" s="3229">
        <v>20180</v>
      </c>
      <c r="F55" s="3229">
        <v>5730</v>
      </c>
      <c r="G55" s="3229">
        <v>13820</v>
      </c>
      <c r="N55" s="3229" t="s">
        <v>3061</v>
      </c>
    </row>
    <row r="56" spans="1:17" ht="14.25" customHeight="1">
      <c r="A56" s="3229" t="s">
        <v>110</v>
      </c>
      <c r="B56" s="3229" t="s">
        <v>130</v>
      </c>
      <c r="C56" s="3229">
        <v>20470</v>
      </c>
      <c r="D56" s="3229">
        <v>20700</v>
      </c>
      <c r="E56" s="3229">
        <v>20380</v>
      </c>
      <c r="F56" s="3229">
        <v>4760</v>
      </c>
      <c r="G56" s="3229">
        <v>14050</v>
      </c>
      <c r="N56" s="3229" t="s">
        <v>3062</v>
      </c>
    </row>
    <row r="57" spans="1:17" ht="14.25" customHeight="1">
      <c r="A57" s="3229" t="s">
        <v>110</v>
      </c>
      <c r="B57" s="3229" t="s">
        <v>139</v>
      </c>
      <c r="C57" s="3229">
        <v>20790</v>
      </c>
      <c r="D57" s="3229">
        <v>21370</v>
      </c>
      <c r="E57" s="3229">
        <v>20890</v>
      </c>
      <c r="F57" s="3229">
        <v>4910</v>
      </c>
      <c r="G57" s="3229">
        <v>14510</v>
      </c>
      <c r="N57" s="3229" t="s">
        <v>3063</v>
      </c>
    </row>
    <row r="58" spans="1:17" ht="14.25" customHeight="1">
      <c r="A58" s="3229" t="s">
        <v>110</v>
      </c>
      <c r="B58" s="3229" t="s">
        <v>148</v>
      </c>
      <c r="C58" s="3229">
        <v>21460</v>
      </c>
      <c r="D58" s="3229">
        <v>20920</v>
      </c>
      <c r="E58" s="3229">
        <v>23410</v>
      </c>
      <c r="F58" s="3229">
        <v>5100</v>
      </c>
      <c r="G58" s="3229">
        <v>14200</v>
      </c>
      <c r="N58" s="3229" t="s">
        <v>3064</v>
      </c>
    </row>
    <row r="59" spans="1:17" ht="14.25" customHeight="1">
      <c r="A59" s="3229" t="s">
        <v>110</v>
      </c>
      <c r="B59" s="3229" t="s">
        <v>157</v>
      </c>
      <c r="C59" s="3229">
        <v>21000</v>
      </c>
      <c r="D59" s="3229">
        <v>21550</v>
      </c>
      <c r="E59" s="3229">
        <v>21150</v>
      </c>
      <c r="F59" s="3229">
        <v>5250</v>
      </c>
      <c r="G59" s="3229">
        <v>14630</v>
      </c>
      <c r="N59" s="3229" t="s">
        <v>3065</v>
      </c>
    </row>
    <row r="60" spans="1:17" ht="14.25" customHeight="1">
      <c r="A60" s="3229" t="s">
        <v>110</v>
      </c>
      <c r="B60" s="3229" t="s">
        <v>164</v>
      </c>
      <c r="C60" s="3229">
        <v>21640</v>
      </c>
      <c r="D60" s="3229">
        <v>21260</v>
      </c>
      <c r="E60" s="3229">
        <v>24040</v>
      </c>
      <c r="F60" s="3229">
        <v>4470</v>
      </c>
      <c r="G60" s="3229">
        <v>14430</v>
      </c>
      <c r="N60" s="3229" t="s">
        <v>3066</v>
      </c>
    </row>
    <row r="61" spans="1:17" ht="14.25" customHeight="1">
      <c r="A61" s="3229" t="s">
        <v>110</v>
      </c>
      <c r="B61" s="3229" t="s">
        <v>170</v>
      </c>
      <c r="C61" s="3229">
        <v>21330</v>
      </c>
      <c r="D61" s="3229">
        <v>18640</v>
      </c>
      <c r="E61" s="3229">
        <v>21190</v>
      </c>
      <c r="F61" s="3229">
        <v>4180</v>
      </c>
      <c r="G61" s="3229">
        <v>12650</v>
      </c>
      <c r="N61" s="3229" t="s">
        <v>3067</v>
      </c>
    </row>
    <row r="62" spans="1:17" ht="14.25" customHeight="1">
      <c r="A62" s="3229" t="s">
        <v>110</v>
      </c>
      <c r="B62" s="3229" t="s">
        <v>177</v>
      </c>
      <c r="C62" s="3229">
        <v>18710</v>
      </c>
      <c r="D62" s="3229">
        <v>19400</v>
      </c>
      <c r="E62" s="3229">
        <v>23750</v>
      </c>
      <c r="F62" s="3229">
        <v>4860</v>
      </c>
      <c r="G62" s="3229">
        <v>13170</v>
      </c>
      <c r="N62" s="3229" t="s">
        <v>3068</v>
      </c>
    </row>
    <row r="63" spans="1:17" ht="14.25" customHeight="1">
      <c r="A63" s="3229" t="s">
        <v>110</v>
      </c>
      <c r="B63" s="3229" t="s">
        <v>187</v>
      </c>
      <c r="C63" s="3229">
        <v>19480</v>
      </c>
      <c r="D63" s="3229">
        <v>16830</v>
      </c>
      <c r="E63" s="3229">
        <v>21590</v>
      </c>
      <c r="F63" s="3229">
        <v>4560</v>
      </c>
      <c r="G63" s="3229">
        <v>11420</v>
      </c>
      <c r="N63" s="3229" t="s">
        <v>3069</v>
      </c>
    </row>
    <row r="64" spans="1:17" ht="14.25" customHeight="1" thickBot="1">
      <c r="A64" s="3229" t="s">
        <v>110</v>
      </c>
      <c r="B64" s="3229" t="s">
        <v>196</v>
      </c>
      <c r="C64" s="3229">
        <v>16920</v>
      </c>
      <c r="D64" s="3229">
        <v>19190</v>
      </c>
      <c r="E64" s="3229">
        <v>22200</v>
      </c>
      <c r="F64" s="3229">
        <v>4390</v>
      </c>
      <c r="G64" s="3229">
        <v>13030</v>
      </c>
      <c r="N64" s="3236" t="s">
        <v>3070</v>
      </c>
    </row>
    <row r="65" spans="1:7" s="3218" customFormat="1" ht="14.25" customHeight="1">
      <c r="A65" s="3229" t="s">
        <v>110</v>
      </c>
      <c r="B65" s="3229" t="s">
        <v>203</v>
      </c>
      <c r="C65" s="3229">
        <v>19290</v>
      </c>
      <c r="D65" s="3229">
        <v>17020</v>
      </c>
      <c r="E65" s="3229">
        <v>19880</v>
      </c>
      <c r="F65" s="3229">
        <v>4070</v>
      </c>
      <c r="G65" s="3229">
        <v>11550</v>
      </c>
    </row>
    <row r="66" spans="1:7" s="3218" customFormat="1" ht="14.25" customHeight="1">
      <c r="A66" s="3229" t="s">
        <v>110</v>
      </c>
      <c r="B66" s="3229" t="s">
        <v>210</v>
      </c>
      <c r="C66" s="3229">
        <v>17090</v>
      </c>
      <c r="D66" s="3229">
        <v>18340</v>
      </c>
      <c r="E66" s="3229">
        <v>21830</v>
      </c>
      <c r="F66" s="3229">
        <v>4690</v>
      </c>
      <c r="G66" s="3229">
        <v>12450</v>
      </c>
    </row>
    <row r="67" spans="1:7" s="3218" customFormat="1" ht="14.25" customHeight="1">
      <c r="A67" s="3229" t="s">
        <v>110</v>
      </c>
      <c r="B67" s="3229" t="s">
        <v>216</v>
      </c>
      <c r="C67" s="3229">
        <v>18420</v>
      </c>
      <c r="D67" s="3229">
        <v>16360</v>
      </c>
      <c r="E67" s="3229">
        <v>20020</v>
      </c>
      <c r="F67" s="3229">
        <v>5150</v>
      </c>
      <c r="G67" s="3229">
        <v>11110</v>
      </c>
    </row>
    <row r="68" spans="1:7" s="3218" customFormat="1" ht="14.25" customHeight="1">
      <c r="A68" s="3229" t="s">
        <v>110</v>
      </c>
      <c r="B68" s="3229" t="s">
        <v>224</v>
      </c>
      <c r="C68" s="3229">
        <v>16450</v>
      </c>
      <c r="D68" s="3229">
        <v>18430</v>
      </c>
      <c r="E68" s="3229">
        <v>21010</v>
      </c>
      <c r="F68" s="3229">
        <v>4720</v>
      </c>
      <c r="G68" s="3229">
        <v>12510</v>
      </c>
    </row>
    <row r="69" spans="1:7" s="3218" customFormat="1" ht="14.25" customHeight="1">
      <c r="A69" s="3229" t="s">
        <v>110</v>
      </c>
      <c r="B69" s="3229" t="s">
        <v>232</v>
      </c>
      <c r="C69" s="3229">
        <v>18510</v>
      </c>
      <c r="D69" s="3229">
        <v>16300</v>
      </c>
      <c r="E69" s="3229">
        <v>18830</v>
      </c>
      <c r="F69" s="3229">
        <v>5400</v>
      </c>
      <c r="G69" s="3229">
        <v>11070</v>
      </c>
    </row>
    <row r="70" spans="1:7" s="3218" customFormat="1" ht="14.25" customHeight="1">
      <c r="A70" s="3229" t="s">
        <v>110</v>
      </c>
      <c r="B70" s="3229" t="s">
        <v>237</v>
      </c>
      <c r="C70" s="3229">
        <v>16370</v>
      </c>
      <c r="D70" s="3229">
        <v>18620</v>
      </c>
      <c r="E70" s="3229">
        <v>21100</v>
      </c>
      <c r="F70" s="3229">
        <v>5700</v>
      </c>
      <c r="G70" s="3229">
        <v>12640</v>
      </c>
    </row>
    <row r="71" spans="1:7" s="3218" customFormat="1" ht="14.25" customHeight="1">
      <c r="A71" s="3229" t="s">
        <v>110</v>
      </c>
      <c r="B71" s="3229" t="s">
        <v>246</v>
      </c>
      <c r="C71" s="3229">
        <v>18700</v>
      </c>
      <c r="D71" s="3229">
        <v>16290</v>
      </c>
      <c r="E71" s="3229">
        <v>18760</v>
      </c>
      <c r="F71" s="3229">
        <v>4780</v>
      </c>
      <c r="G71" s="3229">
        <v>11050</v>
      </c>
    </row>
    <row r="72" spans="1:7" s="3218" customFormat="1" ht="14.25" customHeight="1">
      <c r="A72" s="3229" t="s">
        <v>110</v>
      </c>
      <c r="B72" s="3229" t="s">
        <v>253</v>
      </c>
      <c r="C72" s="3229">
        <v>16340</v>
      </c>
      <c r="D72" s="3229">
        <v>17520</v>
      </c>
      <c r="E72" s="3229">
        <v>21170</v>
      </c>
      <c r="F72" s="3229"/>
      <c r="G72" s="3229">
        <v>11900</v>
      </c>
    </row>
    <row r="73" spans="1:7" s="3218" customFormat="1" ht="14.25" customHeight="1">
      <c r="A73" s="3229" t="s">
        <v>110</v>
      </c>
      <c r="B73" s="3229" t="s">
        <v>261</v>
      </c>
      <c r="C73" s="3229">
        <v>17610</v>
      </c>
      <c r="D73" s="3229">
        <v>18520</v>
      </c>
      <c r="E73" s="3229">
        <v>18720</v>
      </c>
      <c r="F73" s="3229"/>
      <c r="G73" s="3229">
        <v>12570</v>
      </c>
    </row>
    <row r="74" spans="1:7" s="3218" customFormat="1" ht="14.25" customHeight="1">
      <c r="A74" s="3229" t="s">
        <v>110</v>
      </c>
      <c r="B74" s="3229" t="s">
        <v>268</v>
      </c>
      <c r="C74" s="3229">
        <v>18600</v>
      </c>
      <c r="D74" s="3229">
        <v>16480</v>
      </c>
      <c r="E74" s="3229">
        <v>20100</v>
      </c>
      <c r="F74" s="3229"/>
      <c r="G74" s="3229">
        <v>11190</v>
      </c>
    </row>
    <row r="75" spans="1:7" s="3218" customFormat="1" ht="14.25" customHeight="1">
      <c r="A75" s="3229" t="s">
        <v>110</v>
      </c>
      <c r="B75" s="3229" t="s">
        <v>272</v>
      </c>
      <c r="C75" s="3229">
        <v>16570</v>
      </c>
      <c r="D75" s="3229">
        <v>17530</v>
      </c>
      <c r="E75" s="3229">
        <v>21030</v>
      </c>
      <c r="F75" s="3229"/>
      <c r="G75" s="3229">
        <v>11900</v>
      </c>
    </row>
    <row r="76" spans="1:7" s="3218" customFormat="1" ht="14.25" customHeight="1">
      <c r="A76" s="3229" t="s">
        <v>110</v>
      </c>
      <c r="B76" s="3229" t="s">
        <v>278</v>
      </c>
      <c r="C76" s="3229">
        <v>17610</v>
      </c>
      <c r="D76" s="3229">
        <v>20800</v>
      </c>
      <c r="E76" s="3229">
        <v>18920</v>
      </c>
      <c r="F76" s="3229"/>
      <c r="G76" s="3229">
        <v>14120</v>
      </c>
    </row>
    <row r="77" spans="1:7" s="3218" customFormat="1" ht="14.25" customHeight="1">
      <c r="A77" s="3229" t="s">
        <v>110</v>
      </c>
      <c r="B77" s="3229" t="s">
        <v>281</v>
      </c>
      <c r="C77" s="3229">
        <v>20890</v>
      </c>
      <c r="D77" s="3229">
        <v>19740</v>
      </c>
      <c r="E77" s="3229">
        <v>20110</v>
      </c>
      <c r="F77" s="3229"/>
      <c r="G77" s="3229">
        <v>13400</v>
      </c>
    </row>
    <row r="78" spans="1:7" s="3218" customFormat="1" ht="14.25" customHeight="1">
      <c r="A78" s="3229" t="s">
        <v>110</v>
      </c>
      <c r="B78" s="3229" t="s">
        <v>2941</v>
      </c>
      <c r="C78" s="3229">
        <v>19820</v>
      </c>
      <c r="D78" s="3229">
        <v>19780</v>
      </c>
      <c r="E78" s="3229">
        <v>18560</v>
      </c>
      <c r="F78" s="3229"/>
      <c r="G78" s="3229">
        <v>13430</v>
      </c>
    </row>
    <row r="79" spans="1:7" s="3218" customFormat="1" ht="14.25" customHeight="1">
      <c r="A79" s="3229" t="s">
        <v>110</v>
      </c>
      <c r="B79" s="3229" t="s">
        <v>2944</v>
      </c>
      <c r="C79" s="3229">
        <v>21660</v>
      </c>
      <c r="D79" s="3229">
        <v>18000</v>
      </c>
      <c r="E79" s="3229">
        <v>22570</v>
      </c>
      <c r="F79" s="3229"/>
      <c r="G79" s="3229">
        <v>12220</v>
      </c>
    </row>
    <row r="80" spans="1:7" s="3218" customFormat="1" ht="14.25" customHeight="1">
      <c r="A80" s="3229" t="s">
        <v>110</v>
      </c>
      <c r="B80" s="3229" t="s">
        <v>2948</v>
      </c>
      <c r="C80" s="3229">
        <v>19850</v>
      </c>
      <c r="D80" s="3229"/>
      <c r="E80" s="3229">
        <v>21700</v>
      </c>
      <c r="F80" s="3229"/>
      <c r="G80" s="3229"/>
    </row>
    <row r="81" spans="1:7" s="3218" customFormat="1" ht="14.25" customHeight="1">
      <c r="A81" s="3229" t="s">
        <v>110</v>
      </c>
      <c r="B81" s="3229" t="s">
        <v>2953</v>
      </c>
      <c r="C81" s="3229">
        <v>18080</v>
      </c>
      <c r="D81" s="3229"/>
      <c r="E81" s="3229">
        <v>20900</v>
      </c>
      <c r="F81" s="3229"/>
      <c r="G81" s="3229"/>
    </row>
    <row r="82" spans="1:7" s="3218" customFormat="1" ht="14.25" customHeight="1">
      <c r="A82" s="3229" t="s">
        <v>110</v>
      </c>
      <c r="B82" s="3229" t="s">
        <v>2960</v>
      </c>
      <c r="C82" s="3229"/>
      <c r="D82" s="3229"/>
      <c r="E82" s="3229">
        <v>20840</v>
      </c>
      <c r="F82" s="3229"/>
      <c r="G82" s="3229"/>
    </row>
    <row r="83" spans="1:7" s="3218" customFormat="1" ht="14.25" customHeight="1">
      <c r="A83" s="3229" t="s">
        <v>110</v>
      </c>
      <c r="B83" s="3229" t="s">
        <v>3071</v>
      </c>
      <c r="C83" s="3229"/>
      <c r="D83" s="3229"/>
      <c r="E83" s="3229"/>
      <c r="F83" s="3229">
        <v>4770</v>
      </c>
      <c r="G83" s="3229"/>
    </row>
    <row r="84" spans="1:7" s="3218" customFormat="1" ht="14.25" customHeight="1">
      <c r="A84" s="3229" t="s">
        <v>110</v>
      </c>
      <c r="B84" s="3229" t="s">
        <v>3072</v>
      </c>
      <c r="C84" s="3229"/>
      <c r="D84" s="3229"/>
      <c r="E84" s="3229"/>
      <c r="F84" s="3229">
        <v>4600</v>
      </c>
      <c r="G84" s="3229"/>
    </row>
    <row r="85" spans="1:7" s="3218" customFormat="1" ht="14.25" customHeight="1">
      <c r="A85" s="3229" t="s">
        <v>110</v>
      </c>
      <c r="B85" s="3229" t="s">
        <v>3073</v>
      </c>
      <c r="C85" s="3229"/>
      <c r="D85" s="3229"/>
      <c r="E85" s="3229"/>
      <c r="F85" s="3229">
        <v>4680</v>
      </c>
      <c r="G85" s="3229"/>
    </row>
    <row r="86" spans="1:7" s="3218" customFormat="1" ht="14.25" customHeight="1" thickBot="1">
      <c r="A86" s="3237" t="s">
        <v>110</v>
      </c>
      <c r="B86" s="3239" t="s">
        <v>3074</v>
      </c>
      <c r="C86" s="3240">
        <v>16610</v>
      </c>
      <c r="D86" s="3240">
        <v>16540</v>
      </c>
      <c r="E86" s="3240">
        <v>18850</v>
      </c>
      <c r="F86" s="3240"/>
      <c r="G86" s="3240">
        <v>11220</v>
      </c>
    </row>
    <row r="87" spans="1:7" s="3218" customFormat="1" ht="14.25" customHeight="1">
      <c r="A87" s="3234" t="s">
        <v>303</v>
      </c>
      <c r="B87" s="3225" t="s">
        <v>3075</v>
      </c>
      <c r="C87" s="3225">
        <v>15240</v>
      </c>
      <c r="D87" s="3225">
        <v>15170</v>
      </c>
      <c r="E87" s="3225">
        <v>18260</v>
      </c>
      <c r="F87" s="3225">
        <v>3830</v>
      </c>
      <c r="G87" s="3241">
        <v>10020</v>
      </c>
    </row>
    <row r="88" spans="1:7" s="3218" customFormat="1" ht="14.25" customHeight="1">
      <c r="A88" s="3229" t="s">
        <v>303</v>
      </c>
      <c r="B88" s="3229" t="s">
        <v>131</v>
      </c>
      <c r="C88" s="3229">
        <v>17310</v>
      </c>
      <c r="D88" s="3229">
        <v>17220</v>
      </c>
      <c r="E88" s="3229">
        <v>18610</v>
      </c>
      <c r="F88" s="3229">
        <v>3990</v>
      </c>
      <c r="G88" s="3242">
        <v>11380</v>
      </c>
    </row>
    <row r="89" spans="1:7" s="3218" customFormat="1" ht="14.25" customHeight="1">
      <c r="A89" s="3229" t="s">
        <v>303</v>
      </c>
      <c r="B89" s="3229" t="s">
        <v>140</v>
      </c>
      <c r="C89" s="3229">
        <v>15600</v>
      </c>
      <c r="D89" s="3229">
        <v>15550</v>
      </c>
      <c r="E89" s="3229">
        <v>19200</v>
      </c>
      <c r="F89" s="3229">
        <v>4110</v>
      </c>
      <c r="G89" s="3242">
        <v>10270</v>
      </c>
    </row>
    <row r="90" spans="1:7" s="3218" customFormat="1" ht="14.25" customHeight="1">
      <c r="A90" s="3229" t="s">
        <v>303</v>
      </c>
      <c r="B90" s="3229" t="s">
        <v>149</v>
      </c>
      <c r="C90" s="3229">
        <v>17330</v>
      </c>
      <c r="D90" s="3229">
        <v>17240</v>
      </c>
      <c r="E90" s="3229">
        <v>18570</v>
      </c>
      <c r="F90" s="3229">
        <v>4070</v>
      </c>
      <c r="G90" s="3242">
        <v>11390</v>
      </c>
    </row>
    <row r="91" spans="1:7" s="3218" customFormat="1" ht="14.25" customHeight="1">
      <c r="A91" s="3229" t="s">
        <v>303</v>
      </c>
      <c r="B91" s="3229" t="s">
        <v>158</v>
      </c>
      <c r="C91" s="3229">
        <v>16330</v>
      </c>
      <c r="D91" s="3229">
        <v>16260</v>
      </c>
      <c r="E91" s="3229">
        <v>16800</v>
      </c>
      <c r="F91" s="3229">
        <v>3410</v>
      </c>
      <c r="G91" s="3242">
        <v>10740</v>
      </c>
    </row>
    <row r="92" spans="1:7" s="3218" customFormat="1" ht="14.25" customHeight="1">
      <c r="A92" s="3229" t="s">
        <v>303</v>
      </c>
      <c r="B92" s="3229" t="s">
        <v>165</v>
      </c>
      <c r="C92" s="3229">
        <v>15570</v>
      </c>
      <c r="D92" s="3229">
        <v>15500</v>
      </c>
      <c r="E92" s="3229">
        <v>17360</v>
      </c>
      <c r="F92" s="3229">
        <v>3510</v>
      </c>
      <c r="G92" s="3242">
        <v>10240</v>
      </c>
    </row>
    <row r="93" spans="1:7" s="3218" customFormat="1" ht="14.25" customHeight="1">
      <c r="A93" s="3229" t="s">
        <v>303</v>
      </c>
      <c r="B93" s="3229" t="s">
        <v>171</v>
      </c>
      <c r="C93" s="3229">
        <v>14000</v>
      </c>
      <c r="D93" s="3229">
        <v>13930</v>
      </c>
      <c r="E93" s="3229">
        <v>18200</v>
      </c>
      <c r="F93" s="3229">
        <v>3640</v>
      </c>
      <c r="G93" s="3242">
        <v>9210</v>
      </c>
    </row>
    <row r="94" spans="1:7" s="3218" customFormat="1" ht="14.25" customHeight="1">
      <c r="A94" s="3229" t="s">
        <v>303</v>
      </c>
      <c r="B94" s="3229" t="s">
        <v>178</v>
      </c>
      <c r="C94" s="3229">
        <v>14530</v>
      </c>
      <c r="D94" s="3229">
        <v>14470</v>
      </c>
      <c r="E94" s="3229">
        <v>18240</v>
      </c>
      <c r="F94" s="3229">
        <v>3180</v>
      </c>
      <c r="G94" s="3242">
        <v>9560</v>
      </c>
    </row>
    <row r="95" spans="1:7" s="3218" customFormat="1" ht="14.25" customHeight="1">
      <c r="A95" s="3229" t="s">
        <v>303</v>
      </c>
      <c r="B95" s="3229" t="s">
        <v>188</v>
      </c>
      <c r="C95" s="3229">
        <v>17330</v>
      </c>
      <c r="D95" s="3229">
        <v>17260</v>
      </c>
      <c r="E95" s="3229">
        <v>18420</v>
      </c>
      <c r="F95" s="3229">
        <v>3060</v>
      </c>
      <c r="G95" s="3242">
        <v>11410</v>
      </c>
    </row>
    <row r="96" spans="1:7" s="3218" customFormat="1" ht="14.25" customHeight="1">
      <c r="A96" s="3229" t="s">
        <v>303</v>
      </c>
      <c r="B96" s="3229" t="s">
        <v>197</v>
      </c>
      <c r="C96" s="3229">
        <v>15030</v>
      </c>
      <c r="D96" s="3229">
        <v>14970</v>
      </c>
      <c r="E96" s="3229">
        <v>17580</v>
      </c>
      <c r="F96" s="3229">
        <v>2970</v>
      </c>
      <c r="G96" s="3242">
        <v>9890</v>
      </c>
    </row>
    <row r="97" spans="1:7" s="3218" customFormat="1" ht="14.25" customHeight="1">
      <c r="A97" s="3229" t="s">
        <v>303</v>
      </c>
      <c r="B97" s="3229" t="s">
        <v>204</v>
      </c>
      <c r="C97" s="3229">
        <v>17400</v>
      </c>
      <c r="D97" s="3229">
        <v>17330</v>
      </c>
      <c r="E97" s="3229">
        <v>16430</v>
      </c>
      <c r="F97" s="3229">
        <v>2950</v>
      </c>
      <c r="G97" s="3242">
        <v>11450</v>
      </c>
    </row>
    <row r="98" spans="1:7" s="3218" customFormat="1" ht="14.25" customHeight="1">
      <c r="A98" s="3229" t="s">
        <v>303</v>
      </c>
      <c r="B98" s="3229" t="s">
        <v>211</v>
      </c>
      <c r="C98" s="3229">
        <v>15200</v>
      </c>
      <c r="D98" s="3229">
        <v>15120</v>
      </c>
      <c r="E98" s="3229">
        <v>17550</v>
      </c>
      <c r="F98" s="3229">
        <v>3080</v>
      </c>
      <c r="G98" s="3242">
        <v>9990</v>
      </c>
    </row>
    <row r="99" spans="1:7" s="3218" customFormat="1" ht="14.25" customHeight="1">
      <c r="A99" s="3229" t="s">
        <v>303</v>
      </c>
      <c r="B99" s="3229" t="s">
        <v>217</v>
      </c>
      <c r="C99" s="3229">
        <v>17520</v>
      </c>
      <c r="D99" s="3229">
        <v>17430</v>
      </c>
      <c r="E99" s="3229">
        <v>16350</v>
      </c>
      <c r="F99" s="3229">
        <v>3260</v>
      </c>
      <c r="G99" s="3242">
        <v>11510</v>
      </c>
    </row>
    <row r="100" spans="1:7" s="3218" customFormat="1" ht="14.25" customHeight="1">
      <c r="A100" s="3229" t="s">
        <v>303</v>
      </c>
      <c r="B100" s="3229" t="s">
        <v>225</v>
      </c>
      <c r="C100" s="3229">
        <v>15340</v>
      </c>
      <c r="D100" s="3229">
        <v>15260</v>
      </c>
      <c r="E100" s="3229">
        <v>15930</v>
      </c>
      <c r="F100" s="3229">
        <v>2740</v>
      </c>
      <c r="G100" s="3242">
        <v>10080</v>
      </c>
    </row>
    <row r="101" spans="1:7" s="3218" customFormat="1" ht="14.25" customHeight="1">
      <c r="A101" s="3229" t="s">
        <v>303</v>
      </c>
      <c r="B101" s="3229" t="s">
        <v>233</v>
      </c>
      <c r="C101" s="3229">
        <v>14620</v>
      </c>
      <c r="D101" s="3229">
        <v>14560</v>
      </c>
      <c r="E101" s="3229">
        <v>15570</v>
      </c>
      <c r="F101" s="3229">
        <v>3500</v>
      </c>
      <c r="G101" s="3242">
        <v>9630</v>
      </c>
    </row>
    <row r="102" spans="1:7" s="3218" customFormat="1" ht="14.25" customHeight="1">
      <c r="A102" s="3229" t="s">
        <v>303</v>
      </c>
      <c r="B102" s="3229" t="s">
        <v>238</v>
      </c>
      <c r="C102" s="3229">
        <v>13680</v>
      </c>
      <c r="D102" s="3229">
        <v>13610</v>
      </c>
      <c r="E102" s="3229">
        <v>15690</v>
      </c>
      <c r="F102" s="3229">
        <v>2870</v>
      </c>
      <c r="G102" s="3242">
        <v>8990</v>
      </c>
    </row>
    <row r="103" spans="1:7" s="3218" customFormat="1" ht="14.25" customHeight="1">
      <c r="A103" s="3229" t="s">
        <v>303</v>
      </c>
      <c r="B103" s="3229" t="s">
        <v>247</v>
      </c>
      <c r="C103" s="3229">
        <v>14620</v>
      </c>
      <c r="D103" s="3229">
        <v>14540</v>
      </c>
      <c r="E103" s="3229">
        <v>15240</v>
      </c>
      <c r="F103" s="3229">
        <v>2840</v>
      </c>
      <c r="G103" s="3242">
        <v>9610</v>
      </c>
    </row>
    <row r="104" spans="1:7" s="3218" customFormat="1" ht="14.25" customHeight="1">
      <c r="A104" s="3229" t="s">
        <v>303</v>
      </c>
      <c r="B104" s="3229" t="s">
        <v>254</v>
      </c>
      <c r="C104" s="3229">
        <v>13610</v>
      </c>
      <c r="D104" s="3229">
        <v>13540</v>
      </c>
      <c r="E104" s="3229">
        <v>15750</v>
      </c>
      <c r="F104" s="3229">
        <v>2770</v>
      </c>
      <c r="G104" s="3242">
        <v>8940</v>
      </c>
    </row>
    <row r="105" spans="1:7" s="3218" customFormat="1" ht="14.25" customHeight="1">
      <c r="A105" s="3229" t="s">
        <v>303</v>
      </c>
      <c r="B105" s="3229" t="s">
        <v>262</v>
      </c>
      <c r="C105" s="3229">
        <v>13310</v>
      </c>
      <c r="D105" s="3229">
        <v>13240</v>
      </c>
      <c r="E105" s="3229">
        <v>16280</v>
      </c>
      <c r="F105" s="3229">
        <v>3210</v>
      </c>
      <c r="G105" s="3242">
        <v>8750</v>
      </c>
    </row>
    <row r="106" spans="1:7" s="3218" customFormat="1" ht="14.25" customHeight="1">
      <c r="A106" s="3229" t="s">
        <v>303</v>
      </c>
      <c r="B106" s="3229" t="s">
        <v>269</v>
      </c>
      <c r="C106" s="3229">
        <v>13010</v>
      </c>
      <c r="D106" s="3229">
        <v>12930</v>
      </c>
      <c r="E106" s="3229">
        <v>14960</v>
      </c>
      <c r="F106" s="3229">
        <v>3530</v>
      </c>
      <c r="G106" s="3242">
        <v>8550</v>
      </c>
    </row>
    <row r="107" spans="1:7" s="3218" customFormat="1" ht="14.25" customHeight="1">
      <c r="A107" s="3229" t="s">
        <v>303</v>
      </c>
      <c r="B107" s="3229" t="s">
        <v>273</v>
      </c>
      <c r="C107" s="3229">
        <v>13070</v>
      </c>
      <c r="D107" s="3229">
        <v>13000</v>
      </c>
      <c r="E107" s="3229">
        <v>15910</v>
      </c>
      <c r="F107" s="3229">
        <v>3990</v>
      </c>
      <c r="G107" s="3242">
        <v>8580</v>
      </c>
    </row>
    <row r="108" spans="1:7" s="3218" customFormat="1" ht="14.25" customHeight="1">
      <c r="A108" s="3229" t="s">
        <v>303</v>
      </c>
      <c r="B108" s="3229" t="s">
        <v>279</v>
      </c>
      <c r="C108" s="3229">
        <v>12640</v>
      </c>
      <c r="D108" s="3229">
        <v>12580</v>
      </c>
      <c r="E108" s="3229">
        <v>15730</v>
      </c>
      <c r="F108" s="3229"/>
      <c r="G108" s="3242">
        <v>8310</v>
      </c>
    </row>
    <row r="109" spans="1:7" s="3218" customFormat="1" ht="14.25" customHeight="1">
      <c r="A109" s="3229" t="s">
        <v>303</v>
      </c>
      <c r="B109" s="3229" t="s">
        <v>282</v>
      </c>
      <c r="C109" s="3229">
        <v>13130</v>
      </c>
      <c r="D109" s="3229">
        <v>13070</v>
      </c>
      <c r="E109" s="3229">
        <v>15000</v>
      </c>
      <c r="F109" s="3229"/>
      <c r="G109" s="3242">
        <v>8630</v>
      </c>
    </row>
    <row r="110" spans="1:7" s="3218" customFormat="1" ht="14.25" customHeight="1">
      <c r="A110" s="3229" t="s">
        <v>303</v>
      </c>
      <c r="B110" s="3229" t="s">
        <v>284</v>
      </c>
      <c r="C110" s="3229">
        <v>13560</v>
      </c>
      <c r="D110" s="3229">
        <v>13490</v>
      </c>
      <c r="E110" s="3229">
        <v>16300</v>
      </c>
      <c r="F110" s="3229"/>
      <c r="G110" s="3242">
        <v>8920</v>
      </c>
    </row>
    <row r="111" spans="1:7" s="3218" customFormat="1" ht="14.25" customHeight="1">
      <c r="A111" s="3229" t="s">
        <v>303</v>
      </c>
      <c r="B111" s="3229" t="s">
        <v>287</v>
      </c>
      <c r="C111" s="3229">
        <v>12440</v>
      </c>
      <c r="D111" s="3229">
        <v>12380</v>
      </c>
      <c r="E111" s="3229">
        <v>17850</v>
      </c>
      <c r="F111" s="3229"/>
      <c r="G111" s="3242">
        <v>8180</v>
      </c>
    </row>
    <row r="112" spans="1:7" s="3218" customFormat="1" ht="14.25" customHeight="1">
      <c r="A112" s="3229" t="s">
        <v>303</v>
      </c>
      <c r="B112" s="3229" t="s">
        <v>291</v>
      </c>
      <c r="C112" s="3229">
        <v>13260</v>
      </c>
      <c r="D112" s="3229">
        <v>13180</v>
      </c>
      <c r="E112" s="3229">
        <v>19740</v>
      </c>
      <c r="F112" s="3229"/>
      <c r="G112" s="3242">
        <v>8710</v>
      </c>
    </row>
    <row r="113" spans="1:7" s="3218" customFormat="1" ht="14.25" customHeight="1">
      <c r="A113" s="3229" t="s">
        <v>303</v>
      </c>
      <c r="B113" s="3229" t="s">
        <v>2954</v>
      </c>
      <c r="C113" s="3229">
        <v>15520</v>
      </c>
      <c r="D113" s="3229">
        <v>15450</v>
      </c>
      <c r="E113" s="3229"/>
      <c r="F113" s="3229"/>
      <c r="G113" s="3242">
        <v>10210</v>
      </c>
    </row>
    <row r="114" spans="1:7" s="3218" customFormat="1" ht="14.25" customHeight="1">
      <c r="A114" s="3229" t="s">
        <v>303</v>
      </c>
      <c r="B114" s="3229" t="s">
        <v>2961</v>
      </c>
      <c r="C114" s="3229">
        <v>13110</v>
      </c>
      <c r="D114" s="3229">
        <v>13050</v>
      </c>
      <c r="E114" s="3229"/>
      <c r="F114" s="3229"/>
      <c r="G114" s="3242">
        <v>8620</v>
      </c>
    </row>
    <row r="115" spans="1:7" s="3218" customFormat="1" ht="14.25" customHeight="1">
      <c r="A115" s="3229" t="s">
        <v>303</v>
      </c>
      <c r="B115" s="3229" t="s">
        <v>2967</v>
      </c>
      <c r="C115" s="3229">
        <v>12460</v>
      </c>
      <c r="D115" s="3229">
        <v>12390</v>
      </c>
      <c r="E115" s="3229"/>
      <c r="F115" s="3229"/>
      <c r="G115" s="3242">
        <v>8190</v>
      </c>
    </row>
    <row r="116" spans="1:7" s="3218" customFormat="1" ht="14.25" customHeight="1">
      <c r="A116" s="3229" t="s">
        <v>303</v>
      </c>
      <c r="B116" s="3229" t="s">
        <v>2974</v>
      </c>
      <c r="C116" s="3229">
        <v>13580</v>
      </c>
      <c r="D116" s="3229">
        <v>13520</v>
      </c>
      <c r="E116" s="3229"/>
      <c r="F116" s="3229"/>
      <c r="G116" s="3242">
        <v>8930</v>
      </c>
    </row>
    <row r="117" spans="1:7" s="3218" customFormat="1" ht="14.25" customHeight="1">
      <c r="A117" s="3229" t="s">
        <v>303</v>
      </c>
      <c r="B117" s="3229" t="s">
        <v>2981</v>
      </c>
      <c r="C117" s="3229">
        <v>17120</v>
      </c>
      <c r="D117" s="3229">
        <v>17040</v>
      </c>
      <c r="E117" s="3229"/>
      <c r="F117" s="3229"/>
      <c r="G117" s="3242">
        <v>11260</v>
      </c>
    </row>
    <row r="118" spans="1:7" s="3218" customFormat="1" ht="14.25" customHeight="1">
      <c r="A118" s="3229" t="s">
        <v>303</v>
      </c>
      <c r="B118" s="3229" t="s">
        <v>2986</v>
      </c>
      <c r="C118" s="3229">
        <v>14860</v>
      </c>
      <c r="D118" s="3229">
        <v>14790</v>
      </c>
      <c r="E118" s="3229"/>
      <c r="F118" s="3229"/>
      <c r="G118" s="3242">
        <v>9780</v>
      </c>
    </row>
    <row r="119" spans="1:7" s="3218" customFormat="1" ht="14.25" customHeight="1">
      <c r="A119" s="3229" t="s">
        <v>303</v>
      </c>
      <c r="B119" s="3229" t="s">
        <v>2990</v>
      </c>
      <c r="C119" s="3229">
        <v>16470</v>
      </c>
      <c r="D119" s="3229">
        <v>16400</v>
      </c>
      <c r="E119" s="3229"/>
      <c r="F119" s="3229"/>
      <c r="G119" s="3242">
        <v>10840</v>
      </c>
    </row>
    <row r="120" spans="1:7" s="3218" customFormat="1" ht="14.25" customHeight="1">
      <c r="A120" s="3229" t="s">
        <v>303</v>
      </c>
      <c r="B120" s="3229" t="s">
        <v>3076</v>
      </c>
      <c r="C120" s="3229"/>
      <c r="D120" s="3229"/>
      <c r="E120" s="3229"/>
      <c r="F120" s="3229">
        <v>4160</v>
      </c>
      <c r="G120" s="3242"/>
    </row>
    <row r="121" spans="1:7" s="3218" customFormat="1" ht="14.25" customHeight="1">
      <c r="A121" s="3229" t="s">
        <v>303</v>
      </c>
      <c r="B121" s="3229" t="s">
        <v>3077</v>
      </c>
      <c r="C121" s="3229"/>
      <c r="D121" s="3229"/>
      <c r="E121" s="3229"/>
      <c r="F121" s="3229">
        <v>3880</v>
      </c>
      <c r="G121" s="3242"/>
    </row>
    <row r="122" spans="1:7" s="3218" customFormat="1" ht="14.25" customHeight="1">
      <c r="A122" s="3229" t="s">
        <v>303</v>
      </c>
      <c r="B122" s="3229" t="s">
        <v>3078</v>
      </c>
      <c r="C122" s="3229">
        <v>13750</v>
      </c>
      <c r="D122" s="3229">
        <v>13680</v>
      </c>
      <c r="E122" s="3229">
        <v>16460</v>
      </c>
      <c r="F122" s="3229">
        <v>2880</v>
      </c>
      <c r="G122" s="3242">
        <v>9040</v>
      </c>
    </row>
    <row r="123" spans="1:7" s="3218" customFormat="1" ht="14.25" customHeight="1">
      <c r="A123" s="3229" t="s">
        <v>303</v>
      </c>
      <c r="B123" s="3229" t="s">
        <v>3009</v>
      </c>
      <c r="C123" s="3229">
        <v>13590</v>
      </c>
      <c r="D123" s="3229">
        <v>13520</v>
      </c>
      <c r="E123" s="3229">
        <v>16290</v>
      </c>
      <c r="F123" s="3229">
        <v>2790</v>
      </c>
      <c r="G123" s="3242">
        <v>8930</v>
      </c>
    </row>
    <row r="124" spans="1:7" s="3218" customFormat="1" ht="14.25" customHeight="1">
      <c r="A124" s="3229" t="s">
        <v>303</v>
      </c>
      <c r="B124" s="3229" t="s">
        <v>3014</v>
      </c>
      <c r="C124" s="3229">
        <v>13400</v>
      </c>
      <c r="D124" s="3229">
        <v>13320</v>
      </c>
      <c r="E124" s="3229">
        <v>16100</v>
      </c>
      <c r="F124" s="3229">
        <v>2320</v>
      </c>
      <c r="G124" s="3242">
        <v>8800</v>
      </c>
    </row>
    <row r="125" spans="1:7" s="3218" customFormat="1" ht="14.25" customHeight="1">
      <c r="A125" s="3229" t="s">
        <v>303</v>
      </c>
      <c r="B125" s="3229" t="s">
        <v>3019</v>
      </c>
      <c r="C125" s="3229">
        <v>12860</v>
      </c>
      <c r="D125" s="3229">
        <v>12790</v>
      </c>
      <c r="E125" s="3229">
        <v>15370</v>
      </c>
      <c r="F125" s="3229">
        <v>2280</v>
      </c>
      <c r="G125" s="3242">
        <v>8450</v>
      </c>
    </row>
    <row r="126" spans="1:7" s="3218" customFormat="1" ht="14.25" customHeight="1" thickBot="1">
      <c r="A126" s="3243" t="s">
        <v>303</v>
      </c>
      <c r="B126" s="3236" t="s">
        <v>3024</v>
      </c>
      <c r="C126" s="3236">
        <v>12960</v>
      </c>
      <c r="D126" s="3236">
        <v>12890</v>
      </c>
      <c r="E126" s="3236">
        <v>15530</v>
      </c>
      <c r="F126" s="3236">
        <v>2910</v>
      </c>
      <c r="G126" s="3244">
        <v>8520</v>
      </c>
    </row>
    <row r="127" spans="1:7" s="3218" customFormat="1" ht="14.25" customHeight="1">
      <c r="A127" s="3234" t="s">
        <v>29</v>
      </c>
      <c r="B127" s="3225" t="s">
        <v>3079</v>
      </c>
      <c r="C127" s="3229">
        <v>12280</v>
      </c>
      <c r="D127" s="3229">
        <v>12250</v>
      </c>
      <c r="E127" s="3229">
        <v>15130</v>
      </c>
      <c r="F127" s="3229">
        <v>2710</v>
      </c>
      <c r="G127" s="3229">
        <v>7870</v>
      </c>
    </row>
    <row r="128" spans="1:7" s="3218" customFormat="1" ht="14.25" customHeight="1">
      <c r="A128" s="3229" t="s">
        <v>29</v>
      </c>
      <c r="B128" s="3229" t="s">
        <v>132</v>
      </c>
      <c r="C128" s="3229">
        <v>13180</v>
      </c>
      <c r="D128" s="3229">
        <v>13150</v>
      </c>
      <c r="E128" s="3229">
        <v>16190</v>
      </c>
      <c r="F128" s="3229">
        <v>2820</v>
      </c>
      <c r="G128" s="3229">
        <v>8460</v>
      </c>
    </row>
    <row r="129" spans="1:7" s="3218" customFormat="1" ht="14.25" customHeight="1">
      <c r="A129" s="3229" t="s">
        <v>29</v>
      </c>
      <c r="B129" s="3229" t="s">
        <v>141</v>
      </c>
      <c r="C129" s="3229">
        <v>10950</v>
      </c>
      <c r="D129" s="3229">
        <v>10920</v>
      </c>
      <c r="E129" s="3229">
        <v>13820</v>
      </c>
      <c r="F129" s="3229">
        <v>2500</v>
      </c>
      <c r="G129" s="3229">
        <v>7020</v>
      </c>
    </row>
    <row r="130" spans="1:7" s="3218" customFormat="1" ht="14.25" customHeight="1">
      <c r="A130" s="3229" t="s">
        <v>29</v>
      </c>
      <c r="B130" s="3229" t="s">
        <v>150</v>
      </c>
      <c r="C130" s="3229">
        <v>10910</v>
      </c>
      <c r="D130" s="3229">
        <v>10860</v>
      </c>
      <c r="E130" s="3229">
        <v>13730</v>
      </c>
      <c r="F130" s="3229">
        <v>2760</v>
      </c>
      <c r="G130" s="3229">
        <v>6990</v>
      </c>
    </row>
    <row r="131" spans="1:7" s="3218" customFormat="1" ht="14.25" customHeight="1">
      <c r="A131" s="3229" t="s">
        <v>29</v>
      </c>
      <c r="B131" s="3229" t="s">
        <v>159</v>
      </c>
      <c r="C131" s="3229">
        <v>12910</v>
      </c>
      <c r="D131" s="3229">
        <v>12870</v>
      </c>
      <c r="E131" s="3229">
        <v>15720</v>
      </c>
      <c r="F131" s="3229">
        <v>2750</v>
      </c>
      <c r="G131" s="3229">
        <v>8280</v>
      </c>
    </row>
    <row r="132" spans="1:7" s="3218" customFormat="1" ht="14.25" customHeight="1">
      <c r="A132" s="3229" t="s">
        <v>29</v>
      </c>
      <c r="B132" s="3229" t="s">
        <v>166</v>
      </c>
      <c r="C132" s="3229">
        <v>11910</v>
      </c>
      <c r="D132" s="3229">
        <v>11860</v>
      </c>
      <c r="E132" s="3229">
        <v>14730</v>
      </c>
      <c r="F132" s="3229">
        <v>2360</v>
      </c>
      <c r="G132" s="3229">
        <v>7630</v>
      </c>
    </row>
    <row r="133" spans="1:7" s="3218" customFormat="1" ht="14.25" customHeight="1">
      <c r="A133" s="3229" t="s">
        <v>29</v>
      </c>
      <c r="B133" s="3229" t="s">
        <v>172</v>
      </c>
      <c r="C133" s="3229">
        <v>12270</v>
      </c>
      <c r="D133" s="3229">
        <v>12210</v>
      </c>
      <c r="E133" s="3229">
        <v>15010</v>
      </c>
      <c r="F133" s="3229">
        <v>2580</v>
      </c>
      <c r="G133" s="3229">
        <v>7860</v>
      </c>
    </row>
    <row r="134" spans="1:7" s="3218" customFormat="1" ht="14.25" customHeight="1">
      <c r="A134" s="3229" t="s">
        <v>29</v>
      </c>
      <c r="B134" s="3229" t="s">
        <v>179</v>
      </c>
      <c r="C134" s="3229">
        <v>10800</v>
      </c>
      <c r="D134" s="3229">
        <v>10780</v>
      </c>
      <c r="E134" s="3229">
        <v>13640</v>
      </c>
      <c r="F134" s="3229">
        <v>2110</v>
      </c>
      <c r="G134" s="3229">
        <v>6930</v>
      </c>
    </row>
    <row r="135" spans="1:7" s="3218" customFormat="1" ht="14.25" customHeight="1">
      <c r="A135" s="3229" t="s">
        <v>29</v>
      </c>
      <c r="B135" s="3229" t="s">
        <v>189</v>
      </c>
      <c r="C135" s="3229">
        <v>10430</v>
      </c>
      <c r="D135" s="3229">
        <v>10390</v>
      </c>
      <c r="E135" s="3229">
        <v>13140</v>
      </c>
      <c r="F135" s="3229">
        <v>2240</v>
      </c>
      <c r="G135" s="3229">
        <v>6680</v>
      </c>
    </row>
    <row r="136" spans="1:7" s="3218" customFormat="1" ht="14.25" customHeight="1">
      <c r="A136" s="3229" t="s">
        <v>29</v>
      </c>
      <c r="B136" s="3229" t="s">
        <v>198</v>
      </c>
      <c r="C136" s="3229">
        <v>11930</v>
      </c>
      <c r="D136" s="3229">
        <v>11880</v>
      </c>
      <c r="E136" s="3229">
        <v>14770</v>
      </c>
      <c r="F136" s="3229">
        <v>1970</v>
      </c>
      <c r="G136" s="3229">
        <v>7640</v>
      </c>
    </row>
    <row r="137" spans="1:7" s="3218" customFormat="1" ht="14.25" customHeight="1">
      <c r="A137" s="3229" t="s">
        <v>29</v>
      </c>
      <c r="B137" s="3229" t="s">
        <v>205</v>
      </c>
      <c r="C137" s="3229">
        <v>10470</v>
      </c>
      <c r="D137" s="3229">
        <v>10430</v>
      </c>
      <c r="E137" s="3229">
        <v>13190</v>
      </c>
      <c r="F137" s="3229">
        <v>1990</v>
      </c>
      <c r="G137" s="3229">
        <v>6710</v>
      </c>
    </row>
    <row r="138" spans="1:7" s="3218" customFormat="1" ht="14.25" customHeight="1">
      <c r="A138" s="3229" t="s">
        <v>29</v>
      </c>
      <c r="B138" s="3229" t="s">
        <v>212</v>
      </c>
      <c r="C138" s="3229">
        <v>10410</v>
      </c>
      <c r="D138" s="3229">
        <v>10380</v>
      </c>
      <c r="E138" s="3229">
        <v>13130</v>
      </c>
      <c r="F138" s="3229">
        <v>2030</v>
      </c>
      <c r="G138" s="3229">
        <v>6680</v>
      </c>
    </row>
    <row r="139" spans="1:7" s="3218" customFormat="1" ht="14.25" customHeight="1">
      <c r="A139" s="3229" t="s">
        <v>29</v>
      </c>
      <c r="B139" s="3229" t="s">
        <v>218</v>
      </c>
      <c r="C139" s="3229">
        <v>9460</v>
      </c>
      <c r="D139" s="3229">
        <v>9410</v>
      </c>
      <c r="E139" s="3229">
        <v>12050</v>
      </c>
      <c r="F139" s="3229">
        <v>2140</v>
      </c>
      <c r="G139" s="3229">
        <v>6050</v>
      </c>
    </row>
    <row r="140" spans="1:7" s="3218" customFormat="1" ht="14.25" customHeight="1">
      <c r="A140" s="3229" t="s">
        <v>29</v>
      </c>
      <c r="B140" s="3229" t="s">
        <v>226</v>
      </c>
      <c r="C140" s="3229">
        <v>11030</v>
      </c>
      <c r="D140" s="3229">
        <v>10980</v>
      </c>
      <c r="E140" s="3229">
        <v>13880</v>
      </c>
      <c r="F140" s="3229">
        <v>2210</v>
      </c>
      <c r="G140" s="3229">
        <v>7060</v>
      </c>
    </row>
    <row r="141" spans="1:7" s="3218" customFormat="1" ht="14.25" customHeight="1">
      <c r="A141" s="3229" t="s">
        <v>29</v>
      </c>
      <c r="B141" s="3229" t="s">
        <v>234</v>
      </c>
      <c r="C141" s="3229">
        <v>11200</v>
      </c>
      <c r="D141" s="3229">
        <v>11150</v>
      </c>
      <c r="E141" s="3229">
        <v>14100</v>
      </c>
      <c r="F141" s="3229">
        <v>2470</v>
      </c>
      <c r="G141" s="3229">
        <v>7170</v>
      </c>
    </row>
    <row r="142" spans="1:7" s="3218" customFormat="1" ht="14.25" customHeight="1">
      <c r="A142" s="3229" t="s">
        <v>29</v>
      </c>
      <c r="B142" s="3229" t="s">
        <v>239</v>
      </c>
      <c r="C142" s="3229">
        <v>10780</v>
      </c>
      <c r="D142" s="3229">
        <v>10730</v>
      </c>
      <c r="E142" s="3229">
        <v>13540</v>
      </c>
      <c r="F142" s="3229">
        <v>2280</v>
      </c>
      <c r="G142" s="3229">
        <v>6900</v>
      </c>
    </row>
    <row r="143" spans="1:7" s="3218" customFormat="1" ht="14.25" customHeight="1">
      <c r="A143" s="3229" t="s">
        <v>29</v>
      </c>
      <c r="B143" s="3229" t="s">
        <v>248</v>
      </c>
      <c r="C143" s="3229">
        <v>11550</v>
      </c>
      <c r="D143" s="3229">
        <v>11490</v>
      </c>
      <c r="E143" s="3229">
        <v>14480</v>
      </c>
      <c r="F143" s="3229">
        <v>2070</v>
      </c>
      <c r="G143" s="3229">
        <v>7390</v>
      </c>
    </row>
    <row r="144" spans="1:7" s="3218" customFormat="1" ht="14.25" customHeight="1">
      <c r="A144" s="3229" t="s">
        <v>29</v>
      </c>
      <c r="B144" s="3229" t="s">
        <v>255</v>
      </c>
      <c r="C144" s="3229">
        <v>10720</v>
      </c>
      <c r="D144" s="3229">
        <v>10680</v>
      </c>
      <c r="E144" s="3229">
        <v>13480</v>
      </c>
      <c r="F144" s="3229">
        <v>2440</v>
      </c>
      <c r="G144" s="3229">
        <v>6870</v>
      </c>
    </row>
    <row r="145" spans="1:7" s="3218" customFormat="1" ht="14.25" customHeight="1">
      <c r="A145" s="3229" t="s">
        <v>29</v>
      </c>
      <c r="B145" s="3229" t="s">
        <v>263</v>
      </c>
      <c r="C145" s="3229">
        <v>10340</v>
      </c>
      <c r="D145" s="3229">
        <v>10290</v>
      </c>
      <c r="E145" s="3229">
        <v>12880</v>
      </c>
      <c r="F145" s="3229">
        <v>2650</v>
      </c>
      <c r="G145" s="3229">
        <v>6620</v>
      </c>
    </row>
    <row r="146" spans="1:7" s="3218" customFormat="1" ht="14.25" customHeight="1">
      <c r="A146" s="3229" t="s">
        <v>29</v>
      </c>
      <c r="B146" s="3229" t="s">
        <v>270</v>
      </c>
      <c r="C146" s="3229">
        <v>11890</v>
      </c>
      <c r="D146" s="3229">
        <v>11830</v>
      </c>
      <c r="E146" s="3229">
        <v>14670</v>
      </c>
      <c r="F146" s="3229"/>
      <c r="G146" s="3229">
        <v>7610</v>
      </c>
    </row>
    <row r="147" spans="1:7" s="3218" customFormat="1" ht="14.25" customHeight="1">
      <c r="A147" s="3229" t="s">
        <v>29</v>
      </c>
      <c r="B147" s="3229" t="s">
        <v>274</v>
      </c>
      <c r="C147" s="3229">
        <v>12650</v>
      </c>
      <c r="D147" s="3229">
        <v>12600</v>
      </c>
      <c r="E147" s="3229">
        <v>15440</v>
      </c>
      <c r="F147" s="3229"/>
      <c r="G147" s="3229">
        <v>8110</v>
      </c>
    </row>
    <row r="148" spans="1:7" s="3218" customFormat="1" ht="14.25" customHeight="1">
      <c r="A148" s="3229" t="s">
        <v>29</v>
      </c>
      <c r="B148" s="3229" t="s">
        <v>3080</v>
      </c>
      <c r="C148" s="3229">
        <v>10370</v>
      </c>
      <c r="D148" s="3229">
        <v>10310</v>
      </c>
      <c r="E148" s="3229">
        <v>12970</v>
      </c>
      <c r="F148" s="3229"/>
      <c r="G148" s="3229">
        <v>6630</v>
      </c>
    </row>
    <row r="149" spans="1:7" s="3218" customFormat="1" ht="14.25" customHeight="1">
      <c r="A149" s="3229" t="s">
        <v>29</v>
      </c>
      <c r="B149" s="3229" t="s">
        <v>3081</v>
      </c>
      <c r="C149" s="3229">
        <v>11600</v>
      </c>
      <c r="D149" s="3229">
        <v>11560</v>
      </c>
      <c r="E149" s="3229">
        <v>14540</v>
      </c>
      <c r="F149" s="3229">
        <v>2390</v>
      </c>
      <c r="G149" s="3229">
        <v>7430</v>
      </c>
    </row>
    <row r="150" spans="1:7" s="3218" customFormat="1" ht="14.25" customHeight="1">
      <c r="A150" s="3229" t="s">
        <v>29</v>
      </c>
      <c r="B150" s="3229" t="s">
        <v>292</v>
      </c>
      <c r="C150" s="3229">
        <v>9950</v>
      </c>
      <c r="D150" s="3229">
        <v>9890</v>
      </c>
      <c r="E150" s="3229">
        <v>12590</v>
      </c>
      <c r="F150" s="3229">
        <v>1970</v>
      </c>
      <c r="G150" s="3229">
        <v>6360</v>
      </c>
    </row>
    <row r="151" spans="1:7" s="3218" customFormat="1" ht="14.25" customHeight="1">
      <c r="A151" s="3229" t="s">
        <v>29</v>
      </c>
      <c r="B151" s="3229" t="s">
        <v>294</v>
      </c>
      <c r="C151" s="3229">
        <v>10700</v>
      </c>
      <c r="D151" s="3229">
        <v>10650</v>
      </c>
      <c r="E151" s="3229">
        <v>13420</v>
      </c>
      <c r="F151" s="3229">
        <v>2020</v>
      </c>
      <c r="G151" s="3229">
        <v>6850</v>
      </c>
    </row>
    <row r="152" spans="1:7" s="3218" customFormat="1" ht="14.25" customHeight="1">
      <c r="A152" s="3229" t="s">
        <v>29</v>
      </c>
      <c r="B152" s="3229" t="s">
        <v>297</v>
      </c>
      <c r="C152" s="3229">
        <v>10310</v>
      </c>
      <c r="D152" s="3229">
        <v>10260</v>
      </c>
      <c r="E152" s="3229">
        <v>12820</v>
      </c>
      <c r="F152" s="3229">
        <v>1980</v>
      </c>
      <c r="G152" s="3229">
        <v>6600</v>
      </c>
    </row>
    <row r="153" spans="1:7" s="3218" customFormat="1" ht="14.25" customHeight="1">
      <c r="A153" s="3229" t="s">
        <v>29</v>
      </c>
      <c r="B153" s="3229" t="s">
        <v>2955</v>
      </c>
      <c r="C153" s="3229">
        <v>10880</v>
      </c>
      <c r="D153" s="3229">
        <v>10820</v>
      </c>
      <c r="E153" s="3229">
        <v>13660</v>
      </c>
      <c r="F153" s="3229">
        <v>2260</v>
      </c>
      <c r="G153" s="3229">
        <v>6970</v>
      </c>
    </row>
    <row r="154" spans="1:7" s="3218" customFormat="1" ht="14.25" customHeight="1">
      <c r="A154" s="3229" t="s">
        <v>29</v>
      </c>
      <c r="B154" s="3229" t="s">
        <v>3082</v>
      </c>
      <c r="C154" s="3229">
        <v>11220</v>
      </c>
      <c r="D154" s="3229">
        <v>11160</v>
      </c>
      <c r="E154" s="3229">
        <v>14130</v>
      </c>
      <c r="F154" s="3229">
        <v>2230</v>
      </c>
      <c r="G154" s="3229">
        <v>7180</v>
      </c>
    </row>
    <row r="155" spans="1:7" s="3218" customFormat="1" ht="14.25" customHeight="1">
      <c r="A155" s="3229" t="s">
        <v>29</v>
      </c>
      <c r="B155" s="3229" t="s">
        <v>2968</v>
      </c>
      <c r="C155" s="3229">
        <v>10430</v>
      </c>
      <c r="D155" s="3229">
        <v>10380</v>
      </c>
      <c r="E155" s="3229">
        <v>13140</v>
      </c>
      <c r="F155" s="3229">
        <v>2080</v>
      </c>
      <c r="G155" s="3229">
        <v>6650</v>
      </c>
    </row>
    <row r="156" spans="1:7" s="3218" customFormat="1" ht="14.25" customHeight="1">
      <c r="A156" s="3229" t="s">
        <v>29</v>
      </c>
      <c r="B156" s="3229" t="s">
        <v>3083</v>
      </c>
      <c r="C156" s="3229">
        <v>10440</v>
      </c>
      <c r="D156" s="3229">
        <v>10400</v>
      </c>
      <c r="E156" s="3229">
        <v>13150</v>
      </c>
      <c r="F156" s="3229">
        <v>2490</v>
      </c>
      <c r="G156" s="3229">
        <v>6690</v>
      </c>
    </row>
    <row r="157" spans="1:7" s="3218" customFormat="1" ht="14.25" customHeight="1">
      <c r="A157" s="3229" t="s">
        <v>29</v>
      </c>
      <c r="B157" s="3229" t="s">
        <v>300</v>
      </c>
      <c r="C157" s="3229">
        <v>10970</v>
      </c>
      <c r="D157" s="3229">
        <v>10920</v>
      </c>
      <c r="E157" s="3229">
        <v>13840</v>
      </c>
      <c r="F157" s="3229">
        <v>2420</v>
      </c>
      <c r="G157" s="3229">
        <v>7020</v>
      </c>
    </row>
    <row r="158" spans="1:7" s="3218" customFormat="1" ht="14.25" customHeight="1">
      <c r="A158" s="3229" t="s">
        <v>29</v>
      </c>
      <c r="B158" s="3229" t="s">
        <v>301</v>
      </c>
      <c r="C158" s="3229">
        <v>9590</v>
      </c>
      <c r="D158" s="3229">
        <v>9540</v>
      </c>
      <c r="E158" s="3229">
        <v>12210</v>
      </c>
      <c r="F158" s="3229">
        <v>2100</v>
      </c>
      <c r="G158" s="3229">
        <v>6130</v>
      </c>
    </row>
    <row r="159" spans="1:7" s="3218" customFormat="1" ht="14.25" customHeight="1">
      <c r="A159" s="3229" t="s">
        <v>29</v>
      </c>
      <c r="B159" s="3229" t="s">
        <v>302</v>
      </c>
      <c r="C159" s="3229">
        <v>11190</v>
      </c>
      <c r="D159" s="3229">
        <v>11140</v>
      </c>
      <c r="E159" s="3229">
        <v>14090</v>
      </c>
      <c r="F159" s="3229">
        <v>2470</v>
      </c>
      <c r="G159" s="3229">
        <v>7170</v>
      </c>
    </row>
    <row r="160" spans="1:7" s="3218" customFormat="1" ht="14.25" customHeight="1">
      <c r="A160" s="3229" t="s">
        <v>29</v>
      </c>
      <c r="B160" s="3229" t="s">
        <v>3084</v>
      </c>
      <c r="C160" s="3229">
        <v>11180</v>
      </c>
      <c r="D160" s="3229">
        <v>11140</v>
      </c>
      <c r="E160" s="3229">
        <v>14050</v>
      </c>
      <c r="F160" s="3229">
        <v>2270</v>
      </c>
      <c r="G160" s="3229">
        <v>7170</v>
      </c>
    </row>
    <row r="161" spans="1:7" s="3218" customFormat="1" ht="14.25" customHeight="1">
      <c r="A161" s="3229" t="s">
        <v>29</v>
      </c>
      <c r="B161" s="3229" t="s">
        <v>3000</v>
      </c>
      <c r="C161" s="3229">
        <v>11160</v>
      </c>
      <c r="D161" s="3229">
        <v>11120</v>
      </c>
      <c r="E161" s="3229">
        <v>14020</v>
      </c>
      <c r="F161" s="3229">
        <v>2150</v>
      </c>
      <c r="G161" s="3229">
        <v>7160</v>
      </c>
    </row>
    <row r="162" spans="1:7" s="3218" customFormat="1" ht="14.25" customHeight="1">
      <c r="A162" s="3229" t="s">
        <v>29</v>
      </c>
      <c r="B162" s="3229" t="s">
        <v>3005</v>
      </c>
      <c r="C162" s="3229">
        <v>9620</v>
      </c>
      <c r="D162" s="3229">
        <v>9570</v>
      </c>
      <c r="E162" s="3229">
        <v>12320</v>
      </c>
      <c r="F162" s="3229">
        <v>2010</v>
      </c>
      <c r="G162" s="3229">
        <v>6160</v>
      </c>
    </row>
    <row r="163" spans="1:7" s="3218" customFormat="1" ht="14.25" customHeight="1">
      <c r="A163" s="3229" t="s">
        <v>29</v>
      </c>
      <c r="B163" s="3229" t="s">
        <v>3010</v>
      </c>
      <c r="C163" s="3229">
        <v>9320</v>
      </c>
      <c r="D163" s="3229">
        <v>9270</v>
      </c>
      <c r="E163" s="3229">
        <v>11790</v>
      </c>
      <c r="F163" s="3229">
        <v>1920</v>
      </c>
      <c r="G163" s="3229">
        <v>5960</v>
      </c>
    </row>
    <row r="164" spans="1:7" s="3218" customFormat="1" ht="14.25" customHeight="1">
      <c r="A164" s="3229" t="s">
        <v>29</v>
      </c>
      <c r="B164" s="3229" t="s">
        <v>3015</v>
      </c>
      <c r="C164" s="3229"/>
      <c r="D164" s="3229"/>
      <c r="E164" s="3229"/>
      <c r="F164" s="3229">
        <v>1980</v>
      </c>
      <c r="G164" s="3229"/>
    </row>
    <row r="165" spans="1:7" s="3218" customFormat="1" ht="14.25" customHeight="1">
      <c r="A165" s="3229" t="s">
        <v>29</v>
      </c>
      <c r="B165" s="3229" t="s">
        <v>3085</v>
      </c>
      <c r="C165" s="3229">
        <v>11060</v>
      </c>
      <c r="D165" s="3229">
        <v>11030</v>
      </c>
      <c r="E165" s="3229">
        <v>13850</v>
      </c>
      <c r="F165" s="3229">
        <v>2170</v>
      </c>
      <c r="G165" s="3229">
        <v>7090</v>
      </c>
    </row>
    <row r="166" spans="1:7" s="3218" customFormat="1" ht="14.25" customHeight="1">
      <c r="A166" s="3229" t="s">
        <v>29</v>
      </c>
      <c r="B166" s="3229" t="s">
        <v>3025</v>
      </c>
      <c r="C166" s="3229">
        <v>11050</v>
      </c>
      <c r="D166" s="3229">
        <v>11010</v>
      </c>
      <c r="E166" s="3229">
        <v>13920</v>
      </c>
      <c r="F166" s="3229">
        <v>2140</v>
      </c>
      <c r="G166" s="3229">
        <v>7080</v>
      </c>
    </row>
    <row r="167" spans="1:7" s="3218" customFormat="1" ht="14.25" customHeight="1">
      <c r="A167" s="3229" t="s">
        <v>29</v>
      </c>
      <c r="B167" s="3229" t="s">
        <v>3029</v>
      </c>
      <c r="C167" s="3229">
        <v>10930</v>
      </c>
      <c r="D167" s="3229">
        <v>10890</v>
      </c>
      <c r="E167" s="3229">
        <v>13790</v>
      </c>
      <c r="F167" s="3229">
        <v>2010</v>
      </c>
      <c r="G167" s="3229">
        <v>7000</v>
      </c>
    </row>
    <row r="168" spans="1:7" s="3218" customFormat="1" ht="14.25" customHeight="1">
      <c r="A168" s="3229" t="s">
        <v>29</v>
      </c>
      <c r="B168" s="3229" t="s">
        <v>3034</v>
      </c>
      <c r="C168" s="3229">
        <v>9420</v>
      </c>
      <c r="D168" s="3229">
        <v>9380</v>
      </c>
      <c r="E168" s="3229">
        <v>11970</v>
      </c>
      <c r="F168" s="3229"/>
      <c r="G168" s="3229">
        <v>6040</v>
      </c>
    </row>
    <row r="169" spans="1:7" s="3218" customFormat="1" ht="14.25" customHeight="1">
      <c r="A169" s="3229" t="s">
        <v>29</v>
      </c>
      <c r="B169" s="3229" t="s">
        <v>3086</v>
      </c>
      <c r="C169" s="3229"/>
      <c r="D169" s="3229"/>
      <c r="E169" s="3229"/>
      <c r="F169" s="3229">
        <v>2880</v>
      </c>
      <c r="G169" s="3229"/>
    </row>
    <row r="170" spans="1:7" s="3218" customFormat="1" ht="14.25" customHeight="1">
      <c r="A170" s="3229" t="s">
        <v>29</v>
      </c>
      <c r="B170" s="3229" t="s">
        <v>3042</v>
      </c>
      <c r="C170" s="3229"/>
      <c r="D170" s="3229"/>
      <c r="E170" s="3229"/>
      <c r="F170" s="3229">
        <v>2880</v>
      </c>
      <c r="G170" s="3229"/>
    </row>
    <row r="171" spans="1:7" s="3218" customFormat="1" ht="14.25" customHeight="1">
      <c r="A171" s="3229" t="s">
        <v>29</v>
      </c>
      <c r="B171" s="3229" t="s">
        <v>3045</v>
      </c>
      <c r="C171" s="3229"/>
      <c r="D171" s="3229"/>
      <c r="E171" s="3229"/>
      <c r="F171" s="3229">
        <v>2880</v>
      </c>
      <c r="G171" s="3229"/>
    </row>
    <row r="172" spans="1:7" s="3218" customFormat="1" ht="14.25" customHeight="1">
      <c r="A172" s="3229" t="s">
        <v>29</v>
      </c>
      <c r="B172" s="3229" t="s">
        <v>3047</v>
      </c>
      <c r="C172" s="3229"/>
      <c r="D172" s="3229"/>
      <c r="E172" s="3229"/>
      <c r="F172" s="3229">
        <v>2880</v>
      </c>
      <c r="G172" s="3229"/>
    </row>
    <row r="173" spans="1:7" s="3218" customFormat="1" ht="14.25" customHeight="1">
      <c r="A173" s="3229" t="s">
        <v>29</v>
      </c>
      <c r="B173" s="3229" t="s">
        <v>3049</v>
      </c>
      <c r="C173" s="3229"/>
      <c r="D173" s="3229"/>
      <c r="E173" s="3229"/>
      <c r="F173" s="3229">
        <v>2150</v>
      </c>
      <c r="G173" s="3229"/>
    </row>
    <row r="174" spans="1:7" s="3218" customFormat="1" ht="14.25" customHeight="1">
      <c r="A174" s="3229" t="s">
        <v>29</v>
      </c>
      <c r="B174" s="3229" t="s">
        <v>3051</v>
      </c>
      <c r="C174" s="3229"/>
      <c r="D174" s="3229"/>
      <c r="E174" s="3229"/>
      <c r="F174" s="3229">
        <v>2030</v>
      </c>
      <c r="G174" s="3229"/>
    </row>
    <row r="175" spans="1:7" s="3218" customFormat="1" ht="14.25" customHeight="1">
      <c r="A175" s="3229" t="s">
        <v>29</v>
      </c>
      <c r="B175" s="3229" t="s">
        <v>3053</v>
      </c>
      <c r="C175" s="3229"/>
      <c r="D175" s="3229"/>
      <c r="E175" s="3229"/>
      <c r="F175" s="3229">
        <v>2780</v>
      </c>
      <c r="G175" s="3229"/>
    </row>
    <row r="176" spans="1:7" s="3218" customFormat="1" ht="14.25" customHeight="1">
      <c r="A176" s="3229" t="s">
        <v>29</v>
      </c>
      <c r="B176" s="3229" t="s">
        <v>3055</v>
      </c>
      <c r="C176" s="3229"/>
      <c r="D176" s="3229"/>
      <c r="E176" s="3229"/>
      <c r="F176" s="3229">
        <v>2780</v>
      </c>
      <c r="G176" s="3229"/>
    </row>
    <row r="177" spans="1:7" s="3218" customFormat="1" ht="14.25" customHeight="1">
      <c r="A177" s="3229" t="s">
        <v>29</v>
      </c>
      <c r="B177" s="3229" t="s">
        <v>3087</v>
      </c>
      <c r="C177" s="3229"/>
      <c r="D177" s="3229"/>
      <c r="E177" s="3229"/>
      <c r="F177" s="3229">
        <v>2780</v>
      </c>
      <c r="G177" s="3229"/>
    </row>
    <row r="178" spans="1:7" s="3218" customFormat="1" ht="14.25" customHeight="1">
      <c r="A178" s="3229" t="s">
        <v>29</v>
      </c>
      <c r="B178" s="3229" t="s">
        <v>3088</v>
      </c>
      <c r="C178" s="3229"/>
      <c r="D178" s="3229"/>
      <c r="E178" s="3229"/>
      <c r="F178" s="3229">
        <v>2060</v>
      </c>
      <c r="G178" s="3229"/>
    </row>
    <row r="179" spans="1:7" s="3218" customFormat="1" ht="14.25" customHeight="1">
      <c r="A179" s="3229" t="s">
        <v>29</v>
      </c>
      <c r="B179" s="3229" t="s">
        <v>3089</v>
      </c>
      <c r="C179" s="3229"/>
      <c r="D179" s="3229"/>
      <c r="E179" s="3229"/>
      <c r="F179" s="3229">
        <v>2120</v>
      </c>
      <c r="G179" s="3229"/>
    </row>
    <row r="180" spans="1:7" s="3218" customFormat="1" ht="14.25" customHeight="1">
      <c r="A180" s="3229" t="s">
        <v>29</v>
      </c>
      <c r="B180" s="3229" t="s">
        <v>3061</v>
      </c>
      <c r="C180" s="3229"/>
      <c r="D180" s="3229"/>
      <c r="E180" s="3229"/>
      <c r="F180" s="3229">
        <v>2340</v>
      </c>
      <c r="G180" s="3229"/>
    </row>
    <row r="181" spans="1:7" s="3218" customFormat="1" ht="14.25" customHeight="1">
      <c r="A181" s="3229" t="s">
        <v>29</v>
      </c>
      <c r="B181" s="3229" t="s">
        <v>3062</v>
      </c>
      <c r="C181" s="3229"/>
      <c r="D181" s="3229"/>
      <c r="E181" s="3229"/>
      <c r="F181" s="3229">
        <v>2340</v>
      </c>
      <c r="G181" s="3229"/>
    </row>
    <row r="182" spans="1:7" s="3218" customFormat="1" ht="14.25" customHeight="1">
      <c r="A182" s="3229" t="s">
        <v>29</v>
      </c>
      <c r="B182" s="3229" t="s">
        <v>3063</v>
      </c>
      <c r="C182" s="3229"/>
      <c r="D182" s="3229"/>
      <c r="E182" s="3229"/>
      <c r="F182" s="3229">
        <v>2340</v>
      </c>
      <c r="G182" s="3229"/>
    </row>
    <row r="183" spans="1:7" s="3218" customFormat="1" ht="14.25" customHeight="1">
      <c r="A183" s="3229" t="s">
        <v>29</v>
      </c>
      <c r="B183" s="3229" t="s">
        <v>3064</v>
      </c>
      <c r="C183" s="3229"/>
      <c r="D183" s="3229"/>
      <c r="E183" s="3229"/>
      <c r="F183" s="3229">
        <v>2340</v>
      </c>
      <c r="G183" s="3229"/>
    </row>
    <row r="184" spans="1:7" s="3218" customFormat="1" ht="14.25" customHeight="1">
      <c r="A184" s="3229" t="s">
        <v>29</v>
      </c>
      <c r="B184" s="3229" t="s">
        <v>3065</v>
      </c>
      <c r="C184" s="3229"/>
      <c r="D184" s="3229"/>
      <c r="E184" s="3229"/>
      <c r="F184" s="3229">
        <v>2340</v>
      </c>
      <c r="G184" s="3229"/>
    </row>
    <row r="185" spans="1:7" s="3218" customFormat="1" ht="14.25" customHeight="1">
      <c r="A185" s="3229" t="s">
        <v>29</v>
      </c>
      <c r="B185" s="3229" t="s">
        <v>3066</v>
      </c>
      <c r="C185" s="3229"/>
      <c r="D185" s="3229"/>
      <c r="E185" s="3229"/>
      <c r="F185" s="3229">
        <v>2530</v>
      </c>
      <c r="G185" s="3229"/>
    </row>
    <row r="186" spans="1:7" s="3218" customFormat="1" ht="14.25" customHeight="1">
      <c r="A186" s="3229" t="s">
        <v>29</v>
      </c>
      <c r="B186" s="3229" t="s">
        <v>3067</v>
      </c>
      <c r="C186" s="3229"/>
      <c r="D186" s="3229"/>
      <c r="E186" s="3229"/>
      <c r="F186" s="3229">
        <v>2550</v>
      </c>
      <c r="G186" s="3229"/>
    </row>
    <row r="187" spans="1:7" s="3218" customFormat="1" ht="14.25" customHeight="1">
      <c r="A187" s="3229" t="s">
        <v>29</v>
      </c>
      <c r="B187" s="3229" t="s">
        <v>3068</v>
      </c>
      <c r="C187" s="3229"/>
      <c r="D187" s="3229"/>
      <c r="E187" s="3229"/>
      <c r="F187" s="3229">
        <v>2070</v>
      </c>
      <c r="G187" s="3229"/>
    </row>
    <row r="188" spans="1:7" s="3218" customFormat="1" ht="14.25" customHeight="1">
      <c r="A188" s="3229" t="s">
        <v>29</v>
      </c>
      <c r="B188" s="3229" t="s">
        <v>3069</v>
      </c>
      <c r="C188" s="3229"/>
      <c r="D188" s="3229"/>
      <c r="E188" s="3229"/>
      <c r="F188" s="3229">
        <v>2340</v>
      </c>
      <c r="G188" s="3229"/>
    </row>
    <row r="189" spans="1:7" s="3218" customFormat="1" ht="14.25" customHeight="1" thickBot="1">
      <c r="A189" s="3237" t="s">
        <v>29</v>
      </c>
      <c r="B189" s="3240" t="s">
        <v>3070</v>
      </c>
      <c r="C189" s="3240"/>
      <c r="D189" s="3240"/>
      <c r="E189" s="3240"/>
      <c r="F189" s="3240">
        <v>2050</v>
      </c>
      <c r="G189" s="3240"/>
    </row>
    <row r="190" spans="1:7" s="3218" customFormat="1" ht="14.25" customHeight="1">
      <c r="A190" s="3234" t="s">
        <v>304</v>
      </c>
      <c r="B190" s="3225" t="s">
        <v>3090</v>
      </c>
      <c r="C190" s="3225">
        <v>8830</v>
      </c>
      <c r="D190" s="3225">
        <v>8790</v>
      </c>
      <c r="E190" s="3225">
        <v>11630</v>
      </c>
      <c r="F190" s="3225">
        <v>1790</v>
      </c>
      <c r="G190" s="3241">
        <v>5550</v>
      </c>
    </row>
    <row r="191" spans="1:7" s="3218" customFormat="1" ht="14.25" customHeight="1">
      <c r="A191" s="3229" t="s">
        <v>304</v>
      </c>
      <c r="B191" s="3229" t="s">
        <v>133</v>
      </c>
      <c r="C191" s="3229">
        <v>9780</v>
      </c>
      <c r="D191" s="3229">
        <v>9710</v>
      </c>
      <c r="E191" s="3229">
        <v>12550</v>
      </c>
      <c r="F191" s="3229">
        <v>1980</v>
      </c>
      <c r="G191" s="3242">
        <v>6130</v>
      </c>
    </row>
    <row r="192" spans="1:7" s="3218" customFormat="1" ht="14.25" customHeight="1">
      <c r="A192" s="3229" t="s">
        <v>304</v>
      </c>
      <c r="B192" s="3229" t="s">
        <v>142</v>
      </c>
      <c r="C192" s="3229">
        <v>8180</v>
      </c>
      <c r="D192" s="3229">
        <v>8140</v>
      </c>
      <c r="E192" s="3229">
        <v>10870</v>
      </c>
      <c r="F192" s="3229">
        <v>1690</v>
      </c>
      <c r="G192" s="3242">
        <v>5140</v>
      </c>
    </row>
    <row r="193" spans="1:7" s="3218" customFormat="1" ht="14.25" customHeight="1">
      <c r="A193" s="3229" t="s">
        <v>304</v>
      </c>
      <c r="B193" s="3229" t="s">
        <v>151</v>
      </c>
      <c r="C193" s="3229">
        <v>8440</v>
      </c>
      <c r="D193" s="3229">
        <v>8390</v>
      </c>
      <c r="E193" s="3229">
        <v>11210</v>
      </c>
      <c r="F193" s="3229">
        <v>1600</v>
      </c>
      <c r="G193" s="3242">
        <v>5300</v>
      </c>
    </row>
    <row r="194" spans="1:7" s="3218" customFormat="1" ht="14.25" customHeight="1">
      <c r="A194" s="3229" t="s">
        <v>304</v>
      </c>
      <c r="B194" s="3229" t="s">
        <v>160</v>
      </c>
      <c r="C194" s="3229">
        <v>8780</v>
      </c>
      <c r="D194" s="3229">
        <v>8730</v>
      </c>
      <c r="E194" s="3229">
        <v>11550</v>
      </c>
      <c r="F194" s="3229">
        <v>1660</v>
      </c>
      <c r="G194" s="3242">
        <v>5520</v>
      </c>
    </row>
    <row r="195" spans="1:7" s="3218" customFormat="1" ht="14.25" customHeight="1">
      <c r="A195" s="3229" t="s">
        <v>304</v>
      </c>
      <c r="B195" s="3229" t="s">
        <v>167</v>
      </c>
      <c r="C195" s="3229">
        <v>8720</v>
      </c>
      <c r="D195" s="3229">
        <v>8670</v>
      </c>
      <c r="E195" s="3229">
        <v>11450</v>
      </c>
      <c r="F195" s="3229">
        <v>1720</v>
      </c>
      <c r="G195" s="3242">
        <v>5480</v>
      </c>
    </row>
    <row r="196" spans="1:7" s="3218" customFormat="1" ht="14.25" customHeight="1">
      <c r="A196" s="3229" t="s">
        <v>304</v>
      </c>
      <c r="B196" s="3229" t="s">
        <v>173</v>
      </c>
      <c r="C196" s="3229">
        <v>8460</v>
      </c>
      <c r="D196" s="3229">
        <v>8410</v>
      </c>
      <c r="E196" s="3229">
        <v>11230</v>
      </c>
      <c r="F196" s="3229">
        <v>1730</v>
      </c>
      <c r="G196" s="3242">
        <v>5310</v>
      </c>
    </row>
    <row r="197" spans="1:7" s="3218" customFormat="1" ht="14.25" customHeight="1">
      <c r="A197" s="3229" t="s">
        <v>304</v>
      </c>
      <c r="B197" s="3229" t="s">
        <v>180</v>
      </c>
      <c r="C197" s="3229">
        <v>8790</v>
      </c>
      <c r="D197" s="3229">
        <v>8730</v>
      </c>
      <c r="E197" s="3229">
        <v>11560</v>
      </c>
      <c r="F197" s="3229">
        <v>1750</v>
      </c>
      <c r="G197" s="3242">
        <v>5520</v>
      </c>
    </row>
    <row r="198" spans="1:7" s="3218" customFormat="1" ht="14.25" customHeight="1">
      <c r="A198" s="3229" t="s">
        <v>304</v>
      </c>
      <c r="B198" s="3229" t="s">
        <v>190</v>
      </c>
      <c r="C198" s="3229">
        <v>8720</v>
      </c>
      <c r="D198" s="3229">
        <v>8680</v>
      </c>
      <c r="E198" s="3229">
        <v>11470</v>
      </c>
      <c r="F198" s="3229"/>
      <c r="G198" s="3242">
        <v>5480</v>
      </c>
    </row>
    <row r="199" spans="1:7" s="3218" customFormat="1" ht="14.25" customHeight="1">
      <c r="A199" s="3229" t="s">
        <v>304</v>
      </c>
      <c r="B199" s="3229" t="s">
        <v>3091</v>
      </c>
      <c r="C199" s="3229">
        <v>8690</v>
      </c>
      <c r="D199" s="3229">
        <v>8630</v>
      </c>
      <c r="E199" s="3229">
        <v>11350</v>
      </c>
      <c r="F199" s="3229">
        <v>1600</v>
      </c>
      <c r="G199" s="3242">
        <v>5450</v>
      </c>
    </row>
    <row r="200" spans="1:7" s="3218" customFormat="1" ht="14.25" customHeight="1">
      <c r="A200" s="3229" t="s">
        <v>304</v>
      </c>
      <c r="B200" s="3229" t="s">
        <v>2902</v>
      </c>
      <c r="C200" s="3229"/>
      <c r="D200" s="3229"/>
      <c r="E200" s="3229"/>
      <c r="F200" s="3229">
        <v>1510</v>
      </c>
      <c r="G200" s="3242"/>
    </row>
    <row r="201" spans="1:7" s="3218" customFormat="1" ht="14.25" customHeight="1">
      <c r="A201" s="3229" t="s">
        <v>304</v>
      </c>
      <c r="B201" s="3229" t="s">
        <v>3092</v>
      </c>
      <c r="C201" s="3229">
        <v>8440</v>
      </c>
      <c r="D201" s="3229">
        <v>8390</v>
      </c>
      <c r="E201" s="3229">
        <v>10930</v>
      </c>
      <c r="F201" s="3229">
        <v>1500</v>
      </c>
      <c r="G201" s="3242">
        <v>5300</v>
      </c>
    </row>
    <row r="202" spans="1:7" s="3218" customFormat="1" ht="14.25" customHeight="1">
      <c r="A202" s="3229" t="s">
        <v>304</v>
      </c>
      <c r="B202" s="3229" t="s">
        <v>240</v>
      </c>
      <c r="C202" s="3229">
        <v>8530</v>
      </c>
      <c r="D202" s="3229">
        <v>8490</v>
      </c>
      <c r="E202" s="3229">
        <v>11160</v>
      </c>
      <c r="F202" s="3229">
        <v>1580</v>
      </c>
      <c r="G202" s="3242">
        <v>5360</v>
      </c>
    </row>
    <row r="203" spans="1:7" s="3218" customFormat="1" ht="14.25" customHeight="1">
      <c r="A203" s="3229" t="s">
        <v>304</v>
      </c>
      <c r="B203" s="3229" t="s">
        <v>3093</v>
      </c>
      <c r="C203" s="3229">
        <v>8130</v>
      </c>
      <c r="D203" s="3229">
        <v>8070</v>
      </c>
      <c r="E203" s="3229">
        <v>10820</v>
      </c>
      <c r="F203" s="3229">
        <v>1690</v>
      </c>
      <c r="G203" s="3242">
        <v>5100</v>
      </c>
    </row>
    <row r="204" spans="1:7" s="3218" customFormat="1" ht="14.25" customHeight="1">
      <c r="A204" s="3229" t="s">
        <v>304</v>
      </c>
      <c r="B204" s="3229" t="s">
        <v>2913</v>
      </c>
      <c r="C204" s="3229">
        <v>8350</v>
      </c>
      <c r="D204" s="3229">
        <v>8290</v>
      </c>
      <c r="E204" s="3229">
        <v>11080</v>
      </c>
      <c r="F204" s="3229">
        <v>1450</v>
      </c>
      <c r="G204" s="3242">
        <v>5240</v>
      </c>
    </row>
    <row r="205" spans="1:7" s="3218" customFormat="1" ht="14.25" customHeight="1">
      <c r="A205" s="3229" t="s">
        <v>304</v>
      </c>
      <c r="B205" s="3229" t="s">
        <v>2915</v>
      </c>
      <c r="C205" s="3229">
        <v>7190</v>
      </c>
      <c r="D205" s="3229">
        <v>7130</v>
      </c>
      <c r="E205" s="3229">
        <v>9490</v>
      </c>
      <c r="F205" s="3229">
        <v>1470</v>
      </c>
      <c r="G205" s="3242">
        <v>4510</v>
      </c>
    </row>
    <row r="206" spans="1:7" s="3218" customFormat="1" ht="14.25" customHeight="1">
      <c r="A206" s="3229" t="s">
        <v>304</v>
      </c>
      <c r="B206" s="3229" t="s">
        <v>2918</v>
      </c>
      <c r="C206" s="3229">
        <v>7000</v>
      </c>
      <c r="D206" s="3229">
        <v>6950</v>
      </c>
      <c r="E206" s="3229">
        <v>9170</v>
      </c>
      <c r="F206" s="3229">
        <v>1400</v>
      </c>
      <c r="G206" s="3242">
        <v>4380</v>
      </c>
    </row>
    <row r="207" spans="1:7" s="3218" customFormat="1" ht="14.25" customHeight="1">
      <c r="A207" s="3229" t="s">
        <v>304</v>
      </c>
      <c r="B207" s="3229" t="s">
        <v>2920</v>
      </c>
      <c r="C207" s="3229">
        <v>6950</v>
      </c>
      <c r="D207" s="3229">
        <v>6900</v>
      </c>
      <c r="E207" s="3229">
        <v>9110</v>
      </c>
      <c r="F207" s="3229">
        <v>1790</v>
      </c>
      <c r="G207" s="3242">
        <v>4360</v>
      </c>
    </row>
    <row r="208" spans="1:7" s="3218" customFormat="1" ht="14.25" customHeight="1">
      <c r="A208" s="3229" t="s">
        <v>304</v>
      </c>
      <c r="B208" s="3229" t="s">
        <v>3094</v>
      </c>
      <c r="C208" s="3229">
        <v>9470</v>
      </c>
      <c r="D208" s="3229">
        <v>9410</v>
      </c>
      <c r="E208" s="3229">
        <v>12330</v>
      </c>
      <c r="F208" s="3229">
        <v>1770</v>
      </c>
      <c r="G208" s="3242">
        <v>5940</v>
      </c>
    </row>
    <row r="209" spans="1:7" s="3218" customFormat="1" ht="14.25" customHeight="1">
      <c r="A209" s="3229" t="s">
        <v>304</v>
      </c>
      <c r="B209" s="3229" t="s">
        <v>264</v>
      </c>
      <c r="C209" s="3229">
        <v>8740</v>
      </c>
      <c r="D209" s="3229">
        <v>8700</v>
      </c>
      <c r="E209" s="3229">
        <v>11500</v>
      </c>
      <c r="F209" s="3229">
        <v>1730</v>
      </c>
      <c r="G209" s="3242">
        <v>5490</v>
      </c>
    </row>
    <row r="210" spans="1:7" s="3218" customFormat="1" ht="14.25" customHeight="1">
      <c r="A210" s="3229" t="s">
        <v>304</v>
      </c>
      <c r="B210" s="3229" t="s">
        <v>2930</v>
      </c>
      <c r="C210" s="3229">
        <v>8710</v>
      </c>
      <c r="D210" s="3229">
        <v>8660</v>
      </c>
      <c r="E210" s="3229">
        <v>11440</v>
      </c>
      <c r="F210" s="3229">
        <v>1740</v>
      </c>
      <c r="G210" s="3242">
        <v>5470</v>
      </c>
    </row>
    <row r="211" spans="1:7" s="3218" customFormat="1" ht="14.25" customHeight="1">
      <c r="A211" s="3229" t="s">
        <v>304</v>
      </c>
      <c r="B211" s="3229" t="s">
        <v>3095</v>
      </c>
      <c r="C211" s="3229">
        <v>9480</v>
      </c>
      <c r="D211" s="3229">
        <v>9430</v>
      </c>
      <c r="E211" s="3229">
        <v>12360</v>
      </c>
      <c r="F211" s="3229">
        <v>1820</v>
      </c>
      <c r="G211" s="3242">
        <v>5950</v>
      </c>
    </row>
    <row r="212" spans="1:7" s="3218" customFormat="1" ht="14.25" customHeight="1">
      <c r="A212" s="3229" t="s">
        <v>304</v>
      </c>
      <c r="B212" s="3229" t="s">
        <v>285</v>
      </c>
      <c r="C212" s="3229">
        <v>9070</v>
      </c>
      <c r="D212" s="3229">
        <v>9020</v>
      </c>
      <c r="E212" s="3229">
        <v>11720</v>
      </c>
      <c r="F212" s="3229">
        <v>1850</v>
      </c>
      <c r="G212" s="3242">
        <v>5700</v>
      </c>
    </row>
    <row r="213" spans="1:7" s="3218" customFormat="1" ht="14.25" customHeight="1">
      <c r="A213" s="3229" t="s">
        <v>304</v>
      </c>
      <c r="B213" s="3229" t="s">
        <v>288</v>
      </c>
      <c r="C213" s="3229">
        <v>9030</v>
      </c>
      <c r="D213" s="3229">
        <v>8980</v>
      </c>
      <c r="E213" s="3229">
        <v>11670</v>
      </c>
      <c r="F213" s="3229">
        <v>1690</v>
      </c>
      <c r="G213" s="3242">
        <v>5670</v>
      </c>
    </row>
    <row r="214" spans="1:7" s="3218" customFormat="1" ht="14.25" customHeight="1">
      <c r="A214" s="3229" t="s">
        <v>304</v>
      </c>
      <c r="B214" s="3229" t="s">
        <v>3096</v>
      </c>
      <c r="C214" s="3229">
        <v>8090</v>
      </c>
      <c r="D214" s="3229">
        <v>8030</v>
      </c>
      <c r="E214" s="3229">
        <v>10780</v>
      </c>
      <c r="F214" s="3229">
        <v>1570</v>
      </c>
      <c r="G214" s="3242">
        <v>5070</v>
      </c>
    </row>
    <row r="215" spans="1:7" s="3218" customFormat="1" ht="14.25" customHeight="1">
      <c r="A215" s="3229" t="s">
        <v>304</v>
      </c>
      <c r="B215" s="3229" t="s">
        <v>3097</v>
      </c>
      <c r="C215" s="3229">
        <v>7950</v>
      </c>
      <c r="D215" s="3229">
        <v>7900</v>
      </c>
      <c r="E215" s="3229">
        <v>10560</v>
      </c>
      <c r="F215" s="3229">
        <v>1630</v>
      </c>
      <c r="G215" s="3242">
        <v>4990</v>
      </c>
    </row>
    <row r="216" spans="1:7" s="3218" customFormat="1" ht="14.25" customHeight="1">
      <c r="A216" s="3229" t="s">
        <v>304</v>
      </c>
      <c r="B216" s="3229" t="s">
        <v>3098</v>
      </c>
      <c r="C216" s="3229">
        <v>8490</v>
      </c>
      <c r="D216" s="3229">
        <v>8440</v>
      </c>
      <c r="E216" s="3229">
        <v>11260</v>
      </c>
      <c r="F216" s="3229">
        <v>1690</v>
      </c>
      <c r="G216" s="3242">
        <v>5330</v>
      </c>
    </row>
    <row r="217" spans="1:7" s="3218" customFormat="1" ht="14.25" customHeight="1">
      <c r="A217" s="3229" t="s">
        <v>304</v>
      </c>
      <c r="B217" s="3229" t="s">
        <v>2963</v>
      </c>
      <c r="C217" s="3229">
        <v>8200</v>
      </c>
      <c r="D217" s="3229">
        <v>8150</v>
      </c>
      <c r="E217" s="3229">
        <v>10910</v>
      </c>
      <c r="F217" s="3229">
        <v>1670</v>
      </c>
      <c r="G217" s="3242">
        <v>5150</v>
      </c>
    </row>
    <row r="218" spans="1:7" s="3218" customFormat="1" ht="14.25" customHeight="1">
      <c r="A218" s="3229" t="s">
        <v>304</v>
      </c>
      <c r="B218" s="3229" t="s">
        <v>3099</v>
      </c>
      <c r="C218" s="3229"/>
      <c r="D218" s="3229"/>
      <c r="E218" s="3229"/>
      <c r="F218" s="3229">
        <v>2040</v>
      </c>
      <c r="G218" s="3242"/>
    </row>
    <row r="219" spans="1:7" s="3218" customFormat="1" ht="14.25" customHeight="1">
      <c r="A219" s="3229" t="s">
        <v>304</v>
      </c>
      <c r="B219" s="3229" t="s">
        <v>3100</v>
      </c>
      <c r="C219" s="3229"/>
      <c r="D219" s="3229"/>
      <c r="E219" s="3229"/>
      <c r="F219" s="3229">
        <v>2040</v>
      </c>
      <c r="G219" s="3242"/>
    </row>
    <row r="220" spans="1:7" s="3218" customFormat="1" ht="14.25" customHeight="1">
      <c r="A220" s="3229" t="s">
        <v>304</v>
      </c>
      <c r="B220" s="3229" t="s">
        <v>3101</v>
      </c>
      <c r="C220" s="3229"/>
      <c r="D220" s="3229"/>
      <c r="E220" s="3229"/>
      <c r="F220" s="3229">
        <v>2040</v>
      </c>
      <c r="G220" s="3242"/>
    </row>
    <row r="221" spans="1:7" s="3218" customFormat="1" ht="14.25" customHeight="1">
      <c r="A221" s="3229" t="s">
        <v>304</v>
      </c>
      <c r="B221" s="3229" t="s">
        <v>3102</v>
      </c>
      <c r="C221" s="3229"/>
      <c r="D221" s="3229"/>
      <c r="E221" s="3229"/>
      <c r="F221" s="3229">
        <v>2040</v>
      </c>
      <c r="G221" s="3242"/>
    </row>
    <row r="222" spans="1:7" s="3218" customFormat="1" ht="14.25" customHeight="1">
      <c r="A222" s="3229" t="s">
        <v>304</v>
      </c>
      <c r="B222" s="3229" t="s">
        <v>3103</v>
      </c>
      <c r="C222" s="3229"/>
      <c r="D222" s="3229"/>
      <c r="E222" s="3229"/>
      <c r="F222" s="3229">
        <v>2040</v>
      </c>
      <c r="G222" s="3242"/>
    </row>
    <row r="223" spans="1:7" s="3218" customFormat="1" ht="14.25" customHeight="1">
      <c r="A223" s="3229" t="s">
        <v>304</v>
      </c>
      <c r="B223" s="3229" t="s">
        <v>3104</v>
      </c>
      <c r="C223" s="3229"/>
      <c r="D223" s="3229"/>
      <c r="E223" s="3229"/>
      <c r="F223" s="3229">
        <v>1930</v>
      </c>
      <c r="G223" s="3242"/>
    </row>
    <row r="224" spans="1:7" s="3218" customFormat="1" ht="14.25" customHeight="1">
      <c r="A224" s="3229" t="s">
        <v>304</v>
      </c>
      <c r="B224" s="3229" t="s">
        <v>3105</v>
      </c>
      <c r="C224" s="3229"/>
      <c r="D224" s="3229"/>
      <c r="E224" s="3229"/>
      <c r="F224" s="3229">
        <v>1930</v>
      </c>
      <c r="G224" s="3242"/>
    </row>
    <row r="225" spans="1:7" s="3218" customFormat="1" ht="14.25" customHeight="1">
      <c r="A225" s="3229" t="s">
        <v>304</v>
      </c>
      <c r="B225" s="3229" t="s">
        <v>3106</v>
      </c>
      <c r="C225" s="3229"/>
      <c r="D225" s="3229"/>
      <c r="E225" s="3229"/>
      <c r="F225" s="3229">
        <v>1930</v>
      </c>
      <c r="G225" s="3242"/>
    </row>
    <row r="226" spans="1:7" s="3218" customFormat="1" ht="14.25" customHeight="1">
      <c r="A226" s="3229" t="s">
        <v>304</v>
      </c>
      <c r="B226" s="3229" t="s">
        <v>3107</v>
      </c>
      <c r="C226" s="3229"/>
      <c r="D226" s="3229"/>
      <c r="E226" s="3229"/>
      <c r="F226" s="3229">
        <v>1700</v>
      </c>
      <c r="G226" s="3242"/>
    </row>
    <row r="227" spans="1:7" s="3218" customFormat="1" ht="14.25" customHeight="1">
      <c r="A227" s="3229" t="s">
        <v>304</v>
      </c>
      <c r="B227" s="3229" t="s">
        <v>3108</v>
      </c>
      <c r="C227" s="3229"/>
      <c r="D227" s="3229"/>
      <c r="E227" s="3229"/>
      <c r="F227" s="3229">
        <v>1520</v>
      </c>
      <c r="G227" s="3242"/>
    </row>
    <row r="228" spans="1:7" s="3218" customFormat="1" ht="14.25" customHeight="1">
      <c r="A228" s="3229" t="s">
        <v>304</v>
      </c>
      <c r="B228" s="3229" t="s">
        <v>3109</v>
      </c>
      <c r="C228" s="3229"/>
      <c r="D228" s="3229"/>
      <c r="E228" s="3229"/>
      <c r="F228" s="3229">
        <v>1520</v>
      </c>
      <c r="G228" s="3242"/>
    </row>
    <row r="229" spans="1:7" s="3218" customFormat="1" ht="14.25" customHeight="1">
      <c r="A229" s="3229" t="s">
        <v>304</v>
      </c>
      <c r="B229" s="3229" t="s">
        <v>3026</v>
      </c>
      <c r="C229" s="3229"/>
      <c r="D229" s="3229"/>
      <c r="E229" s="3229"/>
      <c r="F229" s="3229">
        <v>1520</v>
      </c>
      <c r="G229" s="3242"/>
    </row>
    <row r="230" spans="1:7" s="3218" customFormat="1" ht="14.25" customHeight="1">
      <c r="A230" s="3229" t="s">
        <v>304</v>
      </c>
      <c r="B230" s="3229" t="s">
        <v>3110</v>
      </c>
      <c r="C230" s="3229"/>
      <c r="D230" s="3229"/>
      <c r="E230" s="3229"/>
      <c r="F230" s="3229">
        <v>1820</v>
      </c>
      <c r="G230" s="3242"/>
    </row>
    <row r="231" spans="1:7" s="3218" customFormat="1" ht="14.25" customHeight="1">
      <c r="A231" s="3229" t="s">
        <v>304</v>
      </c>
      <c r="B231" s="3229" t="s">
        <v>3111</v>
      </c>
      <c r="C231" s="3229"/>
      <c r="D231" s="3229"/>
      <c r="E231" s="3229"/>
      <c r="F231" s="3229">
        <v>1760</v>
      </c>
      <c r="G231" s="3242"/>
    </row>
    <row r="232" spans="1:7" s="3218" customFormat="1" ht="14.25" customHeight="1">
      <c r="A232" s="3229" t="s">
        <v>304</v>
      </c>
      <c r="B232" s="3229" t="s">
        <v>3112</v>
      </c>
      <c r="C232" s="3229"/>
      <c r="D232" s="3229"/>
      <c r="E232" s="3229"/>
      <c r="F232" s="3229">
        <v>1840</v>
      </c>
      <c r="G232" s="3242"/>
    </row>
    <row r="233" spans="1:7" s="3218" customFormat="1" ht="14.25" customHeight="1" thickBot="1">
      <c r="A233" s="3243" t="s">
        <v>304</v>
      </c>
      <c r="B233" s="3236" t="s">
        <v>3043</v>
      </c>
      <c r="C233" s="3236"/>
      <c r="D233" s="3236"/>
      <c r="E233" s="3236"/>
      <c r="F233" s="3236">
        <v>1770</v>
      </c>
      <c r="G233" s="3244"/>
    </row>
    <row r="234" spans="1:7" s="3218" customFormat="1" ht="14.25" customHeight="1">
      <c r="A234" s="3234" t="s">
        <v>305</v>
      </c>
      <c r="B234" s="3225" t="s">
        <v>3113</v>
      </c>
      <c r="C234" s="3229">
        <v>6980</v>
      </c>
      <c r="D234" s="3229">
        <v>6970</v>
      </c>
      <c r="E234" s="3229">
        <v>8720</v>
      </c>
      <c r="F234" s="3229">
        <v>1350</v>
      </c>
      <c r="G234" s="3229">
        <v>4280</v>
      </c>
    </row>
    <row r="235" spans="1:7" s="3218" customFormat="1" ht="14.25" customHeight="1">
      <c r="A235" s="3229" t="s">
        <v>305</v>
      </c>
      <c r="B235" s="3229" t="s">
        <v>134</v>
      </c>
      <c r="C235" s="3229">
        <v>7620</v>
      </c>
      <c r="D235" s="3229">
        <v>7580</v>
      </c>
      <c r="E235" s="3229">
        <v>9360</v>
      </c>
      <c r="F235" s="3229">
        <v>1490</v>
      </c>
      <c r="G235" s="3229">
        <v>4650</v>
      </c>
    </row>
    <row r="236" spans="1:7" s="3218" customFormat="1" ht="14.25" customHeight="1">
      <c r="A236" s="3229" t="s">
        <v>305</v>
      </c>
      <c r="B236" s="3229" t="s">
        <v>143</v>
      </c>
      <c r="C236" s="3229">
        <v>6650</v>
      </c>
      <c r="D236" s="3229">
        <v>6630</v>
      </c>
      <c r="E236" s="3229">
        <v>8330</v>
      </c>
      <c r="F236" s="3229">
        <v>1250</v>
      </c>
      <c r="G236" s="3229">
        <v>4070</v>
      </c>
    </row>
    <row r="237" spans="1:7" s="3218" customFormat="1" ht="14.25" customHeight="1">
      <c r="A237" s="3229" t="s">
        <v>305</v>
      </c>
      <c r="B237" s="3229" t="s">
        <v>152</v>
      </c>
      <c r="C237" s="3229">
        <v>5850</v>
      </c>
      <c r="D237" s="3229">
        <v>5820</v>
      </c>
      <c r="E237" s="3229">
        <v>7260</v>
      </c>
      <c r="F237" s="3229">
        <v>1140</v>
      </c>
      <c r="G237" s="3229">
        <v>3570</v>
      </c>
    </row>
    <row r="238" spans="1:7" s="3218" customFormat="1" ht="14.25" customHeight="1">
      <c r="A238" s="3229" t="s">
        <v>305</v>
      </c>
      <c r="B238" s="3229" t="s">
        <v>2884</v>
      </c>
      <c r="C238" s="3229">
        <v>6920</v>
      </c>
      <c r="D238" s="3229">
        <v>6890</v>
      </c>
      <c r="E238" s="3229">
        <v>8640</v>
      </c>
      <c r="F238" s="3229">
        <v>1310</v>
      </c>
      <c r="G238" s="3229">
        <v>4230</v>
      </c>
    </row>
    <row r="239" spans="1:7" s="3218" customFormat="1" ht="14.25" customHeight="1">
      <c r="A239" s="3229" t="s">
        <v>305</v>
      </c>
      <c r="B239" s="3229" t="s">
        <v>3114</v>
      </c>
      <c r="C239" s="3229">
        <v>6780</v>
      </c>
      <c r="D239" s="3229">
        <v>6750</v>
      </c>
      <c r="E239" s="3229">
        <v>8440</v>
      </c>
      <c r="F239" s="3229">
        <v>1160</v>
      </c>
      <c r="G239" s="3229">
        <v>4140</v>
      </c>
    </row>
    <row r="240" spans="1:7" s="3218" customFormat="1" ht="14.25" customHeight="1">
      <c r="A240" s="3229" t="s">
        <v>305</v>
      </c>
      <c r="B240" s="3229" t="s">
        <v>3115</v>
      </c>
      <c r="C240" s="3229">
        <v>5420</v>
      </c>
      <c r="D240" s="3229">
        <v>5380</v>
      </c>
      <c r="E240" s="3229">
        <v>6640</v>
      </c>
      <c r="F240" s="3229">
        <v>1020</v>
      </c>
      <c r="G240" s="3229">
        <v>3300</v>
      </c>
    </row>
    <row r="241" spans="1:7" s="3218" customFormat="1" ht="14.25" customHeight="1">
      <c r="A241" s="3229" t="s">
        <v>305</v>
      </c>
      <c r="B241" s="3229" t="s">
        <v>3116</v>
      </c>
      <c r="C241" s="3229">
        <v>6660</v>
      </c>
      <c r="D241" s="3229">
        <v>6640</v>
      </c>
      <c r="E241" s="3229">
        <v>8340</v>
      </c>
      <c r="F241" s="3229">
        <v>1130</v>
      </c>
      <c r="G241" s="3229">
        <v>4080</v>
      </c>
    </row>
    <row r="242" spans="1:7" s="3218" customFormat="1" ht="14.25" customHeight="1">
      <c r="A242" s="3229" t="s">
        <v>305</v>
      </c>
      <c r="B242" s="3229" t="s">
        <v>181</v>
      </c>
      <c r="C242" s="3229">
        <v>6580</v>
      </c>
      <c r="D242" s="3229">
        <v>6550</v>
      </c>
      <c r="E242" s="3229">
        <v>8090</v>
      </c>
      <c r="F242" s="3229">
        <v>1240</v>
      </c>
      <c r="G242" s="3229">
        <v>4020</v>
      </c>
    </row>
    <row r="243" spans="1:7" s="3218" customFormat="1" ht="14.25" customHeight="1">
      <c r="A243" s="3229" t="s">
        <v>305</v>
      </c>
      <c r="B243" s="3229" t="s">
        <v>191</v>
      </c>
      <c r="C243" s="3229">
        <v>6000</v>
      </c>
      <c r="D243" s="3229">
        <v>5970</v>
      </c>
      <c r="E243" s="3229">
        <v>7370</v>
      </c>
      <c r="F243" s="3229">
        <v>1070</v>
      </c>
      <c r="G243" s="3229">
        <v>3670</v>
      </c>
    </row>
    <row r="244" spans="1:7" s="3218" customFormat="1" ht="14.25" customHeight="1">
      <c r="A244" s="3229" t="s">
        <v>305</v>
      </c>
      <c r="B244" s="3229" t="s">
        <v>3117</v>
      </c>
      <c r="C244" s="3229">
        <v>5840</v>
      </c>
      <c r="D244" s="3229">
        <v>5810</v>
      </c>
      <c r="E244" s="3229">
        <v>7240</v>
      </c>
      <c r="F244" s="3229">
        <v>1100</v>
      </c>
      <c r="G244" s="3229">
        <v>3560</v>
      </c>
    </row>
    <row r="245" spans="1:7" s="3218" customFormat="1" ht="14.25" customHeight="1">
      <c r="A245" s="3229" t="s">
        <v>305</v>
      </c>
      <c r="B245" s="3229" t="s">
        <v>206</v>
      </c>
      <c r="C245" s="3229">
        <v>6040</v>
      </c>
      <c r="D245" s="3229">
        <v>6000</v>
      </c>
      <c r="E245" s="3229">
        <v>7420</v>
      </c>
      <c r="F245" s="3229">
        <v>1140</v>
      </c>
      <c r="G245" s="3229">
        <v>3690</v>
      </c>
    </row>
    <row r="246" spans="1:7" s="3218" customFormat="1" ht="14.25" customHeight="1">
      <c r="A246" s="3229" t="s">
        <v>305</v>
      </c>
      <c r="B246" s="3229" t="s">
        <v>213</v>
      </c>
      <c r="C246" s="3229">
        <v>5890</v>
      </c>
      <c r="D246" s="3229">
        <v>5860</v>
      </c>
      <c r="E246" s="3229">
        <v>7300</v>
      </c>
      <c r="F246" s="3229">
        <v>1110</v>
      </c>
      <c r="G246" s="3229">
        <v>3590</v>
      </c>
    </row>
    <row r="247" spans="1:7" s="3218" customFormat="1" ht="14.25" customHeight="1">
      <c r="A247" s="3229" t="s">
        <v>305</v>
      </c>
      <c r="B247" s="3229" t="s">
        <v>3118</v>
      </c>
      <c r="C247" s="3229">
        <v>6480</v>
      </c>
      <c r="D247" s="3229">
        <v>6450</v>
      </c>
      <c r="E247" s="3229">
        <v>8010</v>
      </c>
      <c r="F247" s="3229">
        <v>1170</v>
      </c>
      <c r="G247" s="3229">
        <v>3960</v>
      </c>
    </row>
    <row r="248" spans="1:7" s="3218" customFormat="1" ht="14.25" customHeight="1">
      <c r="A248" s="3229" t="s">
        <v>305</v>
      </c>
      <c r="B248" s="3229" t="s">
        <v>227</v>
      </c>
      <c r="C248" s="3229">
        <v>6860</v>
      </c>
      <c r="D248" s="3229">
        <v>6840</v>
      </c>
      <c r="E248" s="3229">
        <v>8520</v>
      </c>
      <c r="F248" s="3229">
        <v>1240</v>
      </c>
      <c r="G248" s="3229">
        <v>4200</v>
      </c>
    </row>
    <row r="249" spans="1:7" s="3218" customFormat="1" ht="14.25" customHeight="1">
      <c r="A249" s="3229" t="s">
        <v>305</v>
      </c>
      <c r="B249" s="3229" t="s">
        <v>3119</v>
      </c>
      <c r="C249" s="3229">
        <v>7180</v>
      </c>
      <c r="D249" s="3229">
        <v>7140</v>
      </c>
      <c r="E249" s="3229">
        <v>8900</v>
      </c>
      <c r="F249" s="3229">
        <v>1350</v>
      </c>
      <c r="G249" s="3229">
        <v>4380</v>
      </c>
    </row>
    <row r="250" spans="1:7" s="3218" customFormat="1" ht="14.25" customHeight="1">
      <c r="A250" s="3229" t="s">
        <v>305</v>
      </c>
      <c r="B250" s="3229" t="s">
        <v>241</v>
      </c>
      <c r="C250" s="3229">
        <v>6880</v>
      </c>
      <c r="D250" s="3229">
        <v>6860</v>
      </c>
      <c r="E250" s="3229">
        <v>8550</v>
      </c>
      <c r="F250" s="3229">
        <v>1220</v>
      </c>
      <c r="G250" s="3229">
        <v>4210</v>
      </c>
    </row>
    <row r="251" spans="1:7" s="3218" customFormat="1" ht="14.25" customHeight="1">
      <c r="A251" s="3229" t="s">
        <v>305</v>
      </c>
      <c r="B251" s="3229" t="s">
        <v>249</v>
      </c>
      <c r="C251" s="3229"/>
      <c r="D251" s="3229"/>
      <c r="E251" s="3229"/>
      <c r="F251" s="3229">
        <v>1100</v>
      </c>
      <c r="G251" s="3229"/>
    </row>
    <row r="252" spans="1:7" s="3218" customFormat="1" ht="14.25" customHeight="1">
      <c r="A252" s="3229" t="s">
        <v>305</v>
      </c>
      <c r="B252" s="3229" t="s">
        <v>3120</v>
      </c>
      <c r="C252" s="3229">
        <v>7240</v>
      </c>
      <c r="D252" s="3229">
        <v>7200</v>
      </c>
      <c r="E252" s="3229">
        <v>9040</v>
      </c>
      <c r="F252" s="3229">
        <v>1380</v>
      </c>
      <c r="G252" s="3229">
        <v>4420</v>
      </c>
    </row>
    <row r="253" spans="1:7" s="3218" customFormat="1" ht="14.25" customHeight="1">
      <c r="A253" s="3229" t="s">
        <v>305</v>
      </c>
      <c r="B253" s="3229" t="s">
        <v>283</v>
      </c>
      <c r="C253" s="3229">
        <v>6670</v>
      </c>
      <c r="D253" s="3229">
        <v>6650</v>
      </c>
      <c r="E253" s="3229">
        <v>8350</v>
      </c>
      <c r="F253" s="3229">
        <v>1260</v>
      </c>
      <c r="G253" s="3229">
        <v>4080</v>
      </c>
    </row>
    <row r="254" spans="1:7" s="3218" customFormat="1" ht="14.25" customHeight="1">
      <c r="A254" s="3229" t="s">
        <v>305</v>
      </c>
      <c r="B254" s="3229" t="s">
        <v>286</v>
      </c>
      <c r="C254" s="3229">
        <v>7630</v>
      </c>
      <c r="D254" s="3229">
        <v>7590</v>
      </c>
      <c r="E254" s="3229">
        <v>9380</v>
      </c>
      <c r="F254" s="3229">
        <v>1320</v>
      </c>
      <c r="G254" s="3229">
        <v>4660</v>
      </c>
    </row>
    <row r="255" spans="1:7" s="3218" customFormat="1" ht="14.25" customHeight="1">
      <c r="A255" s="3229" t="s">
        <v>305</v>
      </c>
      <c r="B255" s="3229" t="s">
        <v>289</v>
      </c>
      <c r="C255" s="3229">
        <v>6940</v>
      </c>
      <c r="D255" s="3229">
        <v>6890</v>
      </c>
      <c r="E255" s="3229">
        <v>8650</v>
      </c>
      <c r="F255" s="3229">
        <v>1210</v>
      </c>
      <c r="G255" s="3229">
        <v>4230</v>
      </c>
    </row>
    <row r="256" spans="1:7" s="3218" customFormat="1" ht="14.25" customHeight="1">
      <c r="A256" s="3229" t="s">
        <v>305</v>
      </c>
      <c r="B256" s="3229" t="s">
        <v>3121</v>
      </c>
      <c r="C256" s="3229">
        <v>7520</v>
      </c>
      <c r="D256" s="3229">
        <v>7490</v>
      </c>
      <c r="E256" s="3229">
        <v>9240</v>
      </c>
      <c r="F256" s="3229">
        <v>1270</v>
      </c>
      <c r="G256" s="3229">
        <v>4590</v>
      </c>
    </row>
    <row r="257" spans="1:7" s="3218" customFormat="1" ht="14.25" customHeight="1">
      <c r="A257" s="3229" t="s">
        <v>305</v>
      </c>
      <c r="B257" s="3229" t="s">
        <v>275</v>
      </c>
      <c r="C257" s="3229">
        <v>6280</v>
      </c>
      <c r="D257" s="3229">
        <v>6230</v>
      </c>
      <c r="E257" s="3229">
        <v>7740</v>
      </c>
      <c r="F257" s="3229">
        <v>1080</v>
      </c>
      <c r="G257" s="3229">
        <v>3830</v>
      </c>
    </row>
    <row r="258" spans="1:7" s="3218" customFormat="1" ht="14.25" customHeight="1">
      <c r="A258" s="3229" t="s">
        <v>305</v>
      </c>
      <c r="B258" s="3229" t="s">
        <v>2946</v>
      </c>
      <c r="C258" s="3229">
        <v>6190</v>
      </c>
      <c r="D258" s="3229">
        <v>6160</v>
      </c>
      <c r="E258" s="3229">
        <v>7680</v>
      </c>
      <c r="F258" s="3229">
        <v>1170</v>
      </c>
      <c r="G258" s="3229">
        <v>3780</v>
      </c>
    </row>
    <row r="259" spans="1:7" s="3218" customFormat="1" ht="14.25" customHeight="1">
      <c r="A259" s="3229" t="s">
        <v>305</v>
      </c>
      <c r="B259" s="3229" t="s">
        <v>3122</v>
      </c>
      <c r="C259" s="3229">
        <v>7610</v>
      </c>
      <c r="D259" s="3229">
        <v>7570</v>
      </c>
      <c r="E259" s="3229">
        <v>9350</v>
      </c>
      <c r="F259" s="3229">
        <v>1350</v>
      </c>
      <c r="G259" s="3229">
        <v>4650</v>
      </c>
    </row>
    <row r="260" spans="1:7" s="3218" customFormat="1" ht="14.25" customHeight="1">
      <c r="A260" s="3229" t="s">
        <v>305</v>
      </c>
      <c r="B260" s="3229" t="s">
        <v>3123</v>
      </c>
      <c r="C260" s="3229">
        <v>6920</v>
      </c>
      <c r="D260" s="3229">
        <v>6880</v>
      </c>
      <c r="E260" s="3229">
        <v>8380</v>
      </c>
      <c r="F260" s="3229">
        <v>1160</v>
      </c>
      <c r="G260" s="3229">
        <v>4220</v>
      </c>
    </row>
    <row r="261" spans="1:7" s="3218" customFormat="1" ht="14.25" customHeight="1">
      <c r="A261" s="3229" t="s">
        <v>305</v>
      </c>
      <c r="B261" s="3229" t="s">
        <v>3124</v>
      </c>
      <c r="C261" s="3229">
        <v>6850</v>
      </c>
      <c r="D261" s="3229">
        <v>6810</v>
      </c>
      <c r="E261" s="3229">
        <v>8290</v>
      </c>
      <c r="F261" s="3229">
        <v>1130</v>
      </c>
      <c r="G261" s="3229">
        <v>4180</v>
      </c>
    </row>
    <row r="262" spans="1:7" s="3218" customFormat="1" ht="14.25" customHeight="1">
      <c r="A262" s="3229" t="s">
        <v>305</v>
      </c>
      <c r="B262" s="3229" t="s">
        <v>3125</v>
      </c>
      <c r="C262" s="3229">
        <v>5860</v>
      </c>
      <c r="D262" s="3229">
        <v>5820</v>
      </c>
      <c r="E262" s="3229">
        <v>7640</v>
      </c>
      <c r="F262" s="3229">
        <v>1070</v>
      </c>
      <c r="G262" s="3229">
        <v>3570</v>
      </c>
    </row>
    <row r="263" spans="1:7" s="3218" customFormat="1" ht="14.25" customHeight="1">
      <c r="A263" s="3229" t="s">
        <v>305</v>
      </c>
      <c r="B263" s="3229" t="s">
        <v>3126</v>
      </c>
      <c r="C263" s="3229">
        <v>5870</v>
      </c>
      <c r="D263" s="3229">
        <v>5840</v>
      </c>
      <c r="E263" s="3229">
        <v>7270</v>
      </c>
      <c r="F263" s="3229">
        <v>1190</v>
      </c>
      <c r="G263" s="3229">
        <v>3580</v>
      </c>
    </row>
    <row r="264" spans="1:7" s="3218" customFormat="1" ht="14.25" customHeight="1">
      <c r="A264" s="3229" t="s">
        <v>305</v>
      </c>
      <c r="B264" s="3229" t="s">
        <v>299</v>
      </c>
      <c r="C264" s="3229">
        <v>6190</v>
      </c>
      <c r="D264" s="3229">
        <v>6150</v>
      </c>
      <c r="E264" s="3229">
        <v>7660</v>
      </c>
      <c r="F264" s="3229">
        <v>1160</v>
      </c>
      <c r="G264" s="3229">
        <v>3770</v>
      </c>
    </row>
    <row r="265" spans="1:7" s="3218" customFormat="1" ht="14.25" customHeight="1">
      <c r="A265" s="3229" t="s">
        <v>305</v>
      </c>
      <c r="B265" s="3229" t="s">
        <v>3127</v>
      </c>
      <c r="C265" s="3229"/>
      <c r="D265" s="3229"/>
      <c r="E265" s="3229"/>
      <c r="F265" s="3229">
        <v>1500</v>
      </c>
      <c r="G265" s="3229"/>
    </row>
    <row r="266" spans="1:7" s="3218" customFormat="1" ht="14.25" customHeight="1">
      <c r="A266" s="3229" t="s">
        <v>305</v>
      </c>
      <c r="B266" s="3229" t="s">
        <v>3128</v>
      </c>
      <c r="C266" s="3229"/>
      <c r="D266" s="3229"/>
      <c r="E266" s="3229"/>
      <c r="F266" s="3229">
        <v>1500</v>
      </c>
      <c r="G266" s="3229"/>
    </row>
    <row r="267" spans="1:7" s="3218" customFormat="1" ht="14.25" customHeight="1">
      <c r="A267" s="3229" t="s">
        <v>305</v>
      </c>
      <c r="B267" s="3229" t="s">
        <v>3129</v>
      </c>
      <c r="C267" s="3229"/>
      <c r="D267" s="3229"/>
      <c r="E267" s="3229"/>
      <c r="F267" s="3229">
        <v>1500</v>
      </c>
      <c r="G267" s="3229"/>
    </row>
    <row r="268" spans="1:7" s="3218" customFormat="1" ht="14.25" customHeight="1">
      <c r="A268" s="3229" t="s">
        <v>305</v>
      </c>
      <c r="B268" s="3229" t="s">
        <v>3130</v>
      </c>
      <c r="C268" s="3229"/>
      <c r="D268" s="3229"/>
      <c r="E268" s="3229"/>
      <c r="F268" s="3229">
        <v>1290</v>
      </c>
      <c r="G268" s="3229"/>
    </row>
    <row r="269" spans="1:7" s="3218" customFormat="1" ht="14.25" customHeight="1">
      <c r="A269" s="3229" t="s">
        <v>305</v>
      </c>
      <c r="B269" s="3229" t="s">
        <v>3131</v>
      </c>
      <c r="C269" s="3229"/>
      <c r="D269" s="3229"/>
      <c r="E269" s="3229"/>
      <c r="F269" s="3229">
        <v>1150</v>
      </c>
      <c r="G269" s="3229"/>
    </row>
    <row r="270" spans="1:7" s="3218" customFormat="1" ht="14.25" customHeight="1">
      <c r="A270" s="3229" t="s">
        <v>305</v>
      </c>
      <c r="B270" s="3229" t="s">
        <v>3132</v>
      </c>
      <c r="C270" s="3229"/>
      <c r="D270" s="3229"/>
      <c r="E270" s="3229"/>
      <c r="F270" s="3229">
        <v>1380</v>
      </c>
      <c r="G270" s="3229"/>
    </row>
    <row r="271" spans="1:7" s="3218" customFormat="1" ht="14.25" customHeight="1">
      <c r="A271" s="3229" t="s">
        <v>305</v>
      </c>
      <c r="B271" s="3229" t="s">
        <v>3133</v>
      </c>
      <c r="C271" s="3229"/>
      <c r="D271" s="3229"/>
      <c r="E271" s="3229"/>
      <c r="F271" s="3229">
        <v>1460</v>
      </c>
      <c r="G271" s="3229"/>
    </row>
    <row r="272" spans="1:7" s="3218" customFormat="1" ht="14.25" customHeight="1">
      <c r="A272" s="3229" t="s">
        <v>305</v>
      </c>
      <c r="B272" s="3229" t="s">
        <v>3134</v>
      </c>
      <c r="C272" s="3229"/>
      <c r="D272" s="3229"/>
      <c r="E272" s="3229"/>
      <c r="F272" s="3229">
        <v>1460</v>
      </c>
      <c r="G272" s="3229"/>
    </row>
    <row r="273" spans="1:7" s="3218" customFormat="1" ht="14.25" customHeight="1">
      <c r="A273" s="3229" t="s">
        <v>305</v>
      </c>
      <c r="B273" s="3229" t="s">
        <v>3027</v>
      </c>
      <c r="C273" s="3229"/>
      <c r="D273" s="3229"/>
      <c r="E273" s="3229"/>
      <c r="F273" s="3229">
        <v>1490</v>
      </c>
      <c r="G273" s="3229"/>
    </row>
    <row r="274" spans="1:7" s="3218" customFormat="1" ht="14.25" customHeight="1">
      <c r="A274" s="3229" t="s">
        <v>305</v>
      </c>
      <c r="B274" s="3229" t="s">
        <v>3135</v>
      </c>
      <c r="C274" s="3229"/>
      <c r="D274" s="3229"/>
      <c r="E274" s="3229"/>
      <c r="F274" s="3229">
        <v>1490</v>
      </c>
      <c r="G274" s="3229"/>
    </row>
    <row r="275" spans="1:7" s="3218" customFormat="1" ht="14.25" customHeight="1">
      <c r="A275" s="3229" t="s">
        <v>305</v>
      </c>
      <c r="B275" s="3229" t="s">
        <v>3136</v>
      </c>
      <c r="C275" s="3229"/>
      <c r="D275" s="3229"/>
      <c r="E275" s="3229"/>
      <c r="F275" s="3229">
        <v>1220</v>
      </c>
      <c r="G275" s="3229"/>
    </row>
    <row r="276" spans="1:7" s="3218" customFormat="1" ht="14.25" customHeight="1" thickBot="1">
      <c r="A276" s="3237" t="s">
        <v>305</v>
      </c>
      <c r="B276" s="3239" t="s">
        <v>3137</v>
      </c>
      <c r="C276" s="3240"/>
      <c r="D276" s="3240"/>
      <c r="E276" s="3240"/>
      <c r="F276" s="3240">
        <v>1380</v>
      </c>
      <c r="G276" s="3240"/>
    </row>
    <row r="277" spans="1:7" s="3218" customFormat="1" ht="14.25" customHeight="1">
      <c r="A277" s="3234" t="s">
        <v>306</v>
      </c>
      <c r="B277" s="3225" t="s">
        <v>3138</v>
      </c>
      <c r="C277" s="3225">
        <v>5790</v>
      </c>
      <c r="D277" s="3225">
        <v>5740</v>
      </c>
      <c r="E277" s="3225">
        <v>6730</v>
      </c>
      <c r="F277" s="3225">
        <v>1110</v>
      </c>
      <c r="G277" s="3241">
        <v>3460</v>
      </c>
    </row>
    <row r="278" spans="1:7" s="3218" customFormat="1" ht="14.25" customHeight="1">
      <c r="A278" s="3229" t="s">
        <v>306</v>
      </c>
      <c r="B278" s="3229" t="s">
        <v>135</v>
      </c>
      <c r="C278" s="3229">
        <v>5740</v>
      </c>
      <c r="D278" s="3229">
        <v>5670</v>
      </c>
      <c r="E278" s="3229">
        <v>6680</v>
      </c>
      <c r="F278" s="3229">
        <v>1070</v>
      </c>
      <c r="G278" s="3242">
        <v>3420</v>
      </c>
    </row>
    <row r="279" spans="1:7" s="3218" customFormat="1" ht="14.25" customHeight="1">
      <c r="A279" s="3229" t="s">
        <v>306</v>
      </c>
      <c r="B279" s="3229" t="s">
        <v>3139</v>
      </c>
      <c r="C279" s="3229">
        <v>4760</v>
      </c>
      <c r="D279" s="3229">
        <v>4720</v>
      </c>
      <c r="E279" s="3229">
        <v>5540</v>
      </c>
      <c r="F279" s="3229">
        <v>810</v>
      </c>
      <c r="G279" s="3242">
        <v>2850</v>
      </c>
    </row>
    <row r="280" spans="1:7" s="3218" customFormat="1" ht="14.25" customHeight="1">
      <c r="A280" s="3229" t="s">
        <v>306</v>
      </c>
      <c r="B280" s="3229" t="s">
        <v>3140</v>
      </c>
      <c r="C280" s="3229">
        <v>4010</v>
      </c>
      <c r="D280" s="3229">
        <v>3950</v>
      </c>
      <c r="E280" s="3229">
        <v>4710</v>
      </c>
      <c r="F280" s="3229">
        <v>800</v>
      </c>
      <c r="G280" s="3242">
        <v>2390</v>
      </c>
    </row>
    <row r="281" spans="1:7" s="3218" customFormat="1" ht="14.25" customHeight="1">
      <c r="A281" s="3229" t="s">
        <v>306</v>
      </c>
      <c r="B281" s="3229" t="s">
        <v>3141</v>
      </c>
      <c r="C281" s="3229">
        <v>4480</v>
      </c>
      <c r="D281" s="3229">
        <v>4420</v>
      </c>
      <c r="E281" s="3229">
        <v>5230</v>
      </c>
      <c r="F281" s="3229">
        <v>870</v>
      </c>
      <c r="G281" s="3242">
        <v>2660</v>
      </c>
    </row>
    <row r="282" spans="1:7" s="3218" customFormat="1" ht="14.25" customHeight="1">
      <c r="A282" s="3229" t="s">
        <v>306</v>
      </c>
      <c r="B282" s="3229" t="s">
        <v>3142</v>
      </c>
      <c r="C282" s="3229">
        <v>5360</v>
      </c>
      <c r="D282" s="3229">
        <v>5300</v>
      </c>
      <c r="E282" s="3229">
        <v>6190</v>
      </c>
      <c r="F282" s="3229">
        <v>950</v>
      </c>
      <c r="G282" s="3242">
        <v>3190</v>
      </c>
    </row>
    <row r="283" spans="1:7" s="3218" customFormat="1" ht="14.25" customHeight="1">
      <c r="A283" s="3229" t="s">
        <v>306</v>
      </c>
      <c r="B283" s="3229" t="s">
        <v>174</v>
      </c>
      <c r="C283" s="3229">
        <v>4950</v>
      </c>
      <c r="D283" s="3229">
        <v>4900</v>
      </c>
      <c r="E283" s="3229">
        <v>5720</v>
      </c>
      <c r="F283" s="3229">
        <v>920</v>
      </c>
      <c r="G283" s="3242">
        <v>2950</v>
      </c>
    </row>
    <row r="284" spans="1:7" s="3218" customFormat="1" ht="14.25" customHeight="1">
      <c r="A284" s="3229" t="s">
        <v>306</v>
      </c>
      <c r="B284" s="3229" t="s">
        <v>182</v>
      </c>
      <c r="C284" s="3229">
        <v>5610</v>
      </c>
      <c r="D284" s="3229">
        <v>5560</v>
      </c>
      <c r="E284" s="3229">
        <v>6520</v>
      </c>
      <c r="F284" s="3229">
        <v>1030</v>
      </c>
      <c r="G284" s="3242">
        <v>3360</v>
      </c>
    </row>
    <row r="285" spans="1:7" s="3218" customFormat="1" ht="14.25" customHeight="1">
      <c r="A285" s="3229" t="s">
        <v>306</v>
      </c>
      <c r="B285" s="3229" t="s">
        <v>192</v>
      </c>
      <c r="C285" s="3229">
        <v>5340</v>
      </c>
      <c r="D285" s="3229">
        <v>5290</v>
      </c>
      <c r="E285" s="3229">
        <v>6170</v>
      </c>
      <c r="F285" s="3229">
        <v>1080</v>
      </c>
      <c r="G285" s="3242">
        <v>3180</v>
      </c>
    </row>
    <row r="286" spans="1:7" s="3218" customFormat="1" ht="14.25" customHeight="1">
      <c r="A286" s="3229" t="s">
        <v>306</v>
      </c>
      <c r="B286" s="3229" t="s">
        <v>199</v>
      </c>
      <c r="C286" s="3229">
        <v>4890</v>
      </c>
      <c r="D286" s="3229">
        <v>4840</v>
      </c>
      <c r="E286" s="3229">
        <v>5640</v>
      </c>
      <c r="F286" s="3229">
        <v>960</v>
      </c>
      <c r="G286" s="3242">
        <v>2910</v>
      </c>
    </row>
    <row r="287" spans="1:7" s="3218" customFormat="1" ht="14.25" customHeight="1">
      <c r="A287" s="3229" t="s">
        <v>306</v>
      </c>
      <c r="B287" s="3229" t="s">
        <v>3143</v>
      </c>
      <c r="C287" s="3229">
        <v>4960</v>
      </c>
      <c r="D287" s="3229">
        <v>4920</v>
      </c>
      <c r="E287" s="3229">
        <v>5730</v>
      </c>
      <c r="F287" s="3229">
        <v>930</v>
      </c>
      <c r="G287" s="3242">
        <v>2960</v>
      </c>
    </row>
    <row r="288" spans="1:7" s="3218" customFormat="1" ht="14.25" customHeight="1">
      <c r="A288" s="3229" t="s">
        <v>306</v>
      </c>
      <c r="B288" s="3229" t="s">
        <v>219</v>
      </c>
      <c r="C288" s="3229">
        <v>4350</v>
      </c>
      <c r="D288" s="3229">
        <v>4300</v>
      </c>
      <c r="E288" s="3229">
        <v>4900</v>
      </c>
      <c r="F288" s="3229">
        <v>820</v>
      </c>
      <c r="G288" s="3242">
        <v>2590</v>
      </c>
    </row>
    <row r="289" spans="1:7" s="3218" customFormat="1" ht="14.25" customHeight="1">
      <c r="A289" s="3229" t="s">
        <v>306</v>
      </c>
      <c r="B289" s="3229" t="s">
        <v>3144</v>
      </c>
      <c r="C289" s="3229">
        <v>5230</v>
      </c>
      <c r="D289" s="3229">
        <v>5170</v>
      </c>
      <c r="E289" s="3229">
        <v>6060</v>
      </c>
      <c r="F289" s="3229">
        <v>900</v>
      </c>
      <c r="G289" s="3242">
        <v>3120</v>
      </c>
    </row>
    <row r="290" spans="1:7" s="3218" customFormat="1" ht="14.25" customHeight="1">
      <c r="A290" s="3229" t="s">
        <v>306</v>
      </c>
      <c r="B290" s="3229" t="s">
        <v>242</v>
      </c>
      <c r="C290" s="3229">
        <v>5550</v>
      </c>
      <c r="D290" s="3229">
        <v>5500</v>
      </c>
      <c r="E290" s="3229">
        <v>6440</v>
      </c>
      <c r="F290" s="3229">
        <v>960</v>
      </c>
      <c r="G290" s="3242">
        <v>3320</v>
      </c>
    </row>
    <row r="291" spans="1:7" s="3218" customFormat="1" ht="14.25" customHeight="1">
      <c r="A291" s="3229" t="s">
        <v>306</v>
      </c>
      <c r="B291" s="3229" t="s">
        <v>250</v>
      </c>
      <c r="C291" s="3229">
        <v>5440</v>
      </c>
      <c r="D291" s="3229">
        <v>5400</v>
      </c>
      <c r="E291" s="3229">
        <v>6320</v>
      </c>
      <c r="F291" s="3229">
        <v>930</v>
      </c>
      <c r="G291" s="3242">
        <v>3250</v>
      </c>
    </row>
    <row r="292" spans="1:7" s="3218" customFormat="1" ht="14.25" customHeight="1">
      <c r="A292" s="3229" t="s">
        <v>306</v>
      </c>
      <c r="B292" s="3229" t="s">
        <v>256</v>
      </c>
      <c r="C292" s="3229">
        <v>5400</v>
      </c>
      <c r="D292" s="3229">
        <v>5360</v>
      </c>
      <c r="E292" s="3229">
        <v>6270</v>
      </c>
      <c r="F292" s="3229">
        <v>1040</v>
      </c>
      <c r="G292" s="3242">
        <v>3230</v>
      </c>
    </row>
    <row r="293" spans="1:7" s="3218" customFormat="1" ht="14.25" customHeight="1">
      <c r="A293" s="3229" t="s">
        <v>306</v>
      </c>
      <c r="B293" s="3229" t="s">
        <v>2919</v>
      </c>
      <c r="C293" s="3229">
        <v>5320</v>
      </c>
      <c r="D293" s="3229">
        <v>5270</v>
      </c>
      <c r="E293" s="3229">
        <v>6160</v>
      </c>
      <c r="F293" s="3229">
        <v>990</v>
      </c>
      <c r="G293" s="3242">
        <v>3170</v>
      </c>
    </row>
    <row r="294" spans="1:7" s="3218" customFormat="1" ht="14.25" customHeight="1">
      <c r="A294" s="3229" t="s">
        <v>306</v>
      </c>
      <c r="B294" s="3229" t="s">
        <v>3145</v>
      </c>
      <c r="C294" s="3229">
        <v>5260</v>
      </c>
      <c r="D294" s="3229">
        <v>5210</v>
      </c>
      <c r="E294" s="3229">
        <v>6100</v>
      </c>
      <c r="F294" s="3229">
        <v>950</v>
      </c>
      <c r="G294" s="3242">
        <v>3150</v>
      </c>
    </row>
    <row r="295" spans="1:7" s="3218" customFormat="1" ht="14.25" customHeight="1">
      <c r="A295" s="3229" t="s">
        <v>306</v>
      </c>
      <c r="B295" s="3229" t="s">
        <v>290</v>
      </c>
      <c r="C295" s="3229">
        <v>5610</v>
      </c>
      <c r="D295" s="3229">
        <v>5570</v>
      </c>
      <c r="E295" s="3229">
        <v>6530</v>
      </c>
      <c r="F295" s="3229">
        <v>960</v>
      </c>
      <c r="G295" s="3242">
        <v>3360</v>
      </c>
    </row>
    <row r="296" spans="1:7" s="3218" customFormat="1" ht="14.25" customHeight="1">
      <c r="A296" s="3229" t="s">
        <v>306</v>
      </c>
      <c r="B296" s="3229" t="s">
        <v>293</v>
      </c>
      <c r="C296" s="3229">
        <v>5540</v>
      </c>
      <c r="D296" s="3229">
        <v>5490</v>
      </c>
      <c r="E296" s="3229">
        <v>6430</v>
      </c>
      <c r="F296" s="3229">
        <v>980</v>
      </c>
      <c r="G296" s="3242">
        <v>3310</v>
      </c>
    </row>
    <row r="297" spans="1:7" s="3218" customFormat="1" ht="14.25" customHeight="1">
      <c r="A297" s="3229" t="s">
        <v>306</v>
      </c>
      <c r="B297" s="3229" t="s">
        <v>295</v>
      </c>
      <c r="C297" s="3229">
        <v>5480</v>
      </c>
      <c r="D297" s="3229">
        <v>5420</v>
      </c>
      <c r="E297" s="3229">
        <v>6370</v>
      </c>
      <c r="F297" s="3229">
        <v>990</v>
      </c>
      <c r="G297" s="3242">
        <v>3270</v>
      </c>
    </row>
    <row r="298" spans="1:7" s="3218" customFormat="1" ht="14.25" customHeight="1">
      <c r="A298" s="3229" t="s">
        <v>306</v>
      </c>
      <c r="B298" s="3229" t="s">
        <v>298</v>
      </c>
      <c r="C298" s="3229">
        <v>5090</v>
      </c>
      <c r="D298" s="3229">
        <v>5050</v>
      </c>
      <c r="E298" s="3229">
        <v>5910</v>
      </c>
      <c r="F298" s="3229">
        <v>900</v>
      </c>
      <c r="G298" s="3242">
        <v>3040</v>
      </c>
    </row>
    <row r="299" spans="1:7" s="3218" customFormat="1" ht="14.25" customHeight="1">
      <c r="A299" s="3229" t="s">
        <v>306</v>
      </c>
      <c r="B299" s="3238" t="s">
        <v>2938</v>
      </c>
      <c r="C299" s="3229">
        <v>5430</v>
      </c>
      <c r="D299" s="3229">
        <v>5380</v>
      </c>
      <c r="E299" s="3229">
        <v>6280</v>
      </c>
      <c r="F299" s="3229">
        <v>1000</v>
      </c>
      <c r="G299" s="3242">
        <v>3240</v>
      </c>
    </row>
    <row r="300" spans="1:7" s="3218" customFormat="1" ht="14.25" customHeight="1">
      <c r="A300" s="3229" t="s">
        <v>306</v>
      </c>
      <c r="B300" s="3238" t="s">
        <v>271</v>
      </c>
      <c r="C300" s="3229">
        <v>4740</v>
      </c>
      <c r="D300" s="3229">
        <v>4680</v>
      </c>
      <c r="E300" s="3229">
        <v>5450</v>
      </c>
      <c r="F300" s="3229">
        <v>900</v>
      </c>
      <c r="G300" s="3242">
        <v>2830</v>
      </c>
    </row>
    <row r="301" spans="1:7" s="3218" customFormat="1" ht="14.25" customHeight="1">
      <c r="A301" s="3229" t="s">
        <v>306</v>
      </c>
      <c r="B301" s="3238" t="s">
        <v>276</v>
      </c>
      <c r="C301" s="3229">
        <v>4870</v>
      </c>
      <c r="D301" s="3229">
        <v>4810</v>
      </c>
      <c r="E301" s="3229">
        <v>5560</v>
      </c>
      <c r="F301" s="3229">
        <v>990</v>
      </c>
      <c r="G301" s="3242">
        <v>2910</v>
      </c>
    </row>
    <row r="302" spans="1:7" s="3218" customFormat="1" ht="14.25" customHeight="1">
      <c r="A302" s="3229" t="s">
        <v>306</v>
      </c>
      <c r="B302" s="3229" t="s">
        <v>3146</v>
      </c>
      <c r="C302" s="3229">
        <v>5520</v>
      </c>
      <c r="D302" s="3229">
        <v>5470</v>
      </c>
      <c r="E302" s="3229">
        <v>6410</v>
      </c>
      <c r="F302" s="3229">
        <v>950</v>
      </c>
      <c r="G302" s="3242">
        <v>3300</v>
      </c>
    </row>
    <row r="303" spans="1:7" s="3218" customFormat="1" ht="14.25" customHeight="1">
      <c r="A303" s="3229" t="s">
        <v>306</v>
      </c>
      <c r="B303" s="3229" t="s">
        <v>2958</v>
      </c>
      <c r="C303" s="3229">
        <v>5630</v>
      </c>
      <c r="D303" s="3229">
        <v>5590</v>
      </c>
      <c r="E303" s="3229">
        <v>6550</v>
      </c>
      <c r="F303" s="3229">
        <v>1010</v>
      </c>
      <c r="G303" s="3242">
        <v>3370</v>
      </c>
    </row>
    <row r="304" spans="1:7" s="3218" customFormat="1" ht="14.25" customHeight="1">
      <c r="A304" s="3229" t="s">
        <v>306</v>
      </c>
      <c r="B304" s="3229" t="s">
        <v>2965</v>
      </c>
      <c r="C304" s="3229">
        <v>5680</v>
      </c>
      <c r="D304" s="3229">
        <v>5620</v>
      </c>
      <c r="E304" s="3229">
        <v>6620</v>
      </c>
      <c r="F304" s="3229">
        <v>1050</v>
      </c>
      <c r="G304" s="3242">
        <v>3390</v>
      </c>
    </row>
    <row r="305" spans="1:7" s="3218" customFormat="1" ht="14.25" customHeight="1">
      <c r="A305" s="3229" t="s">
        <v>306</v>
      </c>
      <c r="B305" s="3229" t="s">
        <v>2971</v>
      </c>
      <c r="C305" s="3229">
        <v>5590</v>
      </c>
      <c r="D305" s="3229">
        <v>5530</v>
      </c>
      <c r="E305" s="3229">
        <v>6460</v>
      </c>
      <c r="F305" s="3229">
        <v>900</v>
      </c>
      <c r="G305" s="3242">
        <v>3340</v>
      </c>
    </row>
    <row r="306" spans="1:7" s="3218" customFormat="1" ht="14.25" customHeight="1">
      <c r="A306" s="3229" t="s">
        <v>306</v>
      </c>
      <c r="B306" s="3229" t="s">
        <v>3147</v>
      </c>
      <c r="C306" s="3229">
        <v>5560</v>
      </c>
      <c r="D306" s="3229">
        <v>5510</v>
      </c>
      <c r="E306" s="3229">
        <v>6440</v>
      </c>
      <c r="F306" s="3229">
        <v>900</v>
      </c>
      <c r="G306" s="3242">
        <v>3320</v>
      </c>
    </row>
    <row r="307" spans="1:7" s="3218" customFormat="1" ht="14.25" customHeight="1">
      <c r="A307" s="3229" t="s">
        <v>306</v>
      </c>
      <c r="B307" s="3229" t="s">
        <v>2983</v>
      </c>
      <c r="C307" s="3229">
        <v>5650</v>
      </c>
      <c r="D307" s="3229">
        <v>5600</v>
      </c>
      <c r="E307" s="3229">
        <v>6590</v>
      </c>
      <c r="F307" s="3229">
        <v>930</v>
      </c>
      <c r="G307" s="3242">
        <v>3380</v>
      </c>
    </row>
    <row r="308" spans="1:7" s="3218" customFormat="1" ht="14.25" customHeight="1">
      <c r="A308" s="3229" t="s">
        <v>306</v>
      </c>
      <c r="B308" s="3229" t="s">
        <v>3148</v>
      </c>
      <c r="C308" s="3229">
        <v>5620</v>
      </c>
      <c r="D308" s="3229">
        <v>5580</v>
      </c>
      <c r="E308" s="3229">
        <v>6540</v>
      </c>
      <c r="F308" s="3229">
        <v>910</v>
      </c>
      <c r="G308" s="3242">
        <v>3370</v>
      </c>
    </row>
    <row r="309" spans="1:7" s="3218" customFormat="1" ht="14.25" customHeight="1">
      <c r="A309" s="3229" t="s">
        <v>306</v>
      </c>
      <c r="B309" s="3229" t="s">
        <v>3149</v>
      </c>
      <c r="C309" s="3229">
        <v>5060</v>
      </c>
      <c r="D309" s="3229">
        <v>5020</v>
      </c>
      <c r="E309" s="3229">
        <v>6370</v>
      </c>
      <c r="F309" s="3229">
        <v>800</v>
      </c>
      <c r="G309" s="3242">
        <v>3020</v>
      </c>
    </row>
    <row r="310" spans="1:7" s="3218" customFormat="1" ht="14.25" customHeight="1">
      <c r="A310" s="3229" t="s">
        <v>306</v>
      </c>
      <c r="B310" s="3229" t="s">
        <v>2998</v>
      </c>
      <c r="C310" s="3229">
        <v>5150</v>
      </c>
      <c r="D310" s="3229">
        <v>5110</v>
      </c>
      <c r="E310" s="3229">
        <v>6500</v>
      </c>
      <c r="F310" s="3229">
        <v>880</v>
      </c>
      <c r="G310" s="3242">
        <v>3080</v>
      </c>
    </row>
    <row r="311" spans="1:7" s="3218" customFormat="1" ht="14.25" customHeight="1">
      <c r="A311" s="3229" t="s">
        <v>306</v>
      </c>
      <c r="B311" s="3229" t="s">
        <v>3150</v>
      </c>
      <c r="C311" s="3229">
        <v>4750</v>
      </c>
      <c r="D311" s="3229">
        <v>4710</v>
      </c>
      <c r="E311" s="3229">
        <v>5510</v>
      </c>
      <c r="F311" s="3229">
        <v>880</v>
      </c>
      <c r="G311" s="3242">
        <v>2840</v>
      </c>
    </row>
    <row r="312" spans="1:7" s="3218" customFormat="1" ht="14.25" customHeight="1">
      <c r="A312" s="3229" t="s">
        <v>306</v>
      </c>
      <c r="B312" s="3229" t="s">
        <v>3008</v>
      </c>
      <c r="C312" s="3229">
        <v>4690</v>
      </c>
      <c r="D312" s="3229">
        <v>4640</v>
      </c>
      <c r="E312" s="3229">
        <v>5420</v>
      </c>
      <c r="F312" s="3229">
        <v>800</v>
      </c>
      <c r="G312" s="3242">
        <v>2800</v>
      </c>
    </row>
    <row r="313" spans="1:7" s="3218" customFormat="1" ht="14.25" customHeight="1">
      <c r="A313" s="3229" t="s">
        <v>306</v>
      </c>
      <c r="B313" s="3229" t="s">
        <v>3013</v>
      </c>
      <c r="C313" s="3229">
        <v>4810</v>
      </c>
      <c r="D313" s="3229">
        <v>4760</v>
      </c>
      <c r="E313" s="3229">
        <v>5550</v>
      </c>
      <c r="F313" s="3229">
        <v>920</v>
      </c>
      <c r="G313" s="3242">
        <v>2870</v>
      </c>
    </row>
    <row r="314" spans="1:7" s="3218" customFormat="1" ht="14.25" customHeight="1">
      <c r="A314" s="3229" t="s">
        <v>306</v>
      </c>
      <c r="B314" s="3229" t="s">
        <v>3151</v>
      </c>
      <c r="C314" s="3229"/>
      <c r="D314" s="3229"/>
      <c r="E314" s="3229"/>
      <c r="F314" s="3229">
        <v>1020</v>
      </c>
      <c r="G314" s="3242"/>
    </row>
    <row r="315" spans="1:7" s="3218" customFormat="1" ht="14.25" customHeight="1">
      <c r="A315" s="3229" t="s">
        <v>306</v>
      </c>
      <c r="B315" s="3229" t="s">
        <v>3152</v>
      </c>
      <c r="C315" s="3229"/>
      <c r="D315" s="3229"/>
      <c r="E315" s="3229"/>
      <c r="F315" s="3229">
        <v>1050</v>
      </c>
      <c r="G315" s="3242"/>
    </row>
    <row r="316" spans="1:7" s="3218" customFormat="1" ht="14.25" customHeight="1">
      <c r="A316" s="3229" t="s">
        <v>306</v>
      </c>
      <c r="B316" s="3229" t="s">
        <v>3028</v>
      </c>
      <c r="C316" s="3229"/>
      <c r="D316" s="3229"/>
      <c r="E316" s="3229"/>
      <c r="F316" s="3229">
        <v>900</v>
      </c>
      <c r="G316" s="3242"/>
    </row>
    <row r="317" spans="1:7" s="3218" customFormat="1" ht="14.25" customHeight="1">
      <c r="A317" s="3229" t="s">
        <v>306</v>
      </c>
      <c r="B317" s="3229" t="s">
        <v>3153</v>
      </c>
      <c r="C317" s="3229"/>
      <c r="D317" s="3229"/>
      <c r="E317" s="3229"/>
      <c r="F317" s="3229">
        <v>920</v>
      </c>
      <c r="G317" s="3242"/>
    </row>
    <row r="318" spans="1:7" s="3218" customFormat="1" ht="14.25" customHeight="1">
      <c r="A318" s="3229" t="s">
        <v>306</v>
      </c>
      <c r="B318" s="3229" t="s">
        <v>3154</v>
      </c>
      <c r="C318" s="3229"/>
      <c r="D318" s="3229"/>
      <c r="E318" s="3229"/>
      <c r="F318" s="3229">
        <v>1080</v>
      </c>
      <c r="G318" s="3242"/>
    </row>
    <row r="319" spans="1:7" s="3218" customFormat="1" ht="14.25" customHeight="1">
      <c r="A319" s="3229" t="s">
        <v>306</v>
      </c>
      <c r="B319" s="3229" t="s">
        <v>3041</v>
      </c>
      <c r="C319" s="3229"/>
      <c r="D319" s="3229"/>
      <c r="E319" s="3229"/>
      <c r="F319" s="3229">
        <v>1020</v>
      </c>
      <c r="G319" s="3242"/>
    </row>
    <row r="320" spans="1:7" s="3218" customFormat="1" ht="14.25" customHeight="1">
      <c r="A320" s="3229" t="s">
        <v>306</v>
      </c>
      <c r="B320" s="3229" t="s">
        <v>3044</v>
      </c>
      <c r="C320" s="3229"/>
      <c r="D320" s="3229"/>
      <c r="E320" s="3229"/>
      <c r="F320" s="3229">
        <v>1050</v>
      </c>
      <c r="G320" s="3242"/>
    </row>
    <row r="321" spans="1:7" s="3218" customFormat="1" ht="14.25" customHeight="1">
      <c r="A321" s="3229" t="s">
        <v>306</v>
      </c>
      <c r="B321" s="3229" t="s">
        <v>3046</v>
      </c>
      <c r="C321" s="3229"/>
      <c r="D321" s="3229"/>
      <c r="E321" s="3229"/>
      <c r="F321" s="3229">
        <v>960</v>
      </c>
      <c r="G321" s="3242"/>
    </row>
    <row r="322" spans="1:7" s="3218" customFormat="1" ht="14.25" customHeight="1">
      <c r="A322" s="3229" t="s">
        <v>306</v>
      </c>
      <c r="B322" s="3229" t="s">
        <v>3048</v>
      </c>
      <c r="C322" s="3229"/>
      <c r="D322" s="3229"/>
      <c r="E322" s="3229"/>
      <c r="F322" s="3229">
        <v>960</v>
      </c>
      <c r="G322" s="3242"/>
    </row>
    <row r="323" spans="1:7" s="3218" customFormat="1" ht="14.25" customHeight="1">
      <c r="A323" s="3229" t="s">
        <v>306</v>
      </c>
      <c r="B323" s="3229" t="s">
        <v>3050</v>
      </c>
      <c r="C323" s="3229"/>
      <c r="D323" s="3229"/>
      <c r="E323" s="3229"/>
      <c r="F323" s="3229">
        <v>880</v>
      </c>
      <c r="G323" s="3242"/>
    </row>
    <row r="324" spans="1:7" s="3218" customFormat="1" ht="14.25" customHeight="1">
      <c r="A324" s="3229" t="s">
        <v>306</v>
      </c>
      <c r="B324" s="3229" t="s">
        <v>3052</v>
      </c>
      <c r="C324" s="3229"/>
      <c r="D324" s="3229"/>
      <c r="E324" s="3229"/>
      <c r="F324" s="3229">
        <v>930</v>
      </c>
      <c r="G324" s="3242"/>
    </row>
    <row r="325" spans="1:7" s="3218" customFormat="1" ht="14.25" customHeight="1">
      <c r="A325" s="3229" t="s">
        <v>306</v>
      </c>
      <c r="B325" s="3230" t="s">
        <v>3054</v>
      </c>
      <c r="C325" s="3229"/>
      <c r="D325" s="3229"/>
      <c r="E325" s="3229"/>
      <c r="F325" s="3229">
        <v>900</v>
      </c>
      <c r="G325" s="3242"/>
    </row>
    <row r="326" spans="1:7" s="3218" customFormat="1" ht="14.25" customHeight="1" thickBot="1">
      <c r="A326" s="3243" t="s">
        <v>306</v>
      </c>
      <c r="B326" s="3236" t="s">
        <v>3056</v>
      </c>
      <c r="C326" s="3236"/>
      <c r="D326" s="3236"/>
      <c r="E326" s="3236"/>
      <c r="F326" s="3236">
        <v>790</v>
      </c>
      <c r="G326" s="3244"/>
    </row>
    <row r="327" spans="1:7" s="3218" customFormat="1" ht="14.25" customHeight="1">
      <c r="A327" s="3234" t="s">
        <v>307</v>
      </c>
      <c r="B327" s="3225" t="s">
        <v>3155</v>
      </c>
      <c r="C327" s="3229">
        <v>3750</v>
      </c>
      <c r="D327" s="3229">
        <v>3710</v>
      </c>
      <c r="E327" s="3229">
        <v>4080</v>
      </c>
      <c r="F327" s="3229">
        <v>860</v>
      </c>
      <c r="G327" s="3229">
        <v>2210</v>
      </c>
    </row>
    <row r="328" spans="1:7" s="3218" customFormat="1" ht="14.25" customHeight="1">
      <c r="A328" s="3229" t="s">
        <v>307</v>
      </c>
      <c r="B328" s="3229" t="s">
        <v>136</v>
      </c>
      <c r="C328" s="3229">
        <v>3330</v>
      </c>
      <c r="D328" s="3229">
        <v>3290</v>
      </c>
      <c r="E328" s="3229">
        <v>3610</v>
      </c>
      <c r="F328" s="3229">
        <v>850</v>
      </c>
      <c r="G328" s="3229">
        <v>1960</v>
      </c>
    </row>
    <row r="329" spans="1:7" s="3218" customFormat="1" ht="14.25" customHeight="1">
      <c r="A329" s="3229" t="s">
        <v>307</v>
      </c>
      <c r="B329" s="3229" t="s">
        <v>3156</v>
      </c>
      <c r="C329" s="3229">
        <v>2730</v>
      </c>
      <c r="D329" s="3229">
        <v>2690</v>
      </c>
      <c r="E329" s="3229">
        <v>3100</v>
      </c>
      <c r="F329" s="3229">
        <v>660</v>
      </c>
      <c r="G329" s="3229">
        <v>1610</v>
      </c>
    </row>
    <row r="330" spans="1:7" s="3218" customFormat="1" ht="14.25" customHeight="1">
      <c r="A330" s="3229" t="s">
        <v>307</v>
      </c>
      <c r="B330" s="3229" t="s">
        <v>3157</v>
      </c>
      <c r="C330" s="3229">
        <v>3270</v>
      </c>
      <c r="D330" s="3229">
        <v>3240</v>
      </c>
      <c r="E330" s="3229">
        <v>3560</v>
      </c>
      <c r="F330" s="3229">
        <v>680</v>
      </c>
      <c r="G330" s="3229">
        <v>1940</v>
      </c>
    </row>
    <row r="331" spans="1:7" s="3218" customFormat="1" ht="14.25" customHeight="1">
      <c r="A331" s="3229" t="s">
        <v>307</v>
      </c>
      <c r="B331" s="3229" t="s">
        <v>161</v>
      </c>
      <c r="C331" s="3229">
        <v>3770</v>
      </c>
      <c r="D331" s="3229">
        <v>3740</v>
      </c>
      <c r="E331" s="3229">
        <v>4110</v>
      </c>
      <c r="F331" s="3229">
        <v>730</v>
      </c>
      <c r="G331" s="3229">
        <v>2230</v>
      </c>
    </row>
    <row r="332" spans="1:7" s="3218" customFormat="1" ht="14.25" customHeight="1">
      <c r="A332" s="3229" t="s">
        <v>307</v>
      </c>
      <c r="B332" s="3229" t="s">
        <v>2890</v>
      </c>
      <c r="C332" s="3229">
        <v>3520</v>
      </c>
      <c r="D332" s="3229">
        <v>3480</v>
      </c>
      <c r="E332" s="3229">
        <v>3830</v>
      </c>
      <c r="F332" s="3229">
        <v>720</v>
      </c>
      <c r="G332" s="3229">
        <v>2090</v>
      </c>
    </row>
    <row r="333" spans="1:7" s="3218" customFormat="1" ht="14.25" customHeight="1">
      <c r="A333" s="3229" t="s">
        <v>307</v>
      </c>
      <c r="B333" s="3229" t="s">
        <v>3158</v>
      </c>
      <c r="C333" s="3229">
        <v>3840</v>
      </c>
      <c r="D333" s="3229">
        <v>3800</v>
      </c>
      <c r="E333" s="3229">
        <v>4200</v>
      </c>
      <c r="F333" s="3229">
        <v>760</v>
      </c>
      <c r="G333" s="3229">
        <v>2270</v>
      </c>
    </row>
    <row r="334" spans="1:7" s="3218" customFormat="1" ht="14.25" customHeight="1">
      <c r="A334" s="3229" t="s">
        <v>307</v>
      </c>
      <c r="B334" s="3229" t="s">
        <v>183</v>
      </c>
      <c r="C334" s="3229">
        <v>3960</v>
      </c>
      <c r="D334" s="3229">
        <v>3910</v>
      </c>
      <c r="E334" s="3229">
        <v>4340</v>
      </c>
      <c r="F334" s="3229">
        <v>780</v>
      </c>
      <c r="G334" s="3229">
        <v>2340</v>
      </c>
    </row>
    <row r="335" spans="1:7" s="3218" customFormat="1" ht="14.25" customHeight="1">
      <c r="A335" s="3229" t="s">
        <v>307</v>
      </c>
      <c r="B335" s="3229" t="s">
        <v>193</v>
      </c>
      <c r="C335" s="3229">
        <v>3710</v>
      </c>
      <c r="D335" s="3229">
        <v>3670</v>
      </c>
      <c r="E335" s="3229">
        <v>4030</v>
      </c>
      <c r="F335" s="3229">
        <v>750</v>
      </c>
      <c r="G335" s="3229">
        <v>2200</v>
      </c>
    </row>
    <row r="336" spans="1:7" s="3218" customFormat="1" ht="14.25" customHeight="1">
      <c r="A336" s="3229" t="s">
        <v>307</v>
      </c>
      <c r="B336" s="3229" t="s">
        <v>2900</v>
      </c>
      <c r="C336" s="3229">
        <v>3570</v>
      </c>
      <c r="D336" s="3229">
        <v>3530</v>
      </c>
      <c r="E336" s="3229">
        <v>3880</v>
      </c>
      <c r="F336" s="3229">
        <v>770</v>
      </c>
      <c r="G336" s="3229">
        <v>2110</v>
      </c>
    </row>
    <row r="337" spans="1:10" s="3218" customFormat="1" ht="14.25" customHeight="1">
      <c r="A337" s="3229" t="s">
        <v>307</v>
      </c>
      <c r="B337" s="3229" t="s">
        <v>3159</v>
      </c>
      <c r="C337" s="3229">
        <v>3780</v>
      </c>
      <c r="D337" s="3229">
        <v>3750</v>
      </c>
      <c r="E337" s="3229">
        <v>4130</v>
      </c>
      <c r="F337" s="3229">
        <v>750</v>
      </c>
      <c r="G337" s="3229">
        <v>2240</v>
      </c>
    </row>
    <row r="338" spans="1:10" s="3218" customFormat="1" ht="14.25" customHeight="1">
      <c r="A338" s="3229" t="s">
        <v>307</v>
      </c>
      <c r="B338" s="3229" t="s">
        <v>220</v>
      </c>
      <c r="C338" s="3229">
        <v>3600</v>
      </c>
      <c r="D338" s="3229">
        <v>3570</v>
      </c>
      <c r="E338" s="3229">
        <v>3920</v>
      </c>
      <c r="F338" s="3229">
        <v>790</v>
      </c>
      <c r="G338" s="3229">
        <v>2140</v>
      </c>
    </row>
    <row r="339" spans="1:10" s="3218" customFormat="1" ht="14.25" customHeight="1">
      <c r="A339" s="3229" t="s">
        <v>307</v>
      </c>
      <c r="B339" s="3229" t="s">
        <v>228</v>
      </c>
      <c r="C339" s="3229">
        <v>3540</v>
      </c>
      <c r="D339" s="3229">
        <v>3500</v>
      </c>
      <c r="E339" s="3229">
        <v>3850</v>
      </c>
      <c r="F339" s="3229">
        <v>780</v>
      </c>
      <c r="G339" s="3229">
        <v>2100</v>
      </c>
    </row>
    <row r="340" spans="1:10" s="3218" customFormat="1" ht="14.25" customHeight="1">
      <c r="A340" s="3229" t="s">
        <v>307</v>
      </c>
      <c r="B340" s="3229" t="s">
        <v>3160</v>
      </c>
      <c r="C340" s="3229">
        <v>3850</v>
      </c>
      <c r="D340" s="3229">
        <v>3810</v>
      </c>
      <c r="E340" s="3229">
        <v>4210</v>
      </c>
      <c r="F340" s="3229">
        <v>750</v>
      </c>
      <c r="G340" s="3229">
        <v>2280</v>
      </c>
    </row>
    <row r="341" spans="1:10" s="3218" customFormat="1" ht="14.25" customHeight="1">
      <c r="A341" s="3229" t="s">
        <v>307</v>
      </c>
      <c r="B341" s="3229" t="s">
        <v>207</v>
      </c>
      <c r="C341" s="3229">
        <v>3780</v>
      </c>
      <c r="D341" s="3229">
        <v>3750</v>
      </c>
      <c r="E341" s="3229">
        <v>4140</v>
      </c>
      <c r="F341" s="3229">
        <v>720</v>
      </c>
      <c r="G341" s="3229">
        <v>2240</v>
      </c>
    </row>
    <row r="342" spans="1:10" s="3218" customFormat="1" ht="14.25" customHeight="1">
      <c r="A342" s="3229" t="s">
        <v>307</v>
      </c>
      <c r="B342" s="3229" t="s">
        <v>3161</v>
      </c>
      <c r="C342" s="3229">
        <v>3670</v>
      </c>
      <c r="D342" s="3229">
        <v>3620</v>
      </c>
      <c r="E342" s="3229">
        <v>3990</v>
      </c>
      <c r="F342" s="3229">
        <v>760</v>
      </c>
      <c r="G342" s="3229">
        <v>2170</v>
      </c>
    </row>
    <row r="343" spans="1:10" s="3218" customFormat="1" ht="14.25" customHeight="1">
      <c r="A343" s="3229" t="s">
        <v>307</v>
      </c>
      <c r="B343" s="3229" t="s">
        <v>257</v>
      </c>
      <c r="C343" s="3229">
        <v>3760</v>
      </c>
      <c r="D343" s="3229">
        <v>3720</v>
      </c>
      <c r="E343" s="3229">
        <v>4090</v>
      </c>
      <c r="F343" s="3229">
        <v>780</v>
      </c>
      <c r="G343" s="3229">
        <v>2220</v>
      </c>
    </row>
    <row r="344" spans="1:10" s="3218" customFormat="1" ht="14.25" customHeight="1">
      <c r="A344" s="3229" t="s">
        <v>307</v>
      </c>
      <c r="B344" s="3229" t="s">
        <v>265</v>
      </c>
      <c r="C344" s="3229">
        <v>3680</v>
      </c>
      <c r="D344" s="3229">
        <v>3640</v>
      </c>
      <c r="E344" s="3229">
        <v>4010</v>
      </c>
      <c r="F344" s="3229">
        <v>750</v>
      </c>
      <c r="G344" s="3229">
        <v>2180</v>
      </c>
    </row>
    <row r="345" spans="1:10">
      <c r="A345" s="3229" t="s">
        <v>307</v>
      </c>
      <c r="B345" s="3229" t="s">
        <v>2925</v>
      </c>
      <c r="C345" s="3229">
        <v>3190</v>
      </c>
      <c r="D345" s="3229">
        <v>3140</v>
      </c>
      <c r="E345" s="3229">
        <v>3450</v>
      </c>
      <c r="F345" s="3229">
        <v>720</v>
      </c>
      <c r="G345" s="3229">
        <v>1880</v>
      </c>
      <c r="J345" s="3218"/>
    </row>
    <row r="346" spans="1:10">
      <c r="A346" s="3229" t="s">
        <v>307</v>
      </c>
      <c r="B346" s="3229" t="s">
        <v>3162</v>
      </c>
      <c r="C346" s="3229">
        <v>3630</v>
      </c>
      <c r="D346" s="3229">
        <v>3590</v>
      </c>
      <c r="E346" s="3229">
        <v>3940</v>
      </c>
      <c r="F346" s="3229">
        <v>730</v>
      </c>
      <c r="G346" s="3229">
        <v>2150</v>
      </c>
      <c r="J346" s="3218"/>
    </row>
    <row r="347" spans="1:10">
      <c r="A347" s="3229" t="s">
        <v>307</v>
      </c>
      <c r="B347" s="3229" t="s">
        <v>243</v>
      </c>
      <c r="C347" s="3229">
        <v>3860</v>
      </c>
      <c r="D347" s="3229">
        <v>3820</v>
      </c>
      <c r="E347" s="3229">
        <v>4220</v>
      </c>
      <c r="F347" s="3229">
        <v>750</v>
      </c>
      <c r="G347" s="3229">
        <v>2280</v>
      </c>
      <c r="J347" s="3218"/>
    </row>
    <row r="348" spans="1:10">
      <c r="A348" s="3229" t="s">
        <v>307</v>
      </c>
      <c r="B348" s="3229" t="s">
        <v>2934</v>
      </c>
      <c r="C348" s="3229">
        <v>4000</v>
      </c>
      <c r="D348" s="3229">
        <v>3950</v>
      </c>
      <c r="E348" s="3229">
        <v>4430</v>
      </c>
      <c r="F348" s="3229">
        <v>760</v>
      </c>
      <c r="G348" s="3229">
        <v>2360</v>
      </c>
      <c r="J348" s="3218"/>
    </row>
    <row r="349" spans="1:10">
      <c r="A349" s="3229" t="s">
        <v>307</v>
      </c>
      <c r="B349" s="3229" t="s">
        <v>2939</v>
      </c>
      <c r="C349" s="3229">
        <v>3820</v>
      </c>
      <c r="D349" s="3229">
        <v>3780</v>
      </c>
      <c r="E349" s="3229">
        <v>4170</v>
      </c>
      <c r="F349" s="3229">
        <v>710</v>
      </c>
      <c r="G349" s="3229">
        <v>2260</v>
      </c>
      <c r="J349" s="3218"/>
    </row>
    <row r="350" spans="1:10">
      <c r="A350" s="3229" t="s">
        <v>307</v>
      </c>
      <c r="B350" s="3229" t="s">
        <v>3163</v>
      </c>
      <c r="C350" s="3229">
        <v>3760</v>
      </c>
      <c r="D350" s="3229">
        <v>3730</v>
      </c>
      <c r="E350" s="3229">
        <v>4100</v>
      </c>
      <c r="F350" s="3229">
        <v>800</v>
      </c>
      <c r="G350" s="3229">
        <v>2230</v>
      </c>
      <c r="J350" s="3218"/>
    </row>
    <row r="351" spans="1:10">
      <c r="A351" s="3229" t="s">
        <v>307</v>
      </c>
      <c r="B351" s="3229" t="s">
        <v>2947</v>
      </c>
      <c r="C351" s="3229">
        <v>3610</v>
      </c>
      <c r="D351" s="3229">
        <v>3580</v>
      </c>
      <c r="E351" s="3229">
        <v>3930</v>
      </c>
      <c r="F351" s="3229">
        <v>700</v>
      </c>
      <c r="G351" s="3229">
        <v>2140</v>
      </c>
      <c r="J351" s="3218"/>
    </row>
    <row r="352" spans="1:10">
      <c r="A352" s="3229" t="s">
        <v>307</v>
      </c>
      <c r="B352" s="3229" t="s">
        <v>2952</v>
      </c>
      <c r="C352" s="3229">
        <v>3670</v>
      </c>
      <c r="D352" s="3229">
        <v>3630</v>
      </c>
      <c r="E352" s="3229">
        <v>4000</v>
      </c>
      <c r="F352" s="3229">
        <v>750</v>
      </c>
      <c r="G352" s="3229">
        <v>2180</v>
      </c>
    </row>
    <row r="353" spans="1:7" s="3222" customFormat="1">
      <c r="A353" s="3229" t="s">
        <v>307</v>
      </c>
      <c r="B353" s="3229" t="s">
        <v>3164</v>
      </c>
      <c r="C353" s="3229">
        <v>3190</v>
      </c>
      <c r="D353" s="3229">
        <v>3150</v>
      </c>
      <c r="E353" s="3229">
        <v>3640</v>
      </c>
      <c r="F353" s="3229">
        <v>630</v>
      </c>
      <c r="G353" s="3229">
        <v>1890</v>
      </c>
    </row>
    <row r="354" spans="1:7" s="3222" customFormat="1">
      <c r="A354" s="3229" t="s">
        <v>307</v>
      </c>
      <c r="B354" s="3229" t="s">
        <v>280</v>
      </c>
      <c r="C354" s="3229">
        <v>3450</v>
      </c>
      <c r="D354" s="3229">
        <v>3420</v>
      </c>
      <c r="E354" s="3229">
        <v>3960</v>
      </c>
      <c r="F354" s="3229">
        <v>660</v>
      </c>
      <c r="G354" s="3229">
        <v>2050</v>
      </c>
    </row>
    <row r="355" spans="1:7" s="3222" customFormat="1">
      <c r="A355" s="3229" t="s">
        <v>307</v>
      </c>
      <c r="B355" s="3229" t="s">
        <v>2972</v>
      </c>
      <c r="C355" s="3229">
        <v>3650</v>
      </c>
      <c r="D355" s="3229">
        <v>3610</v>
      </c>
      <c r="E355" s="3229">
        <v>4200</v>
      </c>
      <c r="F355" s="3229">
        <v>640</v>
      </c>
      <c r="G355" s="3229">
        <v>2160</v>
      </c>
    </row>
    <row r="356" spans="1:7" s="3222" customFormat="1">
      <c r="A356" s="3229" t="s">
        <v>307</v>
      </c>
      <c r="B356" s="3229" t="s">
        <v>2979</v>
      </c>
      <c r="C356" s="3229">
        <v>3260</v>
      </c>
      <c r="D356" s="3229">
        <v>3230</v>
      </c>
      <c r="E356" s="3229">
        <v>3740</v>
      </c>
      <c r="F356" s="3229">
        <v>600</v>
      </c>
      <c r="G356" s="3229">
        <v>1930</v>
      </c>
    </row>
    <row r="357" spans="1:7" s="3222" customFormat="1" ht="12" thickBot="1">
      <c r="A357" s="3237" t="s">
        <v>307</v>
      </c>
      <c r="B357" s="3240" t="s">
        <v>3165</v>
      </c>
      <c r="C357" s="3240">
        <v>3690</v>
      </c>
      <c r="D357" s="3240">
        <v>3650</v>
      </c>
      <c r="E357" s="3240">
        <v>4020</v>
      </c>
      <c r="F357" s="3240">
        <v>700</v>
      </c>
      <c r="G357" s="3240">
        <v>2190</v>
      </c>
    </row>
    <row r="358" spans="1:7" s="3222" customFormat="1">
      <c r="A358" s="3234" t="s">
        <v>3166</v>
      </c>
      <c r="B358" s="3225" t="s">
        <v>3167</v>
      </c>
      <c r="C358" s="3225">
        <v>2080</v>
      </c>
      <c r="D358" s="3225">
        <v>2040</v>
      </c>
      <c r="E358" s="3225">
        <v>2010</v>
      </c>
      <c r="F358" s="3225">
        <v>530</v>
      </c>
      <c r="G358" s="3241">
        <v>1230</v>
      </c>
    </row>
    <row r="359" spans="1:7" s="3222" customFormat="1">
      <c r="A359" s="3229" t="s">
        <v>3166</v>
      </c>
      <c r="B359" s="3229" t="s">
        <v>3168</v>
      </c>
      <c r="C359" s="3229">
        <v>1850</v>
      </c>
      <c r="D359" s="3229">
        <v>1820</v>
      </c>
      <c r="E359" s="3229">
        <v>1780</v>
      </c>
      <c r="F359" s="3229">
        <v>520</v>
      </c>
      <c r="G359" s="3242">
        <v>1100</v>
      </c>
    </row>
    <row r="360" spans="1:7" s="3222" customFormat="1">
      <c r="A360" s="3229" t="s">
        <v>3166</v>
      </c>
      <c r="B360" s="3229" t="s">
        <v>3169</v>
      </c>
      <c r="C360" s="3229">
        <v>2020</v>
      </c>
      <c r="D360" s="3229">
        <v>1990</v>
      </c>
      <c r="E360" s="3229">
        <v>1950</v>
      </c>
      <c r="F360" s="3229">
        <v>500</v>
      </c>
      <c r="G360" s="3242">
        <v>1200</v>
      </c>
    </row>
    <row r="361" spans="1:7" s="3222" customFormat="1">
      <c r="A361" s="3229" t="s">
        <v>3166</v>
      </c>
      <c r="B361" s="3229" t="s">
        <v>153</v>
      </c>
      <c r="C361" s="3229">
        <v>2260</v>
      </c>
      <c r="D361" s="3229">
        <v>2220</v>
      </c>
      <c r="E361" s="3229">
        <v>2180</v>
      </c>
      <c r="F361" s="3229">
        <v>580</v>
      </c>
      <c r="G361" s="3242">
        <v>1340</v>
      </c>
    </row>
    <row r="362" spans="1:7" s="3222" customFormat="1">
      <c r="A362" s="3229" t="s">
        <v>3166</v>
      </c>
      <c r="B362" s="3229" t="s">
        <v>3170</v>
      </c>
      <c r="C362" s="3229">
        <v>2650</v>
      </c>
      <c r="D362" s="3229">
        <v>2610</v>
      </c>
      <c r="E362" s="3229">
        <v>2570</v>
      </c>
      <c r="F362" s="3229">
        <v>630</v>
      </c>
      <c r="G362" s="3242">
        <v>1570</v>
      </c>
    </row>
    <row r="363" spans="1:7" s="3222" customFormat="1">
      <c r="A363" s="3229" t="s">
        <v>3166</v>
      </c>
      <c r="B363" s="3229" t="s">
        <v>2891</v>
      </c>
      <c r="C363" s="3229">
        <v>2390</v>
      </c>
      <c r="D363" s="3229">
        <v>2360</v>
      </c>
      <c r="E363" s="3229">
        <v>2320</v>
      </c>
      <c r="F363" s="3229">
        <v>600</v>
      </c>
      <c r="G363" s="3242">
        <v>1420</v>
      </c>
    </row>
    <row r="364" spans="1:7" s="3222" customFormat="1">
      <c r="A364" s="3229" t="s">
        <v>3166</v>
      </c>
      <c r="B364" s="3229" t="s">
        <v>3171</v>
      </c>
      <c r="C364" s="3229">
        <v>2050</v>
      </c>
      <c r="D364" s="3229">
        <v>2030</v>
      </c>
      <c r="E364" s="3229">
        <v>1990</v>
      </c>
      <c r="F364" s="3229">
        <v>550</v>
      </c>
      <c r="G364" s="3242">
        <v>1220</v>
      </c>
    </row>
    <row r="365" spans="1:7" s="3222" customFormat="1">
      <c r="A365" s="3229" t="s">
        <v>3166</v>
      </c>
      <c r="B365" s="3229" t="s">
        <v>200</v>
      </c>
      <c r="C365" s="3229">
        <v>2140</v>
      </c>
      <c r="D365" s="3229">
        <v>2100</v>
      </c>
      <c r="E365" s="3229">
        <v>2060</v>
      </c>
      <c r="F365" s="3229">
        <v>540</v>
      </c>
      <c r="G365" s="3242">
        <v>1270</v>
      </c>
    </row>
    <row r="366" spans="1:7" s="3222" customFormat="1">
      <c r="A366" s="3229" t="s">
        <v>3166</v>
      </c>
      <c r="B366" s="3229" t="s">
        <v>2898</v>
      </c>
      <c r="C366" s="3229">
        <v>2410</v>
      </c>
      <c r="D366" s="3229">
        <v>2370</v>
      </c>
      <c r="E366" s="3229">
        <v>2330</v>
      </c>
      <c r="F366" s="3229">
        <v>570</v>
      </c>
      <c r="G366" s="3242">
        <v>1440</v>
      </c>
    </row>
    <row r="367" spans="1:7" s="3222" customFormat="1">
      <c r="A367" s="3229" t="s">
        <v>3166</v>
      </c>
      <c r="B367" s="3229" t="s">
        <v>3172</v>
      </c>
      <c r="C367" s="3229">
        <v>2300</v>
      </c>
      <c r="D367" s="3229">
        <v>2260</v>
      </c>
      <c r="E367" s="3229">
        <v>2220</v>
      </c>
      <c r="F367" s="3229">
        <v>560</v>
      </c>
      <c r="G367" s="3242">
        <v>1370</v>
      </c>
    </row>
    <row r="368" spans="1:7" s="3222" customFormat="1">
      <c r="A368" s="3229" t="s">
        <v>3166</v>
      </c>
      <c r="B368" s="3229" t="s">
        <v>3173</v>
      </c>
      <c r="C368" s="3229">
        <v>2430</v>
      </c>
      <c r="D368" s="3229">
        <v>2390</v>
      </c>
      <c r="E368" s="3229">
        <v>2350</v>
      </c>
      <c r="F368" s="3229">
        <v>570</v>
      </c>
      <c r="G368" s="3242">
        <v>1450</v>
      </c>
    </row>
    <row r="369" spans="1:7" s="3222" customFormat="1">
      <c r="A369" s="3229" t="s">
        <v>3166</v>
      </c>
      <c r="B369" s="3229" t="s">
        <v>214</v>
      </c>
      <c r="C369" s="3229">
        <v>2320</v>
      </c>
      <c r="D369" s="3229">
        <v>2290</v>
      </c>
      <c r="E369" s="3229">
        <v>2250</v>
      </c>
      <c r="F369" s="3229">
        <v>550</v>
      </c>
      <c r="G369" s="3242">
        <v>1380</v>
      </c>
    </row>
    <row r="370" spans="1:7" s="3222" customFormat="1">
      <c r="A370" s="3229" t="s">
        <v>3166</v>
      </c>
      <c r="B370" s="3229" t="s">
        <v>221</v>
      </c>
      <c r="C370" s="3229">
        <v>2190</v>
      </c>
      <c r="D370" s="3229">
        <v>2170</v>
      </c>
      <c r="E370" s="3229">
        <v>2130</v>
      </c>
      <c r="F370" s="3229">
        <v>530</v>
      </c>
      <c r="G370" s="3242">
        <v>1310</v>
      </c>
    </row>
    <row r="371" spans="1:7" s="3222" customFormat="1">
      <c r="A371" s="3229" t="s">
        <v>3166</v>
      </c>
      <c r="B371" s="3229" t="s">
        <v>229</v>
      </c>
      <c r="C371" s="3229">
        <v>2460</v>
      </c>
      <c r="D371" s="3229">
        <v>2420</v>
      </c>
      <c r="E371" s="3229">
        <v>2370</v>
      </c>
      <c r="F371" s="3229">
        <v>560</v>
      </c>
      <c r="G371" s="3242">
        <v>1470</v>
      </c>
    </row>
    <row r="372" spans="1:7" s="3222" customFormat="1">
      <c r="A372" s="3229" t="s">
        <v>3166</v>
      </c>
      <c r="B372" s="3229" t="s">
        <v>3174</v>
      </c>
      <c r="C372" s="3229">
        <v>2250</v>
      </c>
      <c r="D372" s="3229">
        <v>2210</v>
      </c>
      <c r="E372" s="3229">
        <v>2180</v>
      </c>
      <c r="F372" s="3229">
        <v>550</v>
      </c>
      <c r="G372" s="3242">
        <v>1340</v>
      </c>
    </row>
    <row r="373" spans="1:7" s="3222" customFormat="1">
      <c r="A373" s="3229" t="s">
        <v>3166</v>
      </c>
      <c r="B373" s="3229" t="s">
        <v>258</v>
      </c>
      <c r="C373" s="3229">
        <v>2210</v>
      </c>
      <c r="D373" s="3229">
        <v>2190</v>
      </c>
      <c r="E373" s="3229">
        <v>2150</v>
      </c>
      <c r="F373" s="3229">
        <v>530</v>
      </c>
      <c r="G373" s="3242">
        <v>1320</v>
      </c>
    </row>
    <row r="374" spans="1:7" s="3222" customFormat="1">
      <c r="A374" s="3229" t="s">
        <v>3166</v>
      </c>
      <c r="B374" s="3229" t="s">
        <v>266</v>
      </c>
      <c r="C374" s="3229">
        <v>2320</v>
      </c>
      <c r="D374" s="3229">
        <v>2280</v>
      </c>
      <c r="E374" s="3229">
        <v>2230</v>
      </c>
      <c r="F374" s="3229">
        <v>580</v>
      </c>
      <c r="G374" s="3242">
        <v>1380</v>
      </c>
    </row>
    <row r="375" spans="1:7" s="3222" customFormat="1">
      <c r="A375" s="3229" t="s">
        <v>3166</v>
      </c>
      <c r="B375" s="3229" t="s">
        <v>3175</v>
      </c>
      <c r="C375" s="3229">
        <v>2090</v>
      </c>
      <c r="D375" s="3229">
        <v>2050</v>
      </c>
      <c r="E375" s="3229">
        <v>2020</v>
      </c>
      <c r="F375" s="3229">
        <v>520</v>
      </c>
      <c r="G375" s="3242">
        <v>1240</v>
      </c>
    </row>
    <row r="376" spans="1:7" s="3222" customFormat="1">
      <c r="A376" s="3229" t="s">
        <v>3166</v>
      </c>
      <c r="B376" s="3229" t="s">
        <v>277</v>
      </c>
      <c r="C376" s="3229">
        <v>2010</v>
      </c>
      <c r="D376" s="3229">
        <v>1980</v>
      </c>
      <c r="E376" s="3229">
        <v>1940</v>
      </c>
      <c r="F376" s="3229">
        <v>540</v>
      </c>
      <c r="G376" s="3242">
        <v>1190</v>
      </c>
    </row>
    <row r="377" spans="1:7" s="3222" customFormat="1" ht="12" thickBot="1">
      <c r="A377" s="3237" t="s">
        <v>3166</v>
      </c>
      <c r="B377" s="3240" t="s">
        <v>2928</v>
      </c>
      <c r="C377" s="3240">
        <v>1930</v>
      </c>
      <c r="D377" s="3240">
        <v>1890</v>
      </c>
      <c r="E377" s="3240">
        <v>1860</v>
      </c>
      <c r="F377" s="3240">
        <v>530</v>
      </c>
      <c r="G377" s="3245">
        <v>1150</v>
      </c>
    </row>
    <row r="378" spans="1:7" s="3222" customFormat="1">
      <c r="A378" s="3246" t="s">
        <v>3176</v>
      </c>
      <c r="B378" s="3225" t="s">
        <v>3177</v>
      </c>
      <c r="C378" s="3225">
        <v>1520</v>
      </c>
      <c r="D378" s="3225">
        <v>1490</v>
      </c>
      <c r="E378" s="3225">
        <v>1460</v>
      </c>
      <c r="F378" s="3225">
        <v>460</v>
      </c>
      <c r="G378" s="3241">
        <v>940</v>
      </c>
    </row>
    <row r="379" spans="1:7" s="3222" customFormat="1">
      <c r="A379" s="3247" t="s">
        <v>3176</v>
      </c>
      <c r="B379" s="3229" t="s">
        <v>3178</v>
      </c>
      <c r="C379" s="3229">
        <v>1500</v>
      </c>
      <c r="D379" s="3229">
        <v>1470</v>
      </c>
      <c r="E379" s="3229">
        <v>1430</v>
      </c>
      <c r="F379" s="3229">
        <v>460</v>
      </c>
      <c r="G379" s="3242">
        <v>920</v>
      </c>
    </row>
    <row r="380" spans="1:7" s="3222" customFormat="1">
      <c r="A380" s="3247" t="s">
        <v>3176</v>
      </c>
      <c r="B380" s="3229" t="s">
        <v>3179</v>
      </c>
      <c r="C380" s="3229">
        <v>1620</v>
      </c>
      <c r="D380" s="3229">
        <v>1590</v>
      </c>
      <c r="E380" s="3229">
        <v>1560</v>
      </c>
      <c r="F380" s="3229">
        <v>480</v>
      </c>
      <c r="G380" s="3242">
        <v>1000</v>
      </c>
    </row>
    <row r="381" spans="1:7" s="3222" customFormat="1">
      <c r="A381" s="3247" t="s">
        <v>3176</v>
      </c>
      <c r="B381" s="3229" t="s">
        <v>3180</v>
      </c>
      <c r="C381" s="3229">
        <v>1460</v>
      </c>
      <c r="D381" s="3229">
        <v>1430</v>
      </c>
      <c r="E381" s="3229">
        <v>1390</v>
      </c>
      <c r="F381" s="3229">
        <v>450</v>
      </c>
      <c r="G381" s="3242">
        <v>900</v>
      </c>
    </row>
    <row r="382" spans="1:7" s="3222" customFormat="1">
      <c r="A382" s="3247" t="s">
        <v>3176</v>
      </c>
      <c r="B382" s="3229" t="s">
        <v>3181</v>
      </c>
      <c r="C382" s="3229">
        <v>1310</v>
      </c>
      <c r="D382" s="3229">
        <v>1280</v>
      </c>
      <c r="E382" s="3229">
        <v>1250</v>
      </c>
      <c r="F382" s="3229">
        <v>440</v>
      </c>
      <c r="G382" s="3242">
        <v>800</v>
      </c>
    </row>
    <row r="383" spans="1:7" s="3222" customFormat="1">
      <c r="A383" s="3247" t="s">
        <v>3176</v>
      </c>
      <c r="B383" s="3229" t="s">
        <v>3182</v>
      </c>
      <c r="C383" s="3229">
        <v>1260</v>
      </c>
      <c r="D383" s="3229">
        <v>1230</v>
      </c>
      <c r="E383" s="3229">
        <v>1200</v>
      </c>
      <c r="F383" s="3229">
        <v>420</v>
      </c>
      <c r="G383" s="3242">
        <v>770</v>
      </c>
    </row>
    <row r="384" spans="1:7" s="3222" customFormat="1" ht="12" thickBot="1">
      <c r="A384" s="3248" t="s">
        <v>3176</v>
      </c>
      <c r="B384" s="3236" t="s">
        <v>3183</v>
      </c>
      <c r="C384" s="3236">
        <v>1170</v>
      </c>
      <c r="D384" s="3236">
        <v>1140</v>
      </c>
      <c r="E384" s="3236">
        <v>1120</v>
      </c>
      <c r="F384" s="3236">
        <v>400</v>
      </c>
      <c r="G384" s="3244">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5" customWidth="1"/>
    <col min="2" max="2" width="20" style="3285" customWidth="1"/>
    <col min="3" max="7" width="8.875" style="3249"/>
    <col min="8" max="16384" width="8.875" style="3250"/>
  </cols>
  <sheetData>
    <row r="1" spans="1:7">
      <c r="A1" s="3837" t="s">
        <v>3184</v>
      </c>
      <c r="B1" s="3837"/>
    </row>
    <row r="2" spans="1:7" ht="14.25" thickBot="1">
      <c r="A2" s="3251"/>
      <c r="B2" s="3251"/>
    </row>
    <row r="3" spans="1:7" ht="14.25" thickBot="1">
      <c r="A3" s="3251"/>
      <c r="B3" s="3251"/>
      <c r="C3" s="3252" t="s">
        <v>2812</v>
      </c>
      <c r="D3" s="3252" t="s">
        <v>2870</v>
      </c>
      <c r="E3" s="3252" t="s">
        <v>2814</v>
      </c>
      <c r="F3" s="3252" t="s">
        <v>2871</v>
      </c>
      <c r="G3" s="3252" t="s">
        <v>2632</v>
      </c>
    </row>
    <row r="4" spans="1:7" ht="14.25" thickBot="1">
      <c r="A4" s="3253" t="s">
        <v>2869</v>
      </c>
      <c r="B4" s="3254" t="s">
        <v>2875</v>
      </c>
      <c r="C4" s="3252"/>
      <c r="D4" s="3252"/>
      <c r="E4" s="3252"/>
      <c r="F4" s="3252"/>
      <c r="G4" s="3252"/>
    </row>
    <row r="5" spans="1:7">
      <c r="A5" s="3255" t="s">
        <v>2843</v>
      </c>
      <c r="B5" s="3256" t="s">
        <v>2857</v>
      </c>
      <c r="C5" s="3257">
        <v>9.8000000000000004E-2</v>
      </c>
      <c r="D5" s="3257">
        <v>8.6999999999999994E-2</v>
      </c>
      <c r="E5" s="3257">
        <v>8.6999999999999994E-2</v>
      </c>
      <c r="F5" s="3257">
        <v>9.8000000000000004E-2</v>
      </c>
      <c r="G5" s="3258">
        <v>9.5000000000000001E-2</v>
      </c>
    </row>
    <row r="6" spans="1:7">
      <c r="A6" s="3259" t="s">
        <v>144</v>
      </c>
      <c r="B6" s="3260" t="s">
        <v>2872</v>
      </c>
      <c r="C6" s="3261">
        <v>9.8000000000000004E-2</v>
      </c>
      <c r="D6" s="3261">
        <v>9.8000000000000004E-2</v>
      </c>
      <c r="E6" s="3261">
        <v>9.8000000000000004E-2</v>
      </c>
      <c r="F6" s="3261">
        <v>0.1</v>
      </c>
      <c r="G6" s="3262">
        <v>9.9000000000000005E-2</v>
      </c>
    </row>
    <row r="7" spans="1:7">
      <c r="A7" s="3259" t="s">
        <v>144</v>
      </c>
      <c r="B7" s="3260" t="s">
        <v>137</v>
      </c>
      <c r="C7" s="3261">
        <v>9.7000000000000003E-2</v>
      </c>
      <c r="D7" s="3261">
        <v>9.7000000000000003E-2</v>
      </c>
      <c r="E7" s="3261">
        <v>9.6000000000000002E-2</v>
      </c>
      <c r="F7" s="3261">
        <v>0.1</v>
      </c>
      <c r="G7" s="3262">
        <v>9.8000000000000004E-2</v>
      </c>
    </row>
    <row r="8" spans="1:7">
      <c r="A8" s="3259" t="s">
        <v>144</v>
      </c>
      <c r="B8" s="3260" t="s">
        <v>145</v>
      </c>
      <c r="C8" s="3261">
        <v>8.1000000000000003E-2</v>
      </c>
      <c r="D8" s="3261">
        <v>8.2000000000000003E-2</v>
      </c>
      <c r="E8" s="3261">
        <v>7.0000000000000007E-2</v>
      </c>
      <c r="F8" s="3261">
        <v>9.6000000000000002E-2</v>
      </c>
      <c r="G8" s="3262">
        <v>8.8999999999999996E-2</v>
      </c>
    </row>
    <row r="9" spans="1:7" ht="14.25" thickBot="1">
      <c r="A9" s="3263" t="s">
        <v>144</v>
      </c>
      <c r="B9" s="3264" t="s">
        <v>154</v>
      </c>
      <c r="C9" s="3265">
        <v>0.1</v>
      </c>
      <c r="D9" s="3265">
        <v>0.1</v>
      </c>
      <c r="E9" s="3265">
        <v>0.1</v>
      </c>
      <c r="F9" s="3266"/>
      <c r="G9" s="3267">
        <v>0.1</v>
      </c>
    </row>
    <row r="10" spans="1:7">
      <c r="A10" s="3255" t="s">
        <v>184</v>
      </c>
      <c r="B10" s="3256" t="s">
        <v>2858</v>
      </c>
      <c r="C10" s="3257">
        <v>6.7000000000000004E-2</v>
      </c>
      <c r="D10" s="3257">
        <v>7.9000000000000001E-2</v>
      </c>
      <c r="E10" s="3257">
        <v>7.9000000000000001E-2</v>
      </c>
      <c r="F10" s="3257">
        <v>0.1</v>
      </c>
      <c r="G10" s="3258">
        <v>9.0999999999999998E-2</v>
      </c>
    </row>
    <row r="11" spans="1:7">
      <c r="A11" s="3259" t="s">
        <v>184</v>
      </c>
      <c r="B11" s="3260" t="s">
        <v>128</v>
      </c>
      <c r="C11" s="3261">
        <v>0.05</v>
      </c>
      <c r="D11" s="3261">
        <v>5.2999999999999999E-2</v>
      </c>
      <c r="E11" s="3261">
        <v>6.3E-2</v>
      </c>
      <c r="F11" s="3261">
        <v>0.1</v>
      </c>
      <c r="G11" s="3262">
        <v>7.1999999999999995E-2</v>
      </c>
    </row>
    <row r="12" spans="1:7">
      <c r="A12" s="3259" t="s">
        <v>184</v>
      </c>
      <c r="B12" s="3260" t="s">
        <v>111</v>
      </c>
      <c r="C12" s="3261">
        <v>5.2999999999999999E-2</v>
      </c>
      <c r="D12" s="3261">
        <v>0.09</v>
      </c>
      <c r="E12" s="3261">
        <v>7.1999999999999995E-2</v>
      </c>
      <c r="F12" s="3261">
        <v>0.1</v>
      </c>
      <c r="G12" s="3262">
        <v>9.7000000000000003E-2</v>
      </c>
    </row>
    <row r="13" spans="1:7">
      <c r="A13" s="3259" t="s">
        <v>184</v>
      </c>
      <c r="B13" s="3260" t="s">
        <v>146</v>
      </c>
      <c r="C13" s="3261">
        <v>9.7000000000000003E-2</v>
      </c>
      <c r="D13" s="3261">
        <v>9.1999999999999998E-2</v>
      </c>
      <c r="E13" s="3261">
        <v>9.5000000000000001E-2</v>
      </c>
      <c r="F13" s="3261">
        <v>0.1</v>
      </c>
      <c r="G13" s="3262">
        <v>9.7000000000000003E-2</v>
      </c>
    </row>
    <row r="14" spans="1:7">
      <c r="A14" s="3259" t="s">
        <v>184</v>
      </c>
      <c r="B14" s="3260" t="s">
        <v>155</v>
      </c>
      <c r="C14" s="3261">
        <v>9.7000000000000003E-2</v>
      </c>
      <c r="D14" s="3261">
        <v>9.7000000000000003E-2</v>
      </c>
      <c r="E14" s="3261">
        <v>9.7000000000000003E-2</v>
      </c>
      <c r="F14" s="3261">
        <v>0.1</v>
      </c>
      <c r="G14" s="3262">
        <v>9.8000000000000004E-2</v>
      </c>
    </row>
    <row r="15" spans="1:7">
      <c r="A15" s="3259" t="s">
        <v>184</v>
      </c>
      <c r="B15" s="3260" t="s">
        <v>162</v>
      </c>
      <c r="C15" s="3261">
        <v>9.8000000000000004E-2</v>
      </c>
      <c r="D15" s="3261">
        <v>9.0999999999999998E-2</v>
      </c>
      <c r="E15" s="3261">
        <v>0.06</v>
      </c>
      <c r="F15" s="3261">
        <v>0.1</v>
      </c>
      <c r="G15" s="3262">
        <v>9.7000000000000003E-2</v>
      </c>
    </row>
    <row r="16" spans="1:7">
      <c r="A16" s="3259" t="s">
        <v>184</v>
      </c>
      <c r="B16" s="3260" t="s">
        <v>168</v>
      </c>
      <c r="C16" s="3261">
        <v>9.8000000000000004E-2</v>
      </c>
      <c r="D16" s="3261">
        <v>9.7000000000000003E-2</v>
      </c>
      <c r="E16" s="3261">
        <v>9.5000000000000001E-2</v>
      </c>
      <c r="F16" s="3261">
        <v>0.1</v>
      </c>
      <c r="G16" s="3262">
        <v>9.9000000000000005E-2</v>
      </c>
    </row>
    <row r="17" spans="1:7">
      <c r="A17" s="3259" t="s">
        <v>184</v>
      </c>
      <c r="B17" s="3260" t="s">
        <v>175</v>
      </c>
      <c r="C17" s="3261">
        <v>8.8999999999999996E-2</v>
      </c>
      <c r="D17" s="3261">
        <v>9.1999999999999998E-2</v>
      </c>
      <c r="E17" s="3261">
        <v>6.0999999999999999E-2</v>
      </c>
      <c r="F17" s="3261">
        <v>0.1</v>
      </c>
      <c r="G17" s="3262">
        <v>9.7000000000000003E-2</v>
      </c>
    </row>
    <row r="18" spans="1:7">
      <c r="A18" s="3259" t="s">
        <v>184</v>
      </c>
      <c r="B18" s="3260" t="s">
        <v>185</v>
      </c>
      <c r="C18" s="3261">
        <v>9.8000000000000004E-2</v>
      </c>
      <c r="D18" s="3261">
        <v>9.8000000000000004E-2</v>
      </c>
      <c r="E18" s="3261">
        <v>9.8000000000000004E-2</v>
      </c>
      <c r="F18" s="3268"/>
      <c r="G18" s="3262">
        <v>9.9000000000000005E-2</v>
      </c>
    </row>
    <row r="19" spans="1:7">
      <c r="A19" s="3259" t="s">
        <v>184</v>
      </c>
      <c r="B19" s="3260" t="s">
        <v>194</v>
      </c>
      <c r="C19" s="3261">
        <v>9.9000000000000005E-2</v>
      </c>
      <c r="D19" s="3261">
        <v>7.3999999999999996E-2</v>
      </c>
      <c r="E19" s="3261">
        <v>8.1000000000000003E-2</v>
      </c>
      <c r="F19" s="3268"/>
      <c r="G19" s="3262">
        <v>9.2999999999999999E-2</v>
      </c>
    </row>
    <row r="20" spans="1:7">
      <c r="A20" s="3259" t="s">
        <v>184</v>
      </c>
      <c r="B20" s="3260" t="s">
        <v>201</v>
      </c>
      <c r="C20" s="3261">
        <v>0.1</v>
      </c>
      <c r="D20" s="3261">
        <v>8.8999999999999996E-2</v>
      </c>
      <c r="E20" s="3261">
        <v>8.8999999999999996E-2</v>
      </c>
      <c r="F20" s="3268"/>
      <c r="G20" s="3262">
        <v>9.5000000000000001E-2</v>
      </c>
    </row>
    <row r="21" spans="1:7">
      <c r="A21" s="3259" t="s">
        <v>184</v>
      </c>
      <c r="B21" s="3260" t="s">
        <v>208</v>
      </c>
      <c r="C21" s="3261">
        <v>0.1</v>
      </c>
      <c r="D21" s="3261">
        <v>9.0999999999999998E-2</v>
      </c>
      <c r="E21" s="3261">
        <v>8.2000000000000003E-2</v>
      </c>
      <c r="F21" s="3268"/>
      <c r="G21" s="3262">
        <v>9.7000000000000003E-2</v>
      </c>
    </row>
    <row r="22" spans="1:7">
      <c r="A22" s="3259" t="s">
        <v>184</v>
      </c>
      <c r="B22" s="3260" t="s">
        <v>2908</v>
      </c>
      <c r="C22" s="3261">
        <v>9.5000000000000001E-2</v>
      </c>
      <c r="D22" s="3261">
        <v>9.9000000000000005E-2</v>
      </c>
      <c r="E22" s="3261">
        <v>9.8000000000000004E-2</v>
      </c>
      <c r="F22" s="3268"/>
      <c r="G22" s="3262">
        <v>0.1</v>
      </c>
    </row>
    <row r="23" spans="1:7">
      <c r="A23" s="3259" t="s">
        <v>184</v>
      </c>
      <c r="B23" s="3260" t="s">
        <v>222</v>
      </c>
      <c r="C23" s="3261">
        <v>9.9000000000000005E-2</v>
      </c>
      <c r="D23" s="3261">
        <v>0.1</v>
      </c>
      <c r="E23" s="3261">
        <v>0.1</v>
      </c>
      <c r="F23" s="3268"/>
      <c r="G23" s="3262">
        <v>0.1</v>
      </c>
    </row>
    <row r="24" spans="1:7">
      <c r="A24" s="3259" t="s">
        <v>184</v>
      </c>
      <c r="B24" s="3260" t="s">
        <v>230</v>
      </c>
      <c r="C24" s="3261">
        <v>9.5000000000000001E-2</v>
      </c>
      <c r="D24" s="3261">
        <v>0.1</v>
      </c>
      <c r="E24" s="3261">
        <v>9.8000000000000004E-2</v>
      </c>
      <c r="F24" s="3268"/>
      <c r="G24" s="3262">
        <v>0.1</v>
      </c>
    </row>
    <row r="25" spans="1:7">
      <c r="A25" s="3259" t="s">
        <v>184</v>
      </c>
      <c r="B25" s="3260" t="s">
        <v>235</v>
      </c>
      <c r="C25" s="3261">
        <v>0.05</v>
      </c>
      <c r="D25" s="3261">
        <v>9.6000000000000002E-2</v>
      </c>
      <c r="E25" s="3261">
        <v>9.6000000000000002E-2</v>
      </c>
      <c r="F25" s="3268"/>
      <c r="G25" s="3262">
        <v>9.6000000000000002E-2</v>
      </c>
    </row>
    <row r="26" spans="1:7">
      <c r="A26" s="3259" t="s">
        <v>184</v>
      </c>
      <c r="B26" s="3260" t="s">
        <v>244</v>
      </c>
      <c r="C26" s="3261">
        <v>6.3E-2</v>
      </c>
      <c r="D26" s="3261">
        <v>9.9000000000000005E-2</v>
      </c>
      <c r="E26" s="3261">
        <v>9.8000000000000004E-2</v>
      </c>
      <c r="F26" s="3268"/>
      <c r="G26" s="3262">
        <v>0.1</v>
      </c>
    </row>
    <row r="27" spans="1:7">
      <c r="A27" s="3259" t="s">
        <v>184</v>
      </c>
      <c r="B27" s="3260" t="s">
        <v>251</v>
      </c>
      <c r="C27" s="3261">
        <v>5.1999999999999998E-2</v>
      </c>
      <c r="D27" s="3261">
        <v>9.5000000000000001E-2</v>
      </c>
      <c r="E27" s="3261">
        <v>6.4000000000000001E-2</v>
      </c>
      <c r="F27" s="3268"/>
      <c r="G27" s="3262">
        <v>9.7000000000000003E-2</v>
      </c>
    </row>
    <row r="28" spans="1:7">
      <c r="A28" s="3259" t="s">
        <v>184</v>
      </c>
      <c r="B28" s="3260" t="s">
        <v>259</v>
      </c>
      <c r="C28" s="3268"/>
      <c r="D28" s="3261">
        <v>6.3E-2</v>
      </c>
      <c r="E28" s="3261">
        <v>5.1999999999999998E-2</v>
      </c>
      <c r="F28" s="3268"/>
      <c r="G28" s="3262">
        <v>6.3E-2</v>
      </c>
    </row>
    <row r="29" spans="1:7" ht="14.25" thickBot="1">
      <c r="A29" s="3263" t="s">
        <v>184</v>
      </c>
      <c r="B29" s="3264" t="s">
        <v>2926</v>
      </c>
      <c r="C29" s="3269"/>
      <c r="D29" s="3265">
        <v>5.1999999999999998E-2</v>
      </c>
      <c r="E29" s="3265">
        <v>7.0000000000000007E-2</v>
      </c>
      <c r="F29" s="3269"/>
      <c r="G29" s="3267">
        <v>7.0999999999999994E-2</v>
      </c>
    </row>
    <row r="30" spans="1:7">
      <c r="A30" s="3270" t="s">
        <v>296</v>
      </c>
      <c r="B30" s="3256" t="s">
        <v>2859</v>
      </c>
      <c r="C30" s="3257">
        <v>6.6000000000000003E-2</v>
      </c>
      <c r="D30" s="3257">
        <v>6.6000000000000003E-2</v>
      </c>
      <c r="E30" s="3257">
        <v>5.7000000000000002E-2</v>
      </c>
      <c r="F30" s="3257">
        <v>0.1</v>
      </c>
      <c r="G30" s="3258">
        <v>6.8000000000000005E-2</v>
      </c>
    </row>
    <row r="31" spans="1:7">
      <c r="A31" s="3271" t="s">
        <v>296</v>
      </c>
      <c r="B31" s="3260" t="s">
        <v>129</v>
      </c>
      <c r="C31" s="3261">
        <v>5.5E-2</v>
      </c>
      <c r="D31" s="3261">
        <v>8.2000000000000003E-2</v>
      </c>
      <c r="E31" s="3261">
        <v>6.4000000000000001E-2</v>
      </c>
      <c r="F31" s="3261">
        <v>0.1</v>
      </c>
      <c r="G31" s="3262">
        <v>9.5000000000000001E-2</v>
      </c>
    </row>
    <row r="32" spans="1:7">
      <c r="A32" s="3271" t="s">
        <v>296</v>
      </c>
      <c r="B32" s="3260" t="s">
        <v>138</v>
      </c>
      <c r="C32" s="3261">
        <v>8.2000000000000003E-2</v>
      </c>
      <c r="D32" s="3261">
        <v>8.6999999999999994E-2</v>
      </c>
      <c r="E32" s="3261">
        <v>9.5000000000000001E-2</v>
      </c>
      <c r="F32" s="3261">
        <v>0.1</v>
      </c>
      <c r="G32" s="3262">
        <v>9.6000000000000002E-2</v>
      </c>
    </row>
    <row r="33" spans="1:7">
      <c r="A33" s="3271" t="s">
        <v>296</v>
      </c>
      <c r="B33" s="3260" t="s">
        <v>147</v>
      </c>
      <c r="C33" s="3261">
        <v>9.9000000000000005E-2</v>
      </c>
      <c r="D33" s="3261">
        <v>9.1999999999999998E-2</v>
      </c>
      <c r="E33" s="3261">
        <v>8.6999999999999994E-2</v>
      </c>
      <c r="F33" s="3261">
        <v>0.1</v>
      </c>
      <c r="G33" s="3262">
        <v>9.7000000000000003E-2</v>
      </c>
    </row>
    <row r="34" spans="1:7">
      <c r="A34" s="3271" t="s">
        <v>296</v>
      </c>
      <c r="B34" s="3260" t="s">
        <v>156</v>
      </c>
      <c r="C34" s="3261">
        <v>8.4000000000000005E-2</v>
      </c>
      <c r="D34" s="3261">
        <v>9.7000000000000003E-2</v>
      </c>
      <c r="E34" s="3261">
        <v>7.0999999999999994E-2</v>
      </c>
      <c r="F34" s="3261">
        <v>0.1</v>
      </c>
      <c r="G34" s="3262">
        <v>9.8000000000000004E-2</v>
      </c>
    </row>
    <row r="35" spans="1:7">
      <c r="A35" s="3271" t="s">
        <v>296</v>
      </c>
      <c r="B35" s="3260" t="s">
        <v>163</v>
      </c>
      <c r="C35" s="3261">
        <v>8.3000000000000004E-2</v>
      </c>
      <c r="D35" s="3261">
        <v>9.7000000000000003E-2</v>
      </c>
      <c r="E35" s="3261">
        <v>6.0999999999999999E-2</v>
      </c>
      <c r="F35" s="3261">
        <v>0.1</v>
      </c>
      <c r="G35" s="3262">
        <v>9.9000000000000005E-2</v>
      </c>
    </row>
    <row r="36" spans="1:7">
      <c r="A36" s="3271" t="s">
        <v>296</v>
      </c>
      <c r="B36" s="3260" t="s">
        <v>169</v>
      </c>
      <c r="C36" s="3261">
        <v>9.7000000000000003E-2</v>
      </c>
      <c r="D36" s="3261">
        <v>9.7000000000000003E-2</v>
      </c>
      <c r="E36" s="3261">
        <v>7.8E-2</v>
      </c>
      <c r="F36" s="3261">
        <v>0.1</v>
      </c>
      <c r="G36" s="3262">
        <v>9.9000000000000005E-2</v>
      </c>
    </row>
    <row r="37" spans="1:7">
      <c r="A37" s="3271" t="s">
        <v>296</v>
      </c>
      <c r="B37" s="3260" t="s">
        <v>176</v>
      </c>
      <c r="C37" s="3261">
        <v>9.7000000000000003E-2</v>
      </c>
      <c r="D37" s="3261">
        <v>9.5000000000000001E-2</v>
      </c>
      <c r="E37" s="3261">
        <v>7.8E-2</v>
      </c>
      <c r="F37" s="3261">
        <v>0.1</v>
      </c>
      <c r="G37" s="3262">
        <v>9.7000000000000003E-2</v>
      </c>
    </row>
    <row r="38" spans="1:7">
      <c r="A38" s="3271" t="s">
        <v>296</v>
      </c>
      <c r="B38" s="3260" t="s">
        <v>186</v>
      </c>
      <c r="C38" s="3261">
        <v>9.7000000000000003E-2</v>
      </c>
      <c r="D38" s="3261">
        <v>7.6999999999999999E-2</v>
      </c>
      <c r="E38" s="3261">
        <v>7.0000000000000007E-2</v>
      </c>
      <c r="F38" s="3261">
        <v>0.1</v>
      </c>
      <c r="G38" s="3262">
        <v>7.6999999999999999E-2</v>
      </c>
    </row>
    <row r="39" spans="1:7">
      <c r="A39" s="3271" t="s">
        <v>296</v>
      </c>
      <c r="B39" s="3260" t="s">
        <v>195</v>
      </c>
      <c r="C39" s="3261">
        <v>9.5000000000000001E-2</v>
      </c>
      <c r="D39" s="3261">
        <v>7.6999999999999999E-2</v>
      </c>
      <c r="E39" s="3261">
        <v>6.6000000000000003E-2</v>
      </c>
      <c r="F39" s="3261">
        <v>0.1</v>
      </c>
      <c r="G39" s="3262">
        <v>8.5999999999999993E-2</v>
      </c>
    </row>
    <row r="40" spans="1:7">
      <c r="A40" s="3271" t="s">
        <v>296</v>
      </c>
      <c r="B40" s="3260" t="s">
        <v>202</v>
      </c>
      <c r="C40" s="3261">
        <v>7.6999999999999999E-2</v>
      </c>
      <c r="D40" s="3261">
        <v>7.8E-2</v>
      </c>
      <c r="E40" s="3261">
        <v>8.2000000000000003E-2</v>
      </c>
      <c r="F40" s="3272"/>
      <c r="G40" s="3262">
        <v>7.8E-2</v>
      </c>
    </row>
    <row r="41" spans="1:7">
      <c r="A41" s="3271" t="s">
        <v>296</v>
      </c>
      <c r="B41" s="3260" t="s">
        <v>209</v>
      </c>
      <c r="C41" s="3261">
        <v>7.8E-2</v>
      </c>
      <c r="D41" s="3261">
        <v>7.8E-2</v>
      </c>
      <c r="E41" s="3261">
        <v>8.2000000000000003E-2</v>
      </c>
      <c r="F41" s="3272"/>
      <c r="G41" s="3262">
        <v>8.5999999999999993E-2</v>
      </c>
    </row>
    <row r="42" spans="1:7">
      <c r="A42" s="3271" t="s">
        <v>296</v>
      </c>
      <c r="B42" s="3260" t="s">
        <v>215</v>
      </c>
      <c r="C42" s="3261">
        <v>7.8E-2</v>
      </c>
      <c r="D42" s="3261">
        <v>9.6000000000000002E-2</v>
      </c>
      <c r="E42" s="3261">
        <v>7.1999999999999995E-2</v>
      </c>
      <c r="F42" s="3272"/>
      <c r="G42" s="3262">
        <v>9.8000000000000004E-2</v>
      </c>
    </row>
    <row r="43" spans="1:7">
      <c r="A43" s="3271" t="s">
        <v>2845</v>
      </c>
      <c r="B43" s="3260" t="s">
        <v>223</v>
      </c>
      <c r="C43" s="3261">
        <v>7.8E-2</v>
      </c>
      <c r="D43" s="3261">
        <v>9.9000000000000005E-2</v>
      </c>
      <c r="E43" s="3261">
        <v>9.6000000000000002E-2</v>
      </c>
      <c r="F43" s="3272"/>
      <c r="G43" s="3262">
        <v>0.1</v>
      </c>
    </row>
    <row r="44" spans="1:7">
      <c r="A44" s="3271" t="s">
        <v>296</v>
      </c>
      <c r="B44" s="3260" t="s">
        <v>231</v>
      </c>
      <c r="C44" s="3261">
        <v>9.6000000000000002E-2</v>
      </c>
      <c r="D44" s="3261">
        <v>0.1</v>
      </c>
      <c r="E44" s="3261">
        <v>9.8000000000000004E-2</v>
      </c>
      <c r="F44" s="3272"/>
      <c r="G44" s="3262">
        <v>0.1</v>
      </c>
    </row>
    <row r="45" spans="1:7">
      <c r="A45" s="3271" t="s">
        <v>296</v>
      </c>
      <c r="B45" s="3260" t="s">
        <v>236</v>
      </c>
      <c r="C45" s="3261">
        <v>9.9000000000000005E-2</v>
      </c>
      <c r="D45" s="3261">
        <v>9.8000000000000004E-2</v>
      </c>
      <c r="E45" s="3261">
        <v>9.5000000000000001E-2</v>
      </c>
      <c r="F45" s="3272"/>
      <c r="G45" s="3262">
        <v>9.8000000000000004E-2</v>
      </c>
    </row>
    <row r="46" spans="1:7">
      <c r="A46" s="3271" t="s">
        <v>296</v>
      </c>
      <c r="B46" s="3260" t="s">
        <v>245</v>
      </c>
      <c r="C46" s="3261">
        <v>0.1</v>
      </c>
      <c r="D46" s="3261">
        <v>9.9000000000000005E-2</v>
      </c>
      <c r="E46" s="3261">
        <v>9.6000000000000002E-2</v>
      </c>
      <c r="F46" s="3272"/>
      <c r="G46" s="3262">
        <v>0.1</v>
      </c>
    </row>
    <row r="47" spans="1:7">
      <c r="A47" s="3271" t="s">
        <v>296</v>
      </c>
      <c r="B47" s="3260" t="s">
        <v>252</v>
      </c>
      <c r="C47" s="3261">
        <v>9.8000000000000004E-2</v>
      </c>
      <c r="D47" s="3261">
        <v>8.6999999999999994E-2</v>
      </c>
      <c r="E47" s="3261">
        <v>5.8999999999999997E-2</v>
      </c>
      <c r="F47" s="3272"/>
      <c r="G47" s="3262">
        <v>9.6000000000000002E-2</v>
      </c>
    </row>
    <row r="48" spans="1:7">
      <c r="A48" s="3271" t="s">
        <v>296</v>
      </c>
      <c r="B48" s="3260" t="s">
        <v>260</v>
      </c>
      <c r="C48" s="3261">
        <v>9.9000000000000005E-2</v>
      </c>
      <c r="D48" s="3261">
        <v>9.8000000000000004E-2</v>
      </c>
      <c r="E48" s="3261">
        <v>9.5000000000000001E-2</v>
      </c>
      <c r="F48" s="3272"/>
      <c r="G48" s="3262">
        <v>9.8000000000000004E-2</v>
      </c>
    </row>
    <row r="49" spans="1:7">
      <c r="A49" s="3271" t="s">
        <v>296</v>
      </c>
      <c r="B49" s="3260" t="s">
        <v>267</v>
      </c>
      <c r="C49" s="3261">
        <v>8.7999999999999995E-2</v>
      </c>
      <c r="D49" s="3261">
        <v>9.9000000000000005E-2</v>
      </c>
      <c r="E49" s="3261">
        <v>7.0000000000000007E-2</v>
      </c>
      <c r="F49" s="3272"/>
      <c r="G49" s="3262">
        <v>0.1</v>
      </c>
    </row>
    <row r="50" spans="1:7">
      <c r="A50" s="3271" t="s">
        <v>296</v>
      </c>
      <c r="B50" s="3260" t="s">
        <v>2929</v>
      </c>
      <c r="C50" s="3261">
        <v>9.8000000000000004E-2</v>
      </c>
      <c r="D50" s="3261">
        <v>7.2999999999999995E-2</v>
      </c>
      <c r="E50" s="3261">
        <v>7.0999999999999994E-2</v>
      </c>
      <c r="F50" s="3272"/>
      <c r="G50" s="3262">
        <v>7.2999999999999995E-2</v>
      </c>
    </row>
    <row r="51" spans="1:7">
      <c r="A51" s="3271" t="s">
        <v>296</v>
      </c>
      <c r="B51" s="3260" t="s">
        <v>2931</v>
      </c>
      <c r="C51" s="3261">
        <v>9.9000000000000005E-2</v>
      </c>
      <c r="D51" s="3261">
        <v>8.5000000000000006E-2</v>
      </c>
      <c r="E51" s="3261">
        <v>6.3E-2</v>
      </c>
      <c r="F51" s="3272"/>
      <c r="G51" s="3262">
        <v>9.6000000000000002E-2</v>
      </c>
    </row>
    <row r="52" spans="1:7">
      <c r="A52" s="3271" t="s">
        <v>296</v>
      </c>
      <c r="B52" s="3260" t="s">
        <v>2935</v>
      </c>
      <c r="C52" s="3261">
        <v>7.3999999999999996E-2</v>
      </c>
      <c r="D52" s="3261">
        <v>9.6000000000000002E-2</v>
      </c>
      <c r="E52" s="3261">
        <v>0.05</v>
      </c>
      <c r="F52" s="3272"/>
      <c r="G52" s="3262">
        <v>9.8000000000000004E-2</v>
      </c>
    </row>
    <row r="53" spans="1:7">
      <c r="A53" s="3271" t="s">
        <v>296</v>
      </c>
      <c r="B53" s="3260" t="s">
        <v>2940</v>
      </c>
      <c r="C53" s="3261">
        <v>8.5999999999999993E-2</v>
      </c>
      <c r="D53" s="3272"/>
      <c r="E53" s="3261">
        <v>9.1999999999999998E-2</v>
      </c>
      <c r="F53" s="3272"/>
      <c r="G53" s="3273"/>
    </row>
    <row r="54" spans="1:7" ht="14.25" thickBot="1">
      <c r="A54" s="3274" t="s">
        <v>296</v>
      </c>
      <c r="B54" s="3264" t="s">
        <v>2943</v>
      </c>
      <c r="C54" s="3265">
        <v>9.6000000000000002E-2</v>
      </c>
      <c r="D54" s="3266"/>
      <c r="E54" s="3275"/>
      <c r="F54" s="3266"/>
      <c r="G54" s="3276"/>
    </row>
    <row r="55" spans="1:7">
      <c r="A55" s="3270" t="s">
        <v>110</v>
      </c>
      <c r="B55" s="3256" t="s">
        <v>2860</v>
      </c>
      <c r="C55" s="3257">
        <v>9.6000000000000002E-2</v>
      </c>
      <c r="D55" s="3257">
        <v>8.4000000000000005E-2</v>
      </c>
      <c r="E55" s="3257">
        <v>9.1999999999999998E-2</v>
      </c>
      <c r="F55" s="3257">
        <v>0.1</v>
      </c>
      <c r="G55" s="3258">
        <v>9.5000000000000001E-2</v>
      </c>
    </row>
    <row r="56" spans="1:7">
      <c r="A56" s="3271" t="s">
        <v>110</v>
      </c>
      <c r="B56" s="3260" t="s">
        <v>130</v>
      </c>
      <c r="C56" s="3261">
        <v>8.4000000000000005E-2</v>
      </c>
      <c r="D56" s="3261">
        <v>9.1999999999999998E-2</v>
      </c>
      <c r="E56" s="3261">
        <v>9.5000000000000001E-2</v>
      </c>
      <c r="F56" s="3261">
        <v>9.1999999999999998E-2</v>
      </c>
      <c r="G56" s="3262">
        <v>9.6000000000000002E-2</v>
      </c>
    </row>
    <row r="57" spans="1:7">
      <c r="A57" s="3271" t="s">
        <v>110</v>
      </c>
      <c r="B57" s="3260" t="s">
        <v>139</v>
      </c>
      <c r="C57" s="3261">
        <v>9.9000000000000005E-2</v>
      </c>
      <c r="D57" s="3261">
        <v>9.6000000000000002E-2</v>
      </c>
      <c r="E57" s="3261">
        <v>9.1999999999999998E-2</v>
      </c>
      <c r="F57" s="3261">
        <v>0.1</v>
      </c>
      <c r="G57" s="3262">
        <v>9.8000000000000004E-2</v>
      </c>
    </row>
    <row r="58" spans="1:7">
      <c r="A58" s="3271" t="s">
        <v>110</v>
      </c>
      <c r="B58" s="3260" t="s">
        <v>148</v>
      </c>
      <c r="C58" s="3261">
        <v>9.8000000000000004E-2</v>
      </c>
      <c r="D58" s="3261">
        <v>9.5000000000000001E-2</v>
      </c>
      <c r="E58" s="3261">
        <v>5.7000000000000002E-2</v>
      </c>
      <c r="F58" s="3261">
        <v>0.1</v>
      </c>
      <c r="G58" s="3262">
        <v>9.6000000000000002E-2</v>
      </c>
    </row>
    <row r="59" spans="1:7">
      <c r="A59" s="3271" t="s">
        <v>110</v>
      </c>
      <c r="B59" s="3260" t="s">
        <v>157</v>
      </c>
      <c r="C59" s="3261">
        <v>9.5000000000000001E-2</v>
      </c>
      <c r="D59" s="3261">
        <v>0.1</v>
      </c>
      <c r="E59" s="3261">
        <v>7.4999999999999997E-2</v>
      </c>
      <c r="F59" s="3261">
        <v>0.1</v>
      </c>
      <c r="G59" s="3262">
        <v>0.1</v>
      </c>
    </row>
    <row r="60" spans="1:7">
      <c r="A60" s="3271" t="s">
        <v>110</v>
      </c>
      <c r="B60" s="3260" t="s">
        <v>164</v>
      </c>
      <c r="C60" s="3261">
        <v>0.1</v>
      </c>
      <c r="D60" s="3261">
        <v>9.7000000000000003E-2</v>
      </c>
      <c r="E60" s="3261">
        <v>0.1</v>
      </c>
      <c r="F60" s="3261">
        <v>0.1</v>
      </c>
      <c r="G60" s="3262">
        <v>9.7000000000000003E-2</v>
      </c>
    </row>
    <row r="61" spans="1:7">
      <c r="A61" s="3271" t="s">
        <v>110</v>
      </c>
      <c r="B61" s="3260" t="s">
        <v>170</v>
      </c>
      <c r="C61" s="3261">
        <v>9.7000000000000003E-2</v>
      </c>
      <c r="D61" s="3261">
        <v>0.1</v>
      </c>
      <c r="E61" s="3261">
        <v>9.2999999999999999E-2</v>
      </c>
      <c r="F61" s="3261">
        <v>0.1</v>
      </c>
      <c r="G61" s="3262">
        <v>0.1</v>
      </c>
    </row>
    <row r="62" spans="1:7">
      <c r="A62" s="3271" t="s">
        <v>110</v>
      </c>
      <c r="B62" s="3260" t="s">
        <v>177</v>
      </c>
      <c r="C62" s="3261">
        <v>0.1</v>
      </c>
      <c r="D62" s="3261">
        <v>9.7000000000000003E-2</v>
      </c>
      <c r="E62" s="3261">
        <v>8.8999999999999996E-2</v>
      </c>
      <c r="F62" s="3261">
        <v>0.1</v>
      </c>
      <c r="G62" s="3262">
        <v>9.8000000000000004E-2</v>
      </c>
    </row>
    <row r="63" spans="1:7">
      <c r="A63" s="3271" t="s">
        <v>110</v>
      </c>
      <c r="B63" s="3260" t="s">
        <v>187</v>
      </c>
      <c r="C63" s="3261">
        <v>9.7000000000000003E-2</v>
      </c>
      <c r="D63" s="3261">
        <v>9.7000000000000003E-2</v>
      </c>
      <c r="E63" s="3261">
        <v>9.9000000000000005E-2</v>
      </c>
      <c r="F63" s="3261">
        <v>0.1</v>
      </c>
      <c r="G63" s="3262">
        <v>9.7000000000000003E-2</v>
      </c>
    </row>
    <row r="64" spans="1:7">
      <c r="A64" s="3271" t="s">
        <v>110</v>
      </c>
      <c r="B64" s="3260" t="s">
        <v>196</v>
      </c>
      <c r="C64" s="3261">
        <v>9.7000000000000003E-2</v>
      </c>
      <c r="D64" s="3261">
        <v>7.3999999999999996E-2</v>
      </c>
      <c r="E64" s="3261">
        <v>7.8E-2</v>
      </c>
      <c r="F64" s="3261">
        <v>0.1</v>
      </c>
      <c r="G64" s="3262">
        <v>8.8999999999999996E-2</v>
      </c>
    </row>
    <row r="65" spans="1:7">
      <c r="A65" s="3271" t="s">
        <v>110</v>
      </c>
      <c r="B65" s="3260" t="s">
        <v>203</v>
      </c>
      <c r="C65" s="3261">
        <v>7.2999999999999995E-2</v>
      </c>
      <c r="D65" s="3261">
        <v>9.8000000000000004E-2</v>
      </c>
      <c r="E65" s="3261">
        <v>9.5000000000000001E-2</v>
      </c>
      <c r="F65" s="3261">
        <v>0.1</v>
      </c>
      <c r="G65" s="3262">
        <v>9.9000000000000005E-2</v>
      </c>
    </row>
    <row r="66" spans="1:7">
      <c r="A66" s="3271" t="s">
        <v>110</v>
      </c>
      <c r="B66" s="3260" t="s">
        <v>210</v>
      </c>
      <c r="C66" s="3261">
        <v>9.8000000000000004E-2</v>
      </c>
      <c r="D66" s="3261">
        <v>9.5000000000000001E-2</v>
      </c>
      <c r="E66" s="3261">
        <v>0.05</v>
      </c>
      <c r="F66" s="3261">
        <v>0.1</v>
      </c>
      <c r="G66" s="3262">
        <v>9.7000000000000003E-2</v>
      </c>
    </row>
    <row r="67" spans="1:7">
      <c r="A67" s="3271" t="s">
        <v>110</v>
      </c>
      <c r="B67" s="3260" t="s">
        <v>216</v>
      </c>
      <c r="C67" s="3261">
        <v>9.5000000000000001E-2</v>
      </c>
      <c r="D67" s="3261">
        <v>9.7000000000000003E-2</v>
      </c>
      <c r="E67" s="3261">
        <v>9.7000000000000003E-2</v>
      </c>
      <c r="F67" s="3261">
        <v>0.1</v>
      </c>
      <c r="G67" s="3262">
        <v>9.9000000000000005E-2</v>
      </c>
    </row>
    <row r="68" spans="1:7">
      <c r="A68" s="3271" t="s">
        <v>110</v>
      </c>
      <c r="B68" s="3260" t="s">
        <v>224</v>
      </c>
      <c r="C68" s="3261">
        <v>9.7000000000000003E-2</v>
      </c>
      <c r="D68" s="3261">
        <v>6.8000000000000005E-2</v>
      </c>
      <c r="E68" s="3261">
        <v>6.6000000000000003E-2</v>
      </c>
      <c r="F68" s="3261">
        <v>0.1</v>
      </c>
      <c r="G68" s="3262">
        <v>8.4000000000000005E-2</v>
      </c>
    </row>
    <row r="69" spans="1:7">
      <c r="A69" s="3271" t="s">
        <v>110</v>
      </c>
      <c r="B69" s="3260" t="s">
        <v>232</v>
      </c>
      <c r="C69" s="3261">
        <v>6.8000000000000005E-2</v>
      </c>
      <c r="D69" s="3261">
        <v>9.8000000000000004E-2</v>
      </c>
      <c r="E69" s="3261">
        <v>9.5000000000000001E-2</v>
      </c>
      <c r="F69" s="3261">
        <v>0.1</v>
      </c>
      <c r="G69" s="3262">
        <v>0.1</v>
      </c>
    </row>
    <row r="70" spans="1:7">
      <c r="A70" s="3271" t="s">
        <v>110</v>
      </c>
      <c r="B70" s="3260" t="s">
        <v>237</v>
      </c>
      <c r="C70" s="3261">
        <v>9.8000000000000004E-2</v>
      </c>
      <c r="D70" s="3261">
        <v>8.8999999999999996E-2</v>
      </c>
      <c r="E70" s="3261">
        <v>5.8999999999999997E-2</v>
      </c>
      <c r="F70" s="3261">
        <v>0.1</v>
      </c>
      <c r="G70" s="3262">
        <v>9.6000000000000002E-2</v>
      </c>
    </row>
    <row r="71" spans="1:7">
      <c r="A71" s="3271" t="s">
        <v>110</v>
      </c>
      <c r="B71" s="3260" t="s">
        <v>246</v>
      </c>
      <c r="C71" s="3261">
        <v>8.8999999999999996E-2</v>
      </c>
      <c r="D71" s="3261">
        <v>9.9000000000000005E-2</v>
      </c>
      <c r="E71" s="3261">
        <v>9.6000000000000002E-2</v>
      </c>
      <c r="F71" s="3261">
        <v>0.1</v>
      </c>
      <c r="G71" s="3262">
        <v>0.1</v>
      </c>
    </row>
    <row r="72" spans="1:7">
      <c r="A72" s="3271" t="s">
        <v>110</v>
      </c>
      <c r="B72" s="3260" t="s">
        <v>253</v>
      </c>
      <c r="C72" s="3261">
        <v>9.9000000000000005E-2</v>
      </c>
      <c r="D72" s="3261">
        <v>0.1</v>
      </c>
      <c r="E72" s="3261">
        <v>7.0000000000000007E-2</v>
      </c>
      <c r="F72" s="3272"/>
      <c r="G72" s="3262">
        <v>0.1</v>
      </c>
    </row>
    <row r="73" spans="1:7">
      <c r="A73" s="3271" t="s">
        <v>110</v>
      </c>
      <c r="B73" s="3260" t="s">
        <v>261</v>
      </c>
      <c r="C73" s="3261">
        <v>0.1</v>
      </c>
      <c r="D73" s="3261">
        <v>0.1</v>
      </c>
      <c r="E73" s="3261">
        <v>9.6000000000000002E-2</v>
      </c>
      <c r="F73" s="3272"/>
      <c r="G73" s="3262">
        <v>0.1</v>
      </c>
    </row>
    <row r="74" spans="1:7">
      <c r="A74" s="3271" t="s">
        <v>110</v>
      </c>
      <c r="B74" s="3260" t="s">
        <v>268</v>
      </c>
      <c r="C74" s="3261">
        <v>0.1</v>
      </c>
      <c r="D74" s="3261">
        <v>0.1</v>
      </c>
      <c r="E74" s="3261">
        <v>9.8000000000000004E-2</v>
      </c>
      <c r="F74" s="3272"/>
      <c r="G74" s="3262">
        <v>0.1</v>
      </c>
    </row>
    <row r="75" spans="1:7">
      <c r="A75" s="3271" t="s">
        <v>110</v>
      </c>
      <c r="B75" s="3260" t="s">
        <v>272</v>
      </c>
      <c r="C75" s="3261">
        <v>0.1</v>
      </c>
      <c r="D75" s="3261">
        <v>9.9000000000000005E-2</v>
      </c>
      <c r="E75" s="3261">
        <v>9.8000000000000004E-2</v>
      </c>
      <c r="F75" s="3272"/>
      <c r="G75" s="3262">
        <v>0.1</v>
      </c>
    </row>
    <row r="76" spans="1:7">
      <c r="A76" s="3271" t="s">
        <v>110</v>
      </c>
      <c r="B76" s="3260" t="s">
        <v>278</v>
      </c>
      <c r="C76" s="3261">
        <v>9.9000000000000005E-2</v>
      </c>
      <c r="D76" s="3261">
        <v>0.1</v>
      </c>
      <c r="E76" s="3261">
        <v>9.7000000000000003E-2</v>
      </c>
      <c r="F76" s="3272"/>
      <c r="G76" s="3262">
        <v>0.1</v>
      </c>
    </row>
    <row r="77" spans="1:7">
      <c r="A77" s="3271" t="s">
        <v>110</v>
      </c>
      <c r="B77" s="3260" t="s">
        <v>281</v>
      </c>
      <c r="C77" s="3261">
        <v>0.1</v>
      </c>
      <c r="D77" s="3261">
        <v>0.1</v>
      </c>
      <c r="E77" s="3261">
        <v>9.6000000000000002E-2</v>
      </c>
      <c r="F77" s="3272"/>
      <c r="G77" s="3262">
        <v>0.1</v>
      </c>
    </row>
    <row r="78" spans="1:7">
      <c r="A78" s="3271" t="s">
        <v>110</v>
      </c>
      <c r="B78" s="3260" t="s">
        <v>2941</v>
      </c>
      <c r="C78" s="3261">
        <v>0.1</v>
      </c>
      <c r="D78" s="3261">
        <v>8.5000000000000006E-2</v>
      </c>
      <c r="E78" s="3261">
        <v>9.6000000000000002E-2</v>
      </c>
      <c r="F78" s="3272"/>
      <c r="G78" s="3262">
        <v>9.6000000000000002E-2</v>
      </c>
    </row>
    <row r="79" spans="1:7">
      <c r="A79" s="3271" t="s">
        <v>110</v>
      </c>
      <c r="B79" s="3260" t="s">
        <v>2944</v>
      </c>
      <c r="C79" s="3261">
        <v>0.05</v>
      </c>
      <c r="D79" s="3261">
        <v>9.6000000000000002E-2</v>
      </c>
      <c r="E79" s="3261">
        <v>9.5000000000000001E-2</v>
      </c>
      <c r="F79" s="3272"/>
      <c r="G79" s="3262">
        <v>9.8000000000000004E-2</v>
      </c>
    </row>
    <row r="80" spans="1:7">
      <c r="A80" s="3271" t="s">
        <v>110</v>
      </c>
      <c r="B80" s="3260" t="s">
        <v>2948</v>
      </c>
      <c r="C80" s="3261">
        <v>8.5999999999999993E-2</v>
      </c>
      <c r="D80" s="3277"/>
      <c r="E80" s="3261">
        <v>0.1</v>
      </c>
      <c r="F80" s="3272"/>
      <c r="G80" s="3273"/>
    </row>
    <row r="81" spans="1:7">
      <c r="A81" s="3271" t="s">
        <v>110</v>
      </c>
      <c r="B81" s="3260" t="s">
        <v>2953</v>
      </c>
      <c r="C81" s="3261">
        <v>9.6000000000000002E-2</v>
      </c>
      <c r="D81" s="3272"/>
      <c r="E81" s="3261">
        <v>9.8000000000000004E-2</v>
      </c>
      <c r="F81" s="3272"/>
      <c r="G81" s="3273"/>
    </row>
    <row r="82" spans="1:7">
      <c r="A82" s="3271" t="s">
        <v>110</v>
      </c>
      <c r="B82" s="3260" t="s">
        <v>2960</v>
      </c>
      <c r="C82" s="3277"/>
      <c r="D82" s="3272"/>
      <c r="E82" s="3261">
        <v>7.6999999999999999E-2</v>
      </c>
      <c r="F82" s="3272"/>
      <c r="G82" s="3273"/>
    </row>
    <row r="83" spans="1:7">
      <c r="A83" s="3271" t="s">
        <v>110</v>
      </c>
      <c r="B83" s="3260" t="s">
        <v>2966</v>
      </c>
      <c r="C83" s="3272"/>
      <c r="D83" s="3272"/>
      <c r="E83" s="3272"/>
      <c r="F83" s="3261">
        <v>0.1</v>
      </c>
      <c r="G83" s="3278"/>
    </row>
    <row r="84" spans="1:7">
      <c r="A84" s="3271" t="s">
        <v>110</v>
      </c>
      <c r="B84" s="3260" t="s">
        <v>2973</v>
      </c>
      <c r="C84" s="3272"/>
      <c r="D84" s="3272"/>
      <c r="E84" s="3272"/>
      <c r="F84" s="3261">
        <v>0.1</v>
      </c>
      <c r="G84" s="3278"/>
    </row>
    <row r="85" spans="1:7">
      <c r="A85" s="3271" t="s">
        <v>110</v>
      </c>
      <c r="B85" s="3260" t="s">
        <v>2980</v>
      </c>
      <c r="C85" s="3272"/>
      <c r="D85" s="3272"/>
      <c r="E85" s="3272"/>
      <c r="F85" s="3261">
        <v>0.1</v>
      </c>
      <c r="G85" s="3278"/>
    </row>
    <row r="86" spans="1:7" ht="14.25" thickBot="1">
      <c r="A86" s="3274" t="s">
        <v>110</v>
      </c>
      <c r="B86" s="3264" t="s">
        <v>2985</v>
      </c>
      <c r="C86" s="3265">
        <v>9.8000000000000004E-2</v>
      </c>
      <c r="D86" s="3265">
        <v>9.8000000000000004E-2</v>
      </c>
      <c r="E86" s="3265">
        <v>9.6000000000000002E-2</v>
      </c>
      <c r="F86" s="3275"/>
      <c r="G86" s="3267">
        <v>0.1</v>
      </c>
    </row>
    <row r="87" spans="1:7">
      <c r="A87" s="3270" t="s">
        <v>303</v>
      </c>
      <c r="B87" s="3256" t="s">
        <v>2861</v>
      </c>
      <c r="C87" s="3257">
        <v>0.1</v>
      </c>
      <c r="D87" s="3257">
        <v>0.1</v>
      </c>
      <c r="E87" s="3257">
        <v>9.8000000000000004E-2</v>
      </c>
      <c r="F87" s="3257">
        <v>0.1</v>
      </c>
      <c r="G87" s="3258">
        <v>0.1</v>
      </c>
    </row>
    <row r="88" spans="1:7">
      <c r="A88" s="3271" t="s">
        <v>303</v>
      </c>
      <c r="B88" s="3260" t="s">
        <v>131</v>
      </c>
      <c r="C88" s="3261">
        <v>9.0999999999999998E-2</v>
      </c>
      <c r="D88" s="3261">
        <v>9.1999999999999998E-2</v>
      </c>
      <c r="E88" s="3261">
        <v>0.1</v>
      </c>
      <c r="F88" s="3261">
        <v>0.1</v>
      </c>
      <c r="G88" s="3262">
        <v>9.6000000000000002E-2</v>
      </c>
    </row>
    <row r="89" spans="1:7">
      <c r="A89" s="3271" t="s">
        <v>303</v>
      </c>
      <c r="B89" s="3260" t="s">
        <v>140</v>
      </c>
      <c r="C89" s="3261">
        <v>0.1</v>
      </c>
      <c r="D89" s="3261">
        <v>0.1</v>
      </c>
      <c r="E89" s="3261">
        <v>6.7000000000000004E-2</v>
      </c>
      <c r="F89" s="3261">
        <v>9.2999999999999999E-2</v>
      </c>
      <c r="G89" s="3262">
        <v>0.1</v>
      </c>
    </row>
    <row r="90" spans="1:7">
      <c r="A90" s="3271" t="s">
        <v>303</v>
      </c>
      <c r="B90" s="3260" t="s">
        <v>149</v>
      </c>
      <c r="C90" s="3261">
        <v>9.6000000000000002E-2</v>
      </c>
      <c r="D90" s="3261">
        <v>9.6000000000000002E-2</v>
      </c>
      <c r="E90" s="3261">
        <v>0.1</v>
      </c>
      <c r="F90" s="3261">
        <v>0.1</v>
      </c>
      <c r="G90" s="3262">
        <v>9.8000000000000004E-2</v>
      </c>
    </row>
    <row r="91" spans="1:7">
      <c r="A91" s="3271" t="s">
        <v>303</v>
      </c>
      <c r="B91" s="3260" t="s">
        <v>158</v>
      </c>
      <c r="C91" s="3261">
        <v>7.6999999999999999E-2</v>
      </c>
      <c r="D91" s="3261">
        <v>7.6999999999999999E-2</v>
      </c>
      <c r="E91" s="3261">
        <v>9.6000000000000002E-2</v>
      </c>
      <c r="F91" s="3261">
        <v>0.1</v>
      </c>
      <c r="G91" s="3262">
        <v>7.6999999999999999E-2</v>
      </c>
    </row>
    <row r="92" spans="1:7">
      <c r="A92" s="3271" t="s">
        <v>303</v>
      </c>
      <c r="B92" s="3260" t="s">
        <v>165</v>
      </c>
      <c r="C92" s="3261">
        <v>0.1</v>
      </c>
      <c r="D92" s="3261">
        <v>0.1</v>
      </c>
      <c r="E92" s="3261">
        <v>9.1999999999999998E-2</v>
      </c>
      <c r="F92" s="3261">
        <v>0.1</v>
      </c>
      <c r="G92" s="3262">
        <v>0.1</v>
      </c>
    </row>
    <row r="93" spans="1:7">
      <c r="A93" s="3271" t="s">
        <v>303</v>
      </c>
      <c r="B93" s="3260" t="s">
        <v>171</v>
      </c>
      <c r="C93" s="3261">
        <v>9.8000000000000004E-2</v>
      </c>
      <c r="D93" s="3261">
        <v>9.8000000000000004E-2</v>
      </c>
      <c r="E93" s="3261">
        <v>9.6000000000000002E-2</v>
      </c>
      <c r="F93" s="3261">
        <v>0.1</v>
      </c>
      <c r="G93" s="3262">
        <v>9.9000000000000005E-2</v>
      </c>
    </row>
    <row r="94" spans="1:7">
      <c r="A94" s="3271" t="s">
        <v>303</v>
      </c>
      <c r="B94" s="3260" t="s">
        <v>178</v>
      </c>
      <c r="C94" s="3261">
        <v>8.7999999999999995E-2</v>
      </c>
      <c r="D94" s="3261">
        <v>8.7999999999999995E-2</v>
      </c>
      <c r="E94" s="3261">
        <v>9.6000000000000002E-2</v>
      </c>
      <c r="F94" s="3261">
        <v>0.1</v>
      </c>
      <c r="G94" s="3262">
        <v>8.7999999999999995E-2</v>
      </c>
    </row>
    <row r="95" spans="1:7">
      <c r="A95" s="3271" t="s">
        <v>303</v>
      </c>
      <c r="B95" s="3260" t="s">
        <v>188</v>
      </c>
      <c r="C95" s="3261">
        <v>9.6000000000000002E-2</v>
      </c>
      <c r="D95" s="3261">
        <v>9.6000000000000002E-2</v>
      </c>
      <c r="E95" s="3261">
        <v>0.1</v>
      </c>
      <c r="F95" s="3261">
        <v>0.1</v>
      </c>
      <c r="G95" s="3262">
        <v>9.8000000000000004E-2</v>
      </c>
    </row>
    <row r="96" spans="1:7">
      <c r="A96" s="3271" t="s">
        <v>303</v>
      </c>
      <c r="B96" s="3260" t="s">
        <v>197</v>
      </c>
      <c r="C96" s="3261">
        <v>9.7000000000000003E-2</v>
      </c>
      <c r="D96" s="3261">
        <v>9.7000000000000003E-2</v>
      </c>
      <c r="E96" s="3261">
        <v>0.1</v>
      </c>
      <c r="F96" s="3261">
        <v>0.1</v>
      </c>
      <c r="G96" s="3262">
        <v>9.8000000000000004E-2</v>
      </c>
    </row>
    <row r="97" spans="1:7">
      <c r="A97" s="3271" t="s">
        <v>303</v>
      </c>
      <c r="B97" s="3260" t="s">
        <v>204</v>
      </c>
      <c r="C97" s="3261">
        <v>9.6000000000000002E-2</v>
      </c>
      <c r="D97" s="3261">
        <v>9.6000000000000002E-2</v>
      </c>
      <c r="E97" s="3261">
        <v>9.9000000000000005E-2</v>
      </c>
      <c r="F97" s="3261">
        <v>0.1</v>
      </c>
      <c r="G97" s="3262">
        <v>9.8000000000000004E-2</v>
      </c>
    </row>
    <row r="98" spans="1:7">
      <c r="A98" s="3271" t="s">
        <v>303</v>
      </c>
      <c r="B98" s="3260" t="s">
        <v>211</v>
      </c>
      <c r="C98" s="3261">
        <v>9.8000000000000004E-2</v>
      </c>
      <c r="D98" s="3261">
        <v>9.8000000000000004E-2</v>
      </c>
      <c r="E98" s="3261">
        <v>0.1</v>
      </c>
      <c r="F98" s="3261">
        <v>0.1</v>
      </c>
      <c r="G98" s="3262">
        <v>9.9000000000000005E-2</v>
      </c>
    </row>
    <row r="99" spans="1:7">
      <c r="A99" s="3271" t="s">
        <v>303</v>
      </c>
      <c r="B99" s="3260" t="s">
        <v>217</v>
      </c>
      <c r="C99" s="3261">
        <v>9.6000000000000002E-2</v>
      </c>
      <c r="D99" s="3261">
        <v>9.6000000000000002E-2</v>
      </c>
      <c r="E99" s="3261">
        <v>0.1</v>
      </c>
      <c r="F99" s="3261">
        <v>0.1</v>
      </c>
      <c r="G99" s="3262">
        <v>9.7000000000000003E-2</v>
      </c>
    </row>
    <row r="100" spans="1:7">
      <c r="A100" s="3271" t="s">
        <v>303</v>
      </c>
      <c r="B100" s="3260" t="s">
        <v>225</v>
      </c>
      <c r="C100" s="3261">
        <v>0.1</v>
      </c>
      <c r="D100" s="3261">
        <v>0.1</v>
      </c>
      <c r="E100" s="3261">
        <v>9.7000000000000003E-2</v>
      </c>
      <c r="F100" s="3261">
        <v>9.8000000000000004E-2</v>
      </c>
      <c r="G100" s="3262">
        <v>0.1</v>
      </c>
    </row>
    <row r="101" spans="1:7">
      <c r="A101" s="3271" t="s">
        <v>303</v>
      </c>
      <c r="B101" s="3260" t="s">
        <v>233</v>
      </c>
      <c r="C101" s="3261">
        <v>0.1</v>
      </c>
      <c r="D101" s="3261">
        <v>0.1</v>
      </c>
      <c r="E101" s="3261">
        <v>9.5000000000000001E-2</v>
      </c>
      <c r="F101" s="3261">
        <v>0.1</v>
      </c>
      <c r="G101" s="3262">
        <v>0.1</v>
      </c>
    </row>
    <row r="102" spans="1:7">
      <c r="A102" s="3271" t="s">
        <v>303</v>
      </c>
      <c r="B102" s="3260" t="s">
        <v>238</v>
      </c>
      <c r="C102" s="3261">
        <v>0.1</v>
      </c>
      <c r="D102" s="3261">
        <v>0.1</v>
      </c>
      <c r="E102" s="3261">
        <v>9.9000000000000005E-2</v>
      </c>
      <c r="F102" s="3261">
        <v>9.7000000000000003E-2</v>
      </c>
      <c r="G102" s="3262">
        <v>0.1</v>
      </c>
    </row>
    <row r="103" spans="1:7">
      <c r="A103" s="3271" t="s">
        <v>303</v>
      </c>
      <c r="B103" s="3260" t="s">
        <v>247</v>
      </c>
      <c r="C103" s="3261">
        <v>0.1</v>
      </c>
      <c r="D103" s="3261">
        <v>0.1</v>
      </c>
      <c r="E103" s="3261">
        <v>9.8000000000000004E-2</v>
      </c>
      <c r="F103" s="3261">
        <v>0.1</v>
      </c>
      <c r="G103" s="3262">
        <v>0.1</v>
      </c>
    </row>
    <row r="104" spans="1:7">
      <c r="A104" s="3271" t="s">
        <v>303</v>
      </c>
      <c r="B104" s="3260" t="s">
        <v>254</v>
      </c>
      <c r="C104" s="3261">
        <v>0.1</v>
      </c>
      <c r="D104" s="3261">
        <v>0.1</v>
      </c>
      <c r="E104" s="3261">
        <v>9.8000000000000004E-2</v>
      </c>
      <c r="F104" s="3261">
        <v>0.1</v>
      </c>
      <c r="G104" s="3262">
        <v>0.1</v>
      </c>
    </row>
    <row r="105" spans="1:7">
      <c r="A105" s="3271" t="s">
        <v>303</v>
      </c>
      <c r="B105" s="3260" t="s">
        <v>262</v>
      </c>
      <c r="C105" s="3261">
        <v>9.8000000000000004E-2</v>
      </c>
      <c r="D105" s="3261">
        <v>9.8000000000000004E-2</v>
      </c>
      <c r="E105" s="3261">
        <v>9.8000000000000004E-2</v>
      </c>
      <c r="F105" s="3261">
        <v>0.1</v>
      </c>
      <c r="G105" s="3262">
        <v>9.9000000000000005E-2</v>
      </c>
    </row>
    <row r="106" spans="1:7">
      <c r="A106" s="3271" t="s">
        <v>303</v>
      </c>
      <c r="B106" s="3260" t="s">
        <v>269</v>
      </c>
      <c r="C106" s="3261">
        <v>9.7000000000000003E-2</v>
      </c>
      <c r="D106" s="3261">
        <v>9.7000000000000003E-2</v>
      </c>
      <c r="E106" s="3261">
        <v>9.7000000000000003E-2</v>
      </c>
      <c r="F106" s="3261">
        <v>0.1</v>
      </c>
      <c r="G106" s="3262">
        <v>9.9000000000000005E-2</v>
      </c>
    </row>
    <row r="107" spans="1:7">
      <c r="A107" s="3271" t="s">
        <v>303</v>
      </c>
      <c r="B107" s="3260" t="s">
        <v>273</v>
      </c>
      <c r="C107" s="3261">
        <v>0.1</v>
      </c>
      <c r="D107" s="3261">
        <v>0.1</v>
      </c>
      <c r="E107" s="3261">
        <v>8.5999999999999993E-2</v>
      </c>
      <c r="F107" s="3261">
        <v>0.09</v>
      </c>
      <c r="G107" s="3262">
        <v>0.1</v>
      </c>
    </row>
    <row r="108" spans="1:7">
      <c r="A108" s="3271" t="s">
        <v>303</v>
      </c>
      <c r="B108" s="3260" t="s">
        <v>279</v>
      </c>
      <c r="C108" s="3261">
        <v>0.1</v>
      </c>
      <c r="D108" s="3261">
        <v>0.1</v>
      </c>
      <c r="E108" s="3261">
        <v>9.6000000000000002E-2</v>
      </c>
      <c r="F108" s="3272"/>
      <c r="G108" s="3262">
        <v>0.1</v>
      </c>
    </row>
    <row r="109" spans="1:7">
      <c r="A109" s="3271" t="s">
        <v>303</v>
      </c>
      <c r="B109" s="3260" t="s">
        <v>282</v>
      </c>
      <c r="C109" s="3261">
        <v>0.1</v>
      </c>
      <c r="D109" s="3261">
        <v>0.1</v>
      </c>
      <c r="E109" s="3261">
        <v>0.1</v>
      </c>
      <c r="F109" s="3272"/>
      <c r="G109" s="3262">
        <v>0.1</v>
      </c>
    </row>
    <row r="110" spans="1:7">
      <c r="A110" s="3271" t="s">
        <v>303</v>
      </c>
      <c r="B110" s="3260" t="s">
        <v>284</v>
      </c>
      <c r="C110" s="3261">
        <v>0.1</v>
      </c>
      <c r="D110" s="3261">
        <v>0.1</v>
      </c>
      <c r="E110" s="3261">
        <v>0.1</v>
      </c>
      <c r="F110" s="3272"/>
      <c r="G110" s="3262">
        <v>0.1</v>
      </c>
    </row>
    <row r="111" spans="1:7">
      <c r="A111" s="3271" t="s">
        <v>303</v>
      </c>
      <c r="B111" s="3260" t="s">
        <v>287</v>
      </c>
      <c r="C111" s="3261">
        <v>0.1</v>
      </c>
      <c r="D111" s="3261">
        <v>0.1</v>
      </c>
      <c r="E111" s="3261">
        <v>9.5000000000000001E-2</v>
      </c>
      <c r="F111" s="3272"/>
      <c r="G111" s="3262">
        <v>0.1</v>
      </c>
    </row>
    <row r="112" spans="1:7">
      <c r="A112" s="3271" t="s">
        <v>303</v>
      </c>
      <c r="B112" s="3260" t="s">
        <v>291</v>
      </c>
      <c r="C112" s="3261">
        <v>9.7000000000000003E-2</v>
      </c>
      <c r="D112" s="3261">
        <v>9.7000000000000003E-2</v>
      </c>
      <c r="E112" s="3261">
        <v>0.05</v>
      </c>
      <c r="F112" s="3272"/>
      <c r="G112" s="3262">
        <v>9.8000000000000004E-2</v>
      </c>
    </row>
    <row r="113" spans="1:7">
      <c r="A113" s="3271" t="s">
        <v>303</v>
      </c>
      <c r="B113" s="3260" t="s">
        <v>2954</v>
      </c>
      <c r="C113" s="3261">
        <v>0.1</v>
      </c>
      <c r="D113" s="3261">
        <v>0.1</v>
      </c>
      <c r="E113" s="3272"/>
      <c r="F113" s="3272"/>
      <c r="G113" s="3262">
        <v>0.1</v>
      </c>
    </row>
    <row r="114" spans="1:7">
      <c r="A114" s="3271" t="s">
        <v>303</v>
      </c>
      <c r="B114" s="3260" t="s">
        <v>2961</v>
      </c>
      <c r="C114" s="3261">
        <v>9.7000000000000003E-2</v>
      </c>
      <c r="D114" s="3261">
        <v>9.7000000000000003E-2</v>
      </c>
      <c r="E114" s="3272"/>
      <c r="F114" s="3272"/>
      <c r="G114" s="3262">
        <v>9.9000000000000005E-2</v>
      </c>
    </row>
    <row r="115" spans="1:7">
      <c r="A115" s="3271" t="s">
        <v>303</v>
      </c>
      <c r="B115" s="3260" t="s">
        <v>2967</v>
      </c>
      <c r="C115" s="3261">
        <v>0.1</v>
      </c>
      <c r="D115" s="3261">
        <v>0.1</v>
      </c>
      <c r="E115" s="3272"/>
      <c r="F115" s="3272"/>
      <c r="G115" s="3262">
        <v>0.1</v>
      </c>
    </row>
    <row r="116" spans="1:7">
      <c r="A116" s="3271" t="s">
        <v>303</v>
      </c>
      <c r="B116" s="3260" t="s">
        <v>2974</v>
      </c>
      <c r="C116" s="3261">
        <v>0.1</v>
      </c>
      <c r="D116" s="3261">
        <v>0.1</v>
      </c>
      <c r="E116" s="3272"/>
      <c r="F116" s="3272"/>
      <c r="G116" s="3262">
        <v>0.1</v>
      </c>
    </row>
    <row r="117" spans="1:7">
      <c r="A117" s="3271" t="s">
        <v>303</v>
      </c>
      <c r="B117" s="3260" t="s">
        <v>2981</v>
      </c>
      <c r="C117" s="3261">
        <v>9.7000000000000003E-2</v>
      </c>
      <c r="D117" s="3261">
        <v>9.7000000000000003E-2</v>
      </c>
      <c r="E117" s="3272"/>
      <c r="F117" s="3272"/>
      <c r="G117" s="3262">
        <v>9.7000000000000003E-2</v>
      </c>
    </row>
    <row r="118" spans="1:7">
      <c r="A118" s="3271" t="s">
        <v>303</v>
      </c>
      <c r="B118" s="3260" t="s">
        <v>2986</v>
      </c>
      <c r="C118" s="3261">
        <v>0.1</v>
      </c>
      <c r="D118" s="3261">
        <v>0.1</v>
      </c>
      <c r="E118" s="3272"/>
      <c r="F118" s="3272"/>
      <c r="G118" s="3262">
        <v>0.1</v>
      </c>
    </row>
    <row r="119" spans="1:7">
      <c r="A119" s="3271" t="s">
        <v>303</v>
      </c>
      <c r="B119" s="3260" t="s">
        <v>2990</v>
      </c>
      <c r="C119" s="3261">
        <v>5.0999999999999997E-2</v>
      </c>
      <c r="D119" s="3261">
        <v>5.1999999999999998E-2</v>
      </c>
      <c r="E119" s="3272"/>
      <c r="F119" s="3277"/>
      <c r="G119" s="3262">
        <v>0.06</v>
      </c>
    </row>
    <row r="120" spans="1:7">
      <c r="A120" s="3271" t="s">
        <v>303</v>
      </c>
      <c r="B120" s="3260" t="s">
        <v>2994</v>
      </c>
      <c r="C120" s="3272"/>
      <c r="D120" s="3272"/>
      <c r="E120" s="3272"/>
      <c r="F120" s="3261">
        <v>0.1</v>
      </c>
      <c r="G120" s="3278"/>
    </row>
    <row r="121" spans="1:7">
      <c r="A121" s="3271" t="s">
        <v>303</v>
      </c>
      <c r="B121" s="3260" t="s">
        <v>2999</v>
      </c>
      <c r="C121" s="3272"/>
      <c r="D121" s="3272"/>
      <c r="E121" s="3272"/>
      <c r="F121" s="3261">
        <v>0.1</v>
      </c>
      <c r="G121" s="3278"/>
    </row>
    <row r="122" spans="1:7">
      <c r="A122" s="3271" t="s">
        <v>303</v>
      </c>
      <c r="B122" s="3260" t="s">
        <v>3004</v>
      </c>
      <c r="C122" s="3261">
        <v>0.1</v>
      </c>
      <c r="D122" s="3261">
        <v>0.1</v>
      </c>
      <c r="E122" s="3261">
        <v>9.8000000000000004E-2</v>
      </c>
      <c r="F122" s="3261">
        <v>0.1</v>
      </c>
      <c r="G122" s="3262">
        <v>0.1</v>
      </c>
    </row>
    <row r="123" spans="1:7">
      <c r="A123" s="3271" t="s">
        <v>303</v>
      </c>
      <c r="B123" s="3260" t="s">
        <v>3009</v>
      </c>
      <c r="C123" s="3261">
        <v>0.1</v>
      </c>
      <c r="D123" s="3261">
        <v>0.1</v>
      </c>
      <c r="E123" s="3261">
        <v>9.8000000000000004E-2</v>
      </c>
      <c r="F123" s="3261">
        <v>0.1</v>
      </c>
      <c r="G123" s="3262">
        <v>0.1</v>
      </c>
    </row>
    <row r="124" spans="1:7">
      <c r="A124" s="3271" t="s">
        <v>303</v>
      </c>
      <c r="B124" s="3260" t="s">
        <v>3014</v>
      </c>
      <c r="C124" s="3261">
        <v>0.1</v>
      </c>
      <c r="D124" s="3261">
        <v>0.1</v>
      </c>
      <c r="E124" s="3261">
        <v>9.8000000000000004E-2</v>
      </c>
      <c r="F124" s="3277"/>
      <c r="G124" s="3262">
        <v>0.1</v>
      </c>
    </row>
    <row r="125" spans="1:7">
      <c r="A125" s="3271" t="s">
        <v>303</v>
      </c>
      <c r="B125" s="3260" t="s">
        <v>3019</v>
      </c>
      <c r="C125" s="3261">
        <v>9.8000000000000004E-2</v>
      </c>
      <c r="D125" s="3261">
        <v>9.8000000000000004E-2</v>
      </c>
      <c r="E125" s="3261">
        <v>9.6000000000000002E-2</v>
      </c>
      <c r="F125" s="3277"/>
      <c r="G125" s="3262">
        <v>0.1</v>
      </c>
    </row>
    <row r="126" spans="1:7" ht="14.25" thickBot="1">
      <c r="A126" s="3274" t="s">
        <v>303</v>
      </c>
      <c r="B126" s="3264" t="s">
        <v>3185</v>
      </c>
      <c r="C126" s="3265">
        <v>0.1</v>
      </c>
      <c r="D126" s="3265">
        <v>0.1</v>
      </c>
      <c r="E126" s="3265">
        <v>9.8000000000000004E-2</v>
      </c>
      <c r="F126" s="3265">
        <v>0.1</v>
      </c>
      <c r="G126" s="3267">
        <v>0.1</v>
      </c>
    </row>
    <row r="127" spans="1:7">
      <c r="A127" s="3270" t="s">
        <v>29</v>
      </c>
      <c r="B127" s="3256" t="s">
        <v>2862</v>
      </c>
      <c r="C127" s="3257">
        <v>0.121</v>
      </c>
      <c r="D127" s="3257">
        <v>0.121</v>
      </c>
      <c r="E127" s="3257">
        <v>0.107</v>
      </c>
      <c r="F127" s="3257">
        <v>0.13</v>
      </c>
      <c r="G127" s="3258">
        <v>0.122</v>
      </c>
    </row>
    <row r="128" spans="1:7">
      <c r="A128" s="3271" t="s">
        <v>29</v>
      </c>
      <c r="B128" s="3260" t="s">
        <v>132</v>
      </c>
      <c r="C128" s="3261">
        <v>0.11600000000000001</v>
      </c>
      <c r="D128" s="3261">
        <v>0.11700000000000001</v>
      </c>
      <c r="E128" s="3261">
        <v>0.104</v>
      </c>
      <c r="F128" s="3261">
        <v>0.13</v>
      </c>
      <c r="G128" s="3262">
        <v>0.11700000000000001</v>
      </c>
    </row>
    <row r="129" spans="1:7">
      <c r="A129" s="3271" t="s">
        <v>29</v>
      </c>
      <c r="B129" s="3260" t="s">
        <v>141</v>
      </c>
      <c r="C129" s="3261">
        <v>0.107</v>
      </c>
      <c r="D129" s="3261">
        <v>0.108</v>
      </c>
      <c r="E129" s="3261">
        <v>0.1</v>
      </c>
      <c r="F129" s="3261">
        <v>0.13</v>
      </c>
      <c r="G129" s="3262">
        <v>0.11700000000000001</v>
      </c>
    </row>
    <row r="130" spans="1:7">
      <c r="A130" s="3271" t="s">
        <v>29</v>
      </c>
      <c r="B130" s="3260" t="s">
        <v>150</v>
      </c>
      <c r="C130" s="3261">
        <v>0.13</v>
      </c>
      <c r="D130" s="3261">
        <v>0.13</v>
      </c>
      <c r="E130" s="3261">
        <v>0.126</v>
      </c>
      <c r="F130" s="3261">
        <v>0.13</v>
      </c>
      <c r="G130" s="3262">
        <v>0.13</v>
      </c>
    </row>
    <row r="131" spans="1:7">
      <c r="A131" s="3271" t="s">
        <v>29</v>
      </c>
      <c r="B131" s="3260" t="s">
        <v>159</v>
      </c>
      <c r="C131" s="3261">
        <v>0.13</v>
      </c>
      <c r="D131" s="3261">
        <v>0.13</v>
      </c>
      <c r="E131" s="3261">
        <v>0.13</v>
      </c>
      <c r="F131" s="3261">
        <v>0.13</v>
      </c>
      <c r="G131" s="3262">
        <v>0.13</v>
      </c>
    </row>
    <row r="132" spans="1:7">
      <c r="A132" s="3271" t="s">
        <v>29</v>
      </c>
      <c r="B132" s="3260" t="s">
        <v>166</v>
      </c>
      <c r="C132" s="3261">
        <v>0.13</v>
      </c>
      <c r="D132" s="3261">
        <v>0.13</v>
      </c>
      <c r="E132" s="3261">
        <v>0.126</v>
      </c>
      <c r="F132" s="3261">
        <v>0.13</v>
      </c>
      <c r="G132" s="3262">
        <v>0.13</v>
      </c>
    </row>
    <row r="133" spans="1:7">
      <c r="A133" s="3271" t="s">
        <v>29</v>
      </c>
      <c r="B133" s="3260" t="s">
        <v>172</v>
      </c>
      <c r="C133" s="3261">
        <v>0.111</v>
      </c>
      <c r="D133" s="3261">
        <v>0.111</v>
      </c>
      <c r="E133" s="3261">
        <v>0.10199999999999999</v>
      </c>
      <c r="F133" s="3261">
        <v>0.13</v>
      </c>
      <c r="G133" s="3262">
        <v>0.121</v>
      </c>
    </row>
    <row r="134" spans="1:7">
      <c r="A134" s="3271" t="s">
        <v>29</v>
      </c>
      <c r="B134" s="3260" t="s">
        <v>179</v>
      </c>
      <c r="C134" s="3261">
        <v>0.121</v>
      </c>
      <c r="D134" s="3261">
        <v>0.121</v>
      </c>
      <c r="E134" s="3261">
        <v>0.1</v>
      </c>
      <c r="F134" s="3261">
        <v>0.13</v>
      </c>
      <c r="G134" s="3262">
        <v>0.123</v>
      </c>
    </row>
    <row r="135" spans="1:7">
      <c r="A135" s="3271" t="s">
        <v>29</v>
      </c>
      <c r="B135" s="3260" t="s">
        <v>189</v>
      </c>
      <c r="C135" s="3261">
        <v>0.105</v>
      </c>
      <c r="D135" s="3261">
        <v>0.106</v>
      </c>
      <c r="E135" s="3261">
        <v>0.1</v>
      </c>
      <c r="F135" s="3261">
        <v>0.13</v>
      </c>
      <c r="G135" s="3262">
        <v>0.115</v>
      </c>
    </row>
    <row r="136" spans="1:7">
      <c r="A136" s="3271" t="s">
        <v>29</v>
      </c>
      <c r="B136" s="3260" t="s">
        <v>198</v>
      </c>
      <c r="C136" s="3261">
        <v>0.127</v>
      </c>
      <c r="D136" s="3261">
        <v>0.127</v>
      </c>
      <c r="E136" s="3261">
        <v>0.121</v>
      </c>
      <c r="F136" s="3261">
        <v>0.123</v>
      </c>
      <c r="G136" s="3262">
        <v>0.129</v>
      </c>
    </row>
    <row r="137" spans="1:7">
      <c r="A137" s="3271" t="s">
        <v>29</v>
      </c>
      <c r="B137" s="3260" t="s">
        <v>205</v>
      </c>
      <c r="C137" s="3261">
        <v>0.13</v>
      </c>
      <c r="D137" s="3261">
        <v>0.13</v>
      </c>
      <c r="E137" s="3261">
        <v>0.129</v>
      </c>
      <c r="F137" s="3261">
        <v>0.13</v>
      </c>
      <c r="G137" s="3262">
        <v>0.13</v>
      </c>
    </row>
    <row r="138" spans="1:7">
      <c r="A138" s="3271" t="s">
        <v>29</v>
      </c>
      <c r="B138" s="3260" t="s">
        <v>212</v>
      </c>
      <c r="C138" s="3261">
        <v>0.13</v>
      </c>
      <c r="D138" s="3261">
        <v>0.13</v>
      </c>
      <c r="E138" s="3261">
        <v>0.125</v>
      </c>
      <c r="F138" s="3261">
        <v>0.13</v>
      </c>
      <c r="G138" s="3262">
        <v>0.13</v>
      </c>
    </row>
    <row r="139" spans="1:7">
      <c r="A139" s="3271" t="s">
        <v>29</v>
      </c>
      <c r="B139" s="3260" t="s">
        <v>218</v>
      </c>
      <c r="C139" s="3261">
        <v>0.13</v>
      </c>
      <c r="D139" s="3261">
        <v>0.13</v>
      </c>
      <c r="E139" s="3261">
        <v>0.126</v>
      </c>
      <c r="F139" s="3261">
        <v>0.13</v>
      </c>
      <c r="G139" s="3262">
        <v>0.13</v>
      </c>
    </row>
    <row r="140" spans="1:7">
      <c r="A140" s="3271" t="s">
        <v>29</v>
      </c>
      <c r="B140" s="3260" t="s">
        <v>226</v>
      </c>
      <c r="C140" s="3261">
        <v>0.1</v>
      </c>
      <c r="D140" s="3261">
        <v>0.1</v>
      </c>
      <c r="E140" s="3261">
        <v>0.1</v>
      </c>
      <c r="F140" s="3261">
        <v>0.123</v>
      </c>
      <c r="G140" s="3262">
        <v>0.107</v>
      </c>
    </row>
    <row r="141" spans="1:7">
      <c r="A141" s="3271" t="s">
        <v>29</v>
      </c>
      <c r="B141" s="3260" t="s">
        <v>234</v>
      </c>
      <c r="C141" s="3261">
        <v>0.127</v>
      </c>
      <c r="D141" s="3261">
        <v>0.127</v>
      </c>
      <c r="E141" s="3261">
        <v>0.122</v>
      </c>
      <c r="F141" s="3261">
        <v>0.1</v>
      </c>
      <c r="G141" s="3262">
        <v>0.129</v>
      </c>
    </row>
    <row r="142" spans="1:7">
      <c r="A142" s="3271" t="s">
        <v>29</v>
      </c>
      <c r="B142" s="3260" t="s">
        <v>239</v>
      </c>
      <c r="C142" s="3261">
        <v>0.121</v>
      </c>
      <c r="D142" s="3261">
        <v>0.122</v>
      </c>
      <c r="E142" s="3261">
        <v>0.1</v>
      </c>
      <c r="F142" s="3261">
        <v>0.123</v>
      </c>
      <c r="G142" s="3262">
        <v>0.123</v>
      </c>
    </row>
    <row r="143" spans="1:7">
      <c r="A143" s="3271" t="s">
        <v>29</v>
      </c>
      <c r="B143" s="3260" t="s">
        <v>248</v>
      </c>
      <c r="C143" s="3261">
        <v>0.1</v>
      </c>
      <c r="D143" s="3261">
        <v>0.1</v>
      </c>
      <c r="E143" s="3261">
        <v>0.1</v>
      </c>
      <c r="F143" s="3261">
        <v>0.13</v>
      </c>
      <c r="G143" s="3262">
        <v>0.1</v>
      </c>
    </row>
    <row r="144" spans="1:7">
      <c r="A144" s="3271" t="s">
        <v>29</v>
      </c>
      <c r="B144" s="3260" t="s">
        <v>255</v>
      </c>
      <c r="C144" s="3261">
        <v>0.106</v>
      </c>
      <c r="D144" s="3261">
        <v>0.105</v>
      </c>
      <c r="E144" s="3261">
        <v>0.1</v>
      </c>
      <c r="F144" s="3261">
        <v>0.13</v>
      </c>
      <c r="G144" s="3262">
        <v>0.11799999999999999</v>
      </c>
    </row>
    <row r="145" spans="1:7">
      <c r="A145" s="3271" t="s">
        <v>29</v>
      </c>
      <c r="B145" s="3260" t="s">
        <v>263</v>
      </c>
      <c r="C145" s="3261">
        <v>0.123</v>
      </c>
      <c r="D145" s="3261">
        <v>0.123</v>
      </c>
      <c r="E145" s="3261">
        <v>0.11700000000000001</v>
      </c>
      <c r="F145" s="3261">
        <v>0.13</v>
      </c>
      <c r="G145" s="3262">
        <v>0.126</v>
      </c>
    </row>
    <row r="146" spans="1:7">
      <c r="A146" s="3271" t="s">
        <v>29</v>
      </c>
      <c r="B146" s="3260" t="s">
        <v>270</v>
      </c>
      <c r="C146" s="3261">
        <v>0.127</v>
      </c>
      <c r="D146" s="3261">
        <v>0.127</v>
      </c>
      <c r="E146" s="3261">
        <v>0.12</v>
      </c>
      <c r="F146" s="3272"/>
      <c r="G146" s="3262">
        <v>0.129</v>
      </c>
    </row>
    <row r="147" spans="1:7">
      <c r="A147" s="3271" t="s">
        <v>29</v>
      </c>
      <c r="B147" s="3260" t="s">
        <v>274</v>
      </c>
      <c r="C147" s="3261">
        <v>0.13</v>
      </c>
      <c r="D147" s="3261">
        <v>0.13</v>
      </c>
      <c r="E147" s="3261">
        <v>0.126</v>
      </c>
      <c r="F147" s="3272"/>
      <c r="G147" s="3262">
        <v>0.13</v>
      </c>
    </row>
    <row r="148" spans="1:7">
      <c r="A148" s="3271" t="s">
        <v>29</v>
      </c>
      <c r="B148" s="3260" t="s">
        <v>2932</v>
      </c>
      <c r="C148" s="3261">
        <v>0.13</v>
      </c>
      <c r="D148" s="3261">
        <v>0.13</v>
      </c>
      <c r="E148" s="3261">
        <v>0.13</v>
      </c>
      <c r="F148" s="3272"/>
      <c r="G148" s="3262">
        <v>0.13</v>
      </c>
    </row>
    <row r="149" spans="1:7">
      <c r="A149" s="3271" t="s">
        <v>29</v>
      </c>
      <c r="B149" s="3260" t="s">
        <v>2936</v>
      </c>
      <c r="C149" s="3261">
        <v>0.13</v>
      </c>
      <c r="D149" s="3261">
        <v>0.13</v>
      </c>
      <c r="E149" s="3261">
        <v>0.13</v>
      </c>
      <c r="F149" s="3261">
        <v>0.13</v>
      </c>
      <c r="G149" s="3262">
        <v>0.13</v>
      </c>
    </row>
    <row r="150" spans="1:7">
      <c r="A150" s="3271" t="s">
        <v>29</v>
      </c>
      <c r="B150" s="3260" t="s">
        <v>292</v>
      </c>
      <c r="C150" s="3261">
        <v>0.13</v>
      </c>
      <c r="D150" s="3261">
        <v>0.13</v>
      </c>
      <c r="E150" s="3261">
        <v>0.127</v>
      </c>
      <c r="F150" s="3261">
        <v>0.13</v>
      </c>
      <c r="G150" s="3262">
        <v>0.13</v>
      </c>
    </row>
    <row r="151" spans="1:7">
      <c r="A151" s="3271" t="s">
        <v>29</v>
      </c>
      <c r="B151" s="3260" t="s">
        <v>294</v>
      </c>
      <c r="C151" s="3261">
        <v>0.13</v>
      </c>
      <c r="D151" s="3261">
        <v>0.13</v>
      </c>
      <c r="E151" s="3261">
        <v>0.13</v>
      </c>
      <c r="F151" s="3261">
        <v>0.13</v>
      </c>
      <c r="G151" s="3262">
        <v>0.13</v>
      </c>
    </row>
    <row r="152" spans="1:7">
      <c r="A152" s="3271" t="s">
        <v>29</v>
      </c>
      <c r="B152" s="3260" t="s">
        <v>297</v>
      </c>
      <c r="C152" s="3261">
        <v>0.13</v>
      </c>
      <c r="D152" s="3261">
        <v>0.13</v>
      </c>
      <c r="E152" s="3261">
        <v>0.13</v>
      </c>
      <c r="F152" s="3261">
        <v>0.13</v>
      </c>
      <c r="G152" s="3262">
        <v>0.13</v>
      </c>
    </row>
    <row r="153" spans="1:7">
      <c r="A153" s="3271" t="s">
        <v>29</v>
      </c>
      <c r="B153" s="3260" t="s">
        <v>2955</v>
      </c>
      <c r="C153" s="3261">
        <v>0.13</v>
      </c>
      <c r="D153" s="3261">
        <v>0.13</v>
      </c>
      <c r="E153" s="3261">
        <v>0.13</v>
      </c>
      <c r="F153" s="3261">
        <v>0.13</v>
      </c>
      <c r="G153" s="3262">
        <v>0.13</v>
      </c>
    </row>
    <row r="154" spans="1:7">
      <c r="A154" s="3271" t="s">
        <v>29</v>
      </c>
      <c r="B154" s="3260" t="s">
        <v>2962</v>
      </c>
      <c r="C154" s="3261">
        <v>0.121</v>
      </c>
      <c r="D154" s="3261">
        <v>0.121</v>
      </c>
      <c r="E154" s="3261">
        <v>0.105</v>
      </c>
      <c r="F154" s="3261">
        <v>0.121</v>
      </c>
      <c r="G154" s="3262">
        <v>0.123</v>
      </c>
    </row>
    <row r="155" spans="1:7">
      <c r="A155" s="3271" t="s">
        <v>29</v>
      </c>
      <c r="B155" s="3260" t="s">
        <v>2968</v>
      </c>
      <c r="C155" s="3261">
        <v>0.1</v>
      </c>
      <c r="D155" s="3261">
        <v>0.1</v>
      </c>
      <c r="E155" s="3261">
        <v>0.1</v>
      </c>
      <c r="F155" s="3261">
        <v>0.1</v>
      </c>
      <c r="G155" s="3262">
        <v>0.1</v>
      </c>
    </row>
    <row r="156" spans="1:7">
      <c r="A156" s="3271" t="s">
        <v>29</v>
      </c>
      <c r="B156" s="3260" t="s">
        <v>2975</v>
      </c>
      <c r="C156" s="3261">
        <v>0.13</v>
      </c>
      <c r="D156" s="3261">
        <v>0.13</v>
      </c>
      <c r="E156" s="3261">
        <v>0.13</v>
      </c>
      <c r="F156" s="3261">
        <v>0.13</v>
      </c>
      <c r="G156" s="3262">
        <v>0.13</v>
      </c>
    </row>
    <row r="157" spans="1:7">
      <c r="A157" s="3271" t="s">
        <v>29</v>
      </c>
      <c r="B157" s="3260" t="s">
        <v>300</v>
      </c>
      <c r="C157" s="3261">
        <v>0.13</v>
      </c>
      <c r="D157" s="3261">
        <v>0.13</v>
      </c>
      <c r="E157" s="3261">
        <v>0.125</v>
      </c>
      <c r="F157" s="3261">
        <v>0.13</v>
      </c>
      <c r="G157" s="3262">
        <v>0.13</v>
      </c>
    </row>
    <row r="158" spans="1:7">
      <c r="A158" s="3271" t="s">
        <v>29</v>
      </c>
      <c r="B158" s="3260" t="s">
        <v>301</v>
      </c>
      <c r="C158" s="3261">
        <v>0.124</v>
      </c>
      <c r="D158" s="3261">
        <v>0.124</v>
      </c>
      <c r="E158" s="3261">
        <v>0.11700000000000001</v>
      </c>
      <c r="F158" s="3261">
        <v>0.121</v>
      </c>
      <c r="G158" s="3262">
        <v>0.124</v>
      </c>
    </row>
    <row r="159" spans="1:7">
      <c r="A159" s="3271" t="s">
        <v>29</v>
      </c>
      <c r="B159" s="3260" t="s">
        <v>302</v>
      </c>
      <c r="C159" s="3261">
        <v>0.127</v>
      </c>
      <c r="D159" s="3261">
        <v>0.127</v>
      </c>
      <c r="E159" s="3261">
        <v>0.122</v>
      </c>
      <c r="F159" s="3261">
        <v>0.13</v>
      </c>
      <c r="G159" s="3262">
        <v>0.129</v>
      </c>
    </row>
    <row r="160" spans="1:7">
      <c r="A160" s="3271" t="s">
        <v>29</v>
      </c>
      <c r="B160" s="3260" t="s">
        <v>2995</v>
      </c>
      <c r="C160" s="3261">
        <v>0.13</v>
      </c>
      <c r="D160" s="3261">
        <v>0.13</v>
      </c>
      <c r="E160" s="3261">
        <v>0.124</v>
      </c>
      <c r="F160" s="3261">
        <v>0.126</v>
      </c>
      <c r="G160" s="3262">
        <v>0.13</v>
      </c>
    </row>
    <row r="161" spans="1:7">
      <c r="A161" s="3271" t="s">
        <v>29</v>
      </c>
      <c r="B161" s="3260" t="s">
        <v>3000</v>
      </c>
      <c r="C161" s="3261">
        <v>0.13</v>
      </c>
      <c r="D161" s="3261">
        <v>0.13</v>
      </c>
      <c r="E161" s="3261">
        <v>0.124</v>
      </c>
      <c r="F161" s="3261">
        <v>0.127</v>
      </c>
      <c r="G161" s="3262">
        <v>0.13</v>
      </c>
    </row>
    <row r="162" spans="1:7">
      <c r="A162" s="3271" t="s">
        <v>29</v>
      </c>
      <c r="B162" s="3260" t="s">
        <v>3005</v>
      </c>
      <c r="C162" s="3261">
        <v>0.1</v>
      </c>
      <c r="D162" s="3261">
        <v>0.1</v>
      </c>
      <c r="E162" s="3261">
        <v>0.1</v>
      </c>
      <c r="F162" s="3261">
        <v>0.121</v>
      </c>
      <c r="G162" s="3262">
        <v>0.105</v>
      </c>
    </row>
    <row r="163" spans="1:7">
      <c r="A163" s="3271" t="s">
        <v>29</v>
      </c>
      <c r="B163" s="3260" t="s">
        <v>3010</v>
      </c>
      <c r="C163" s="3261">
        <v>0.1</v>
      </c>
      <c r="D163" s="3261">
        <v>0.1</v>
      </c>
      <c r="E163" s="3261">
        <v>0.1</v>
      </c>
      <c r="F163" s="3261">
        <v>0.1</v>
      </c>
      <c r="G163" s="3262">
        <v>0.1</v>
      </c>
    </row>
    <row r="164" spans="1:7">
      <c r="A164" s="3271" t="s">
        <v>29</v>
      </c>
      <c r="B164" s="3260" t="s">
        <v>3015</v>
      </c>
      <c r="C164" s="3277"/>
      <c r="D164" s="3277"/>
      <c r="E164" s="3277"/>
      <c r="F164" s="3261">
        <v>0.1</v>
      </c>
      <c r="G164" s="3273"/>
    </row>
    <row r="165" spans="1:7">
      <c r="A165" s="3271" t="s">
        <v>29</v>
      </c>
      <c r="B165" s="3260" t="s">
        <v>3186</v>
      </c>
      <c r="C165" s="3261">
        <v>0.126</v>
      </c>
      <c r="D165" s="3261">
        <v>0.126</v>
      </c>
      <c r="E165" s="3261">
        <v>0.11899999999999999</v>
      </c>
      <c r="F165" s="3261">
        <v>0.13</v>
      </c>
      <c r="G165" s="3262">
        <v>0.128</v>
      </c>
    </row>
    <row r="166" spans="1:7">
      <c r="A166" s="3271" t="s">
        <v>29</v>
      </c>
      <c r="B166" s="3260" t="s">
        <v>3025</v>
      </c>
      <c r="C166" s="3261">
        <v>0.129</v>
      </c>
      <c r="D166" s="3261">
        <v>0.129</v>
      </c>
      <c r="E166" s="3261">
        <v>0.123</v>
      </c>
      <c r="F166" s="3261">
        <v>0.128</v>
      </c>
      <c r="G166" s="3262">
        <v>0.13</v>
      </c>
    </row>
    <row r="167" spans="1:7">
      <c r="A167" s="3271" t="s">
        <v>29</v>
      </c>
      <c r="B167" s="3260" t="s">
        <v>3029</v>
      </c>
      <c r="C167" s="3261">
        <v>0.125</v>
      </c>
      <c r="D167" s="3261">
        <v>0.125</v>
      </c>
      <c r="E167" s="3261">
        <v>0.11700000000000001</v>
      </c>
      <c r="F167" s="3261">
        <v>0.13</v>
      </c>
      <c r="G167" s="3262">
        <v>0.126</v>
      </c>
    </row>
    <row r="168" spans="1:7">
      <c r="A168" s="3271" t="s">
        <v>29</v>
      </c>
      <c r="B168" s="3260" t="s">
        <v>3034</v>
      </c>
      <c r="C168" s="3261">
        <v>0.128</v>
      </c>
      <c r="D168" s="3261">
        <v>0.128</v>
      </c>
      <c r="E168" s="3261">
        <v>0.123</v>
      </c>
      <c r="F168" s="3272"/>
      <c r="G168" s="3262">
        <v>0.13</v>
      </c>
    </row>
    <row r="169" spans="1:7">
      <c r="A169" s="3271" t="s">
        <v>29</v>
      </c>
      <c r="B169" s="3260" t="s">
        <v>3187</v>
      </c>
      <c r="C169" s="3277"/>
      <c r="D169" s="3277"/>
      <c r="E169" s="3277"/>
      <c r="F169" s="3261">
        <v>0.05</v>
      </c>
      <c r="G169" s="3273"/>
    </row>
    <row r="170" spans="1:7">
      <c r="A170" s="3271" t="s">
        <v>29</v>
      </c>
      <c r="B170" s="3260" t="s">
        <v>3188</v>
      </c>
      <c r="C170" s="3277"/>
      <c r="D170" s="3277"/>
      <c r="E170" s="3277"/>
      <c r="F170" s="3261">
        <v>0.05</v>
      </c>
      <c r="G170" s="3273"/>
    </row>
    <row r="171" spans="1:7">
      <c r="A171" s="3271" t="s">
        <v>29</v>
      </c>
      <c r="B171" s="3260" t="s">
        <v>3189</v>
      </c>
      <c r="C171" s="3277"/>
      <c r="D171" s="3277"/>
      <c r="E171" s="3277"/>
      <c r="F171" s="3261">
        <v>0.05</v>
      </c>
      <c r="G171" s="3278"/>
    </row>
    <row r="172" spans="1:7">
      <c r="A172" s="3271" t="s">
        <v>29</v>
      </c>
      <c r="B172" s="3260" t="s">
        <v>3190</v>
      </c>
      <c r="C172" s="3277"/>
      <c r="D172" s="3277"/>
      <c r="E172" s="3277"/>
      <c r="F172" s="3261">
        <v>0.05</v>
      </c>
      <c r="G172" s="3278"/>
    </row>
    <row r="173" spans="1:7">
      <c r="A173" s="3271" t="s">
        <v>29</v>
      </c>
      <c r="B173" s="3260" t="s">
        <v>3191</v>
      </c>
      <c r="C173" s="3277"/>
      <c r="D173" s="3277"/>
      <c r="E173" s="3277"/>
      <c r="F173" s="3261">
        <v>0.05</v>
      </c>
      <c r="G173" s="3273"/>
    </row>
    <row r="174" spans="1:7">
      <c r="A174" s="3271" t="s">
        <v>29</v>
      </c>
      <c r="B174" s="3260" t="s">
        <v>3192</v>
      </c>
      <c r="C174" s="3277"/>
      <c r="D174" s="3277"/>
      <c r="E174" s="3277"/>
      <c r="F174" s="3261">
        <v>0.05</v>
      </c>
      <c r="G174" s="3273"/>
    </row>
    <row r="175" spans="1:7">
      <c r="A175" s="3271" t="s">
        <v>29</v>
      </c>
      <c r="B175" s="3260" t="s">
        <v>3193</v>
      </c>
      <c r="C175" s="3277"/>
      <c r="D175" s="3277"/>
      <c r="E175" s="3277"/>
      <c r="F175" s="3261">
        <v>0.05</v>
      </c>
      <c r="G175" s="3273"/>
    </row>
    <row r="176" spans="1:7">
      <c r="A176" s="3271" t="s">
        <v>29</v>
      </c>
      <c r="B176" s="3260" t="s">
        <v>3194</v>
      </c>
      <c r="C176" s="3277"/>
      <c r="D176" s="3277"/>
      <c r="E176" s="3277"/>
      <c r="F176" s="3261">
        <v>0.05</v>
      </c>
      <c r="G176" s="3273"/>
    </row>
    <row r="177" spans="1:7">
      <c r="A177" s="3271" t="s">
        <v>29</v>
      </c>
      <c r="B177" s="3260" t="s">
        <v>3195</v>
      </c>
      <c r="C177" s="3272"/>
      <c r="D177" s="3272"/>
      <c r="E177" s="3272"/>
      <c r="F177" s="3261">
        <v>0.05</v>
      </c>
      <c r="G177" s="3278"/>
    </row>
    <row r="178" spans="1:7">
      <c r="A178" s="3271" t="s">
        <v>29</v>
      </c>
      <c r="B178" s="3260" t="s">
        <v>3196</v>
      </c>
      <c r="C178" s="3272"/>
      <c r="D178" s="3272"/>
      <c r="E178" s="3272"/>
      <c r="F178" s="3261">
        <v>0.05</v>
      </c>
      <c r="G178" s="3278"/>
    </row>
    <row r="179" spans="1:7">
      <c r="A179" s="3271" t="s">
        <v>29</v>
      </c>
      <c r="B179" s="3260" t="s">
        <v>3197</v>
      </c>
      <c r="C179" s="3272"/>
      <c r="D179" s="3272"/>
      <c r="E179" s="3272"/>
      <c r="F179" s="3261">
        <v>0.05</v>
      </c>
      <c r="G179" s="3278"/>
    </row>
    <row r="180" spans="1:7">
      <c r="A180" s="3271" t="s">
        <v>29</v>
      </c>
      <c r="B180" s="3260" t="s">
        <v>3198</v>
      </c>
      <c r="C180" s="3272"/>
      <c r="D180" s="3272"/>
      <c r="E180" s="3272"/>
      <c r="F180" s="3261">
        <v>0.05</v>
      </c>
      <c r="G180" s="3278"/>
    </row>
    <row r="181" spans="1:7">
      <c r="A181" s="3271" t="s">
        <v>29</v>
      </c>
      <c r="B181" s="3260" t="s">
        <v>3199</v>
      </c>
      <c r="C181" s="3272"/>
      <c r="D181" s="3272"/>
      <c r="E181" s="3272"/>
      <c r="F181" s="3261">
        <v>0.05</v>
      </c>
      <c r="G181" s="3278"/>
    </row>
    <row r="182" spans="1:7">
      <c r="A182" s="3271" t="s">
        <v>29</v>
      </c>
      <c r="B182" s="3260" t="s">
        <v>3200</v>
      </c>
      <c r="C182" s="3272"/>
      <c r="D182" s="3272"/>
      <c r="E182" s="3272"/>
      <c r="F182" s="3261">
        <v>0.05</v>
      </c>
      <c r="G182" s="3278"/>
    </row>
    <row r="183" spans="1:7">
      <c r="A183" s="3271" t="s">
        <v>29</v>
      </c>
      <c r="B183" s="3260" t="s">
        <v>3201</v>
      </c>
      <c r="C183" s="3272"/>
      <c r="D183" s="3272"/>
      <c r="E183" s="3272"/>
      <c r="F183" s="3261">
        <v>0.05</v>
      </c>
      <c r="G183" s="3278"/>
    </row>
    <row r="184" spans="1:7">
      <c r="A184" s="3271" t="s">
        <v>29</v>
      </c>
      <c r="B184" s="3260" t="s">
        <v>3202</v>
      </c>
      <c r="C184" s="3272"/>
      <c r="D184" s="3272"/>
      <c r="E184" s="3272"/>
      <c r="F184" s="3261">
        <v>0.05</v>
      </c>
      <c r="G184" s="3278"/>
    </row>
    <row r="185" spans="1:7">
      <c r="A185" s="3271" t="s">
        <v>29</v>
      </c>
      <c r="B185" s="3260" t="s">
        <v>3203</v>
      </c>
      <c r="C185" s="3272"/>
      <c r="D185" s="3272"/>
      <c r="E185" s="3272"/>
      <c r="F185" s="3261">
        <v>0.05</v>
      </c>
      <c r="G185" s="3278"/>
    </row>
    <row r="186" spans="1:7">
      <c r="A186" s="3271" t="s">
        <v>29</v>
      </c>
      <c r="B186" s="3260" t="s">
        <v>3204</v>
      </c>
      <c r="C186" s="3272"/>
      <c r="D186" s="3272"/>
      <c r="E186" s="3272"/>
      <c r="F186" s="3261">
        <v>0.05</v>
      </c>
      <c r="G186" s="3278"/>
    </row>
    <row r="187" spans="1:7">
      <c r="A187" s="3271" t="s">
        <v>29</v>
      </c>
      <c r="B187" s="3260" t="s">
        <v>3205</v>
      </c>
      <c r="C187" s="3272"/>
      <c r="D187" s="3272"/>
      <c r="E187" s="3272"/>
      <c r="F187" s="3261">
        <v>0.05</v>
      </c>
      <c r="G187" s="3278"/>
    </row>
    <row r="188" spans="1:7">
      <c r="A188" s="3271" t="s">
        <v>29</v>
      </c>
      <c r="B188" s="3260" t="s">
        <v>3206</v>
      </c>
      <c r="C188" s="3272"/>
      <c r="D188" s="3272"/>
      <c r="E188" s="3272"/>
      <c r="F188" s="3261">
        <v>0.05</v>
      </c>
      <c r="G188" s="3278"/>
    </row>
    <row r="189" spans="1:7" ht="14.25" thickBot="1">
      <c r="A189" s="3274" t="s">
        <v>29</v>
      </c>
      <c r="B189" s="3264" t="s">
        <v>3207</v>
      </c>
      <c r="C189" s="3266"/>
      <c r="D189" s="3266"/>
      <c r="E189" s="3266"/>
      <c r="F189" s="3265">
        <v>0.05</v>
      </c>
      <c r="G189" s="3279"/>
    </row>
    <row r="190" spans="1:7">
      <c r="A190" s="3270" t="s">
        <v>304</v>
      </c>
      <c r="B190" s="3256" t="s">
        <v>2863</v>
      </c>
      <c r="C190" s="3257">
        <v>0.124</v>
      </c>
      <c r="D190" s="3257">
        <v>0.124</v>
      </c>
      <c r="E190" s="3257">
        <v>0.129</v>
      </c>
      <c r="F190" s="3257">
        <v>0.13</v>
      </c>
      <c r="G190" s="3258">
        <v>0.127</v>
      </c>
    </row>
    <row r="191" spans="1:7">
      <c r="A191" s="3271" t="s">
        <v>304</v>
      </c>
      <c r="B191" s="3260" t="s">
        <v>133</v>
      </c>
      <c r="C191" s="3261">
        <v>0.13</v>
      </c>
      <c r="D191" s="3261">
        <v>0.13</v>
      </c>
      <c r="E191" s="3261">
        <v>0.13</v>
      </c>
      <c r="F191" s="3261">
        <v>0.13</v>
      </c>
      <c r="G191" s="3262">
        <v>0.13</v>
      </c>
    </row>
    <row r="192" spans="1:7">
      <c r="A192" s="3271" t="s">
        <v>304</v>
      </c>
      <c r="B192" s="3260" t="s">
        <v>142</v>
      </c>
      <c r="C192" s="3261">
        <v>0.13</v>
      </c>
      <c r="D192" s="3261">
        <v>0.13</v>
      </c>
      <c r="E192" s="3261">
        <v>0.13</v>
      </c>
      <c r="F192" s="3261">
        <v>0.13</v>
      </c>
      <c r="G192" s="3262">
        <v>0.13</v>
      </c>
    </row>
    <row r="193" spans="1:7">
      <c r="A193" s="3271" t="s">
        <v>304</v>
      </c>
      <c r="B193" s="3260" t="s">
        <v>151</v>
      </c>
      <c r="C193" s="3261">
        <v>0.13</v>
      </c>
      <c r="D193" s="3261">
        <v>0.13</v>
      </c>
      <c r="E193" s="3261">
        <v>0.13</v>
      </c>
      <c r="F193" s="3261">
        <v>0.13</v>
      </c>
      <c r="G193" s="3262">
        <v>0.13</v>
      </c>
    </row>
    <row r="194" spans="1:7">
      <c r="A194" s="3271" t="s">
        <v>304</v>
      </c>
      <c r="B194" s="3260" t="s">
        <v>160</v>
      </c>
      <c r="C194" s="3261">
        <v>0.123</v>
      </c>
      <c r="D194" s="3261">
        <v>0.123</v>
      </c>
      <c r="E194" s="3261">
        <v>0.128</v>
      </c>
      <c r="F194" s="3261">
        <v>0.13</v>
      </c>
      <c r="G194" s="3262">
        <v>0.126</v>
      </c>
    </row>
    <row r="195" spans="1:7">
      <c r="A195" s="3271" t="s">
        <v>304</v>
      </c>
      <c r="B195" s="3260" t="s">
        <v>167</v>
      </c>
      <c r="C195" s="3261">
        <v>0.127</v>
      </c>
      <c r="D195" s="3261">
        <v>0.127</v>
      </c>
      <c r="E195" s="3261">
        <v>0.121</v>
      </c>
      <c r="F195" s="3261">
        <v>0.129</v>
      </c>
      <c r="G195" s="3262">
        <v>0.129</v>
      </c>
    </row>
    <row r="196" spans="1:7">
      <c r="A196" s="3271" t="s">
        <v>304</v>
      </c>
      <c r="B196" s="3260" t="s">
        <v>173</v>
      </c>
      <c r="C196" s="3261">
        <v>0.127</v>
      </c>
      <c r="D196" s="3261">
        <v>0.128</v>
      </c>
      <c r="E196" s="3261">
        <v>0.122</v>
      </c>
      <c r="F196" s="3261">
        <v>0.13</v>
      </c>
      <c r="G196" s="3262">
        <v>0.129</v>
      </c>
    </row>
    <row r="197" spans="1:7">
      <c r="A197" s="3271" t="s">
        <v>304</v>
      </c>
      <c r="B197" s="3260" t="s">
        <v>180</v>
      </c>
      <c r="C197" s="3261">
        <v>0.126</v>
      </c>
      <c r="D197" s="3261">
        <v>0.126</v>
      </c>
      <c r="E197" s="3261">
        <v>0.11899999999999999</v>
      </c>
      <c r="F197" s="3261">
        <v>0.13</v>
      </c>
      <c r="G197" s="3262">
        <v>0.128</v>
      </c>
    </row>
    <row r="198" spans="1:7">
      <c r="A198" s="3271" t="s">
        <v>304</v>
      </c>
      <c r="B198" s="3260" t="s">
        <v>190</v>
      </c>
      <c r="C198" s="3261">
        <v>0.13</v>
      </c>
      <c r="D198" s="3261">
        <v>0.13</v>
      </c>
      <c r="E198" s="3261">
        <v>0.126</v>
      </c>
      <c r="F198" s="3277"/>
      <c r="G198" s="3262">
        <v>0.13</v>
      </c>
    </row>
    <row r="199" spans="1:7">
      <c r="A199" s="3271" t="s">
        <v>304</v>
      </c>
      <c r="B199" s="3260" t="s">
        <v>2899</v>
      </c>
      <c r="C199" s="3261">
        <v>0.13</v>
      </c>
      <c r="D199" s="3261">
        <v>0.13</v>
      </c>
      <c r="E199" s="3261">
        <v>0.13</v>
      </c>
      <c r="F199" s="3261">
        <v>0.13</v>
      </c>
      <c r="G199" s="3262">
        <v>0.13</v>
      </c>
    </row>
    <row r="200" spans="1:7">
      <c r="A200" s="3271" t="s">
        <v>304</v>
      </c>
      <c r="B200" s="3260" t="s">
        <v>2902</v>
      </c>
      <c r="C200" s="3277"/>
      <c r="D200" s="3277"/>
      <c r="E200" s="3277"/>
      <c r="F200" s="3261">
        <v>0.13</v>
      </c>
      <c r="G200" s="3273"/>
    </row>
    <row r="201" spans="1:7">
      <c r="A201" s="3271" t="s">
        <v>304</v>
      </c>
      <c r="B201" s="3260" t="s">
        <v>2907</v>
      </c>
      <c r="C201" s="3261">
        <v>0.13</v>
      </c>
      <c r="D201" s="3261">
        <v>0.13</v>
      </c>
      <c r="E201" s="3261">
        <v>0.13</v>
      </c>
      <c r="F201" s="3261">
        <v>0.129</v>
      </c>
      <c r="G201" s="3262">
        <v>0.13</v>
      </c>
    </row>
    <row r="202" spans="1:7">
      <c r="A202" s="3271" t="s">
        <v>304</v>
      </c>
      <c r="B202" s="3260" t="s">
        <v>240</v>
      </c>
      <c r="C202" s="3261">
        <v>0.13</v>
      </c>
      <c r="D202" s="3261">
        <v>0.13</v>
      </c>
      <c r="E202" s="3261">
        <v>0.13</v>
      </c>
      <c r="F202" s="3261">
        <v>0.13</v>
      </c>
      <c r="G202" s="3262">
        <v>0.13</v>
      </c>
    </row>
    <row r="203" spans="1:7">
      <c r="A203" s="3271" t="s">
        <v>304</v>
      </c>
      <c r="B203" s="3260" t="s">
        <v>2910</v>
      </c>
      <c r="C203" s="3261">
        <v>0.129</v>
      </c>
      <c r="D203" s="3261">
        <v>0.129</v>
      </c>
      <c r="E203" s="3261">
        <v>0.13</v>
      </c>
      <c r="F203" s="3261">
        <v>0.13</v>
      </c>
      <c r="G203" s="3262">
        <v>0.13</v>
      </c>
    </row>
    <row r="204" spans="1:7">
      <c r="A204" s="3271" t="s">
        <v>304</v>
      </c>
      <c r="B204" s="3260" t="s">
        <v>2913</v>
      </c>
      <c r="C204" s="3261">
        <v>0.129</v>
      </c>
      <c r="D204" s="3261">
        <v>0.129</v>
      </c>
      <c r="E204" s="3261">
        <v>0.123</v>
      </c>
      <c r="F204" s="3261">
        <v>0.13</v>
      </c>
      <c r="G204" s="3262">
        <v>0.13</v>
      </c>
    </row>
    <row r="205" spans="1:7">
      <c r="A205" s="3271" t="s">
        <v>304</v>
      </c>
      <c r="B205" s="3260" t="s">
        <v>2915</v>
      </c>
      <c r="C205" s="3261">
        <v>0.13</v>
      </c>
      <c r="D205" s="3261">
        <v>0.13</v>
      </c>
      <c r="E205" s="3261">
        <v>0.13</v>
      </c>
      <c r="F205" s="3261">
        <v>0.13</v>
      </c>
      <c r="G205" s="3262">
        <v>0.13</v>
      </c>
    </row>
    <row r="206" spans="1:7">
      <c r="A206" s="3271" t="s">
        <v>304</v>
      </c>
      <c r="B206" s="3260" t="s">
        <v>2918</v>
      </c>
      <c r="C206" s="3261">
        <v>0.13</v>
      </c>
      <c r="D206" s="3261">
        <v>0.13</v>
      </c>
      <c r="E206" s="3261">
        <v>0.13</v>
      </c>
      <c r="F206" s="3261">
        <v>0.128</v>
      </c>
      <c r="G206" s="3262">
        <v>0.13</v>
      </c>
    </row>
    <row r="207" spans="1:7">
      <c r="A207" s="3271" t="s">
        <v>304</v>
      </c>
      <c r="B207" s="3260" t="s">
        <v>2920</v>
      </c>
      <c r="C207" s="3261">
        <v>0.13</v>
      </c>
      <c r="D207" s="3261">
        <v>0.13</v>
      </c>
      <c r="E207" s="3261">
        <v>0.13</v>
      </c>
      <c r="F207" s="3261">
        <v>0.13</v>
      </c>
      <c r="G207" s="3262">
        <v>0.13</v>
      </c>
    </row>
    <row r="208" spans="1:7">
      <c r="A208" s="3271" t="s">
        <v>304</v>
      </c>
      <c r="B208" s="3260" t="s">
        <v>2923</v>
      </c>
      <c r="C208" s="3261">
        <v>0.13</v>
      </c>
      <c r="D208" s="3261">
        <v>0.13</v>
      </c>
      <c r="E208" s="3261">
        <v>0.13</v>
      </c>
      <c r="F208" s="3261">
        <v>0.13</v>
      </c>
      <c r="G208" s="3262">
        <v>0.13</v>
      </c>
    </row>
    <row r="209" spans="1:7">
      <c r="A209" s="3271" t="s">
        <v>304</v>
      </c>
      <c r="B209" s="3260" t="s">
        <v>264</v>
      </c>
      <c r="C209" s="3261">
        <v>0.13</v>
      </c>
      <c r="D209" s="3261">
        <v>0.13</v>
      </c>
      <c r="E209" s="3261">
        <v>0.13</v>
      </c>
      <c r="F209" s="3261">
        <v>0.13</v>
      </c>
      <c r="G209" s="3262">
        <v>0.13</v>
      </c>
    </row>
    <row r="210" spans="1:7">
      <c r="A210" s="3271" t="s">
        <v>304</v>
      </c>
      <c r="B210" s="3260" t="s">
        <v>2930</v>
      </c>
      <c r="C210" s="3261">
        <v>0.121</v>
      </c>
      <c r="D210" s="3261">
        <v>0.121</v>
      </c>
      <c r="E210" s="3261">
        <v>0.125</v>
      </c>
      <c r="F210" s="3261">
        <v>0.13</v>
      </c>
      <c r="G210" s="3262">
        <v>0.123</v>
      </c>
    </row>
    <row r="211" spans="1:7">
      <c r="A211" s="3271" t="s">
        <v>304</v>
      </c>
      <c r="B211" s="3260" t="s">
        <v>2933</v>
      </c>
      <c r="C211" s="3261">
        <v>0.123</v>
      </c>
      <c r="D211" s="3261">
        <v>0.123</v>
      </c>
      <c r="E211" s="3261">
        <v>0.127</v>
      </c>
      <c r="F211" s="3261">
        <v>0.115</v>
      </c>
      <c r="G211" s="3262">
        <v>0.126</v>
      </c>
    </row>
    <row r="212" spans="1:7">
      <c r="A212" s="3271" t="s">
        <v>304</v>
      </c>
      <c r="B212" s="3260" t="s">
        <v>285</v>
      </c>
      <c r="C212" s="3261">
        <v>0.126</v>
      </c>
      <c r="D212" s="3261">
        <v>0.126</v>
      </c>
      <c r="E212" s="3261">
        <v>0.13</v>
      </c>
      <c r="F212" s="3261">
        <v>0.13</v>
      </c>
      <c r="G212" s="3262">
        <v>0.129</v>
      </c>
    </row>
    <row r="213" spans="1:7">
      <c r="A213" s="3271" t="s">
        <v>304</v>
      </c>
      <c r="B213" s="3260" t="s">
        <v>288</v>
      </c>
      <c r="C213" s="3261">
        <v>0.129</v>
      </c>
      <c r="D213" s="3261">
        <v>0.13</v>
      </c>
      <c r="E213" s="3261">
        <v>0.127</v>
      </c>
      <c r="F213" s="3261">
        <v>0.13</v>
      </c>
      <c r="G213" s="3262">
        <v>0.13</v>
      </c>
    </row>
    <row r="214" spans="1:7">
      <c r="A214" s="3271" t="s">
        <v>304</v>
      </c>
      <c r="B214" s="3260" t="s">
        <v>2945</v>
      </c>
      <c r="C214" s="3261">
        <v>0.128</v>
      </c>
      <c r="D214" s="3261">
        <v>0.128</v>
      </c>
      <c r="E214" s="3261">
        <v>0.13</v>
      </c>
      <c r="F214" s="3261">
        <v>0.13</v>
      </c>
      <c r="G214" s="3262">
        <v>0.13</v>
      </c>
    </row>
    <row r="215" spans="1:7">
      <c r="A215" s="3271" t="s">
        <v>304</v>
      </c>
      <c r="B215" s="3260" t="s">
        <v>2949</v>
      </c>
      <c r="C215" s="3261">
        <v>0.13</v>
      </c>
      <c r="D215" s="3261">
        <v>0.13</v>
      </c>
      <c r="E215" s="3261">
        <v>0.13</v>
      </c>
      <c r="F215" s="3261">
        <v>0.129</v>
      </c>
      <c r="G215" s="3262">
        <v>0.13</v>
      </c>
    </row>
    <row r="216" spans="1:7">
      <c r="A216" s="3271" t="s">
        <v>304</v>
      </c>
      <c r="B216" s="3260" t="s">
        <v>2956</v>
      </c>
      <c r="C216" s="3261">
        <v>0.13</v>
      </c>
      <c r="D216" s="3261">
        <v>0.13</v>
      </c>
      <c r="E216" s="3261">
        <v>0.13</v>
      </c>
      <c r="F216" s="3261">
        <v>0.13</v>
      </c>
      <c r="G216" s="3262">
        <v>0.13</v>
      </c>
    </row>
    <row r="217" spans="1:7">
      <c r="A217" s="3271" t="s">
        <v>304</v>
      </c>
      <c r="B217" s="3260" t="s">
        <v>2963</v>
      </c>
      <c r="C217" s="3261">
        <v>0.129</v>
      </c>
      <c r="D217" s="3261">
        <v>0.129</v>
      </c>
      <c r="E217" s="3261">
        <v>0.13</v>
      </c>
      <c r="F217" s="3261">
        <v>0.13</v>
      </c>
      <c r="G217" s="3262">
        <v>0.13</v>
      </c>
    </row>
    <row r="218" spans="1:7">
      <c r="A218" s="3271" t="s">
        <v>304</v>
      </c>
      <c r="B218" s="3260" t="s">
        <v>2969</v>
      </c>
      <c r="C218" s="3272"/>
      <c r="D218" s="3272"/>
      <c r="E218" s="3272"/>
      <c r="F218" s="3261">
        <v>0.05</v>
      </c>
      <c r="G218" s="3278"/>
    </row>
    <row r="219" spans="1:7">
      <c r="A219" s="3271" t="s">
        <v>304</v>
      </c>
      <c r="B219" s="3260" t="s">
        <v>2976</v>
      </c>
      <c r="C219" s="3272"/>
      <c r="D219" s="3272"/>
      <c r="E219" s="3272"/>
      <c r="F219" s="3261">
        <v>0.05</v>
      </c>
      <c r="G219" s="3278"/>
    </row>
    <row r="220" spans="1:7">
      <c r="A220" s="3271" t="s">
        <v>304</v>
      </c>
      <c r="B220" s="3260" t="s">
        <v>2982</v>
      </c>
      <c r="C220" s="3272"/>
      <c r="D220" s="3272"/>
      <c r="E220" s="3272"/>
      <c r="F220" s="3261">
        <v>0.05</v>
      </c>
      <c r="G220" s="3278"/>
    </row>
    <row r="221" spans="1:7">
      <c r="A221" s="3271" t="s">
        <v>304</v>
      </c>
      <c r="B221" s="3260" t="s">
        <v>2987</v>
      </c>
      <c r="C221" s="3272"/>
      <c r="D221" s="3272"/>
      <c r="E221" s="3272"/>
      <c r="F221" s="3261">
        <v>0.05</v>
      </c>
      <c r="G221" s="3278"/>
    </row>
    <row r="222" spans="1:7">
      <c r="A222" s="3271" t="s">
        <v>304</v>
      </c>
      <c r="B222" s="3260" t="s">
        <v>2991</v>
      </c>
      <c r="C222" s="3272"/>
      <c r="D222" s="3272"/>
      <c r="E222" s="3272"/>
      <c r="F222" s="3261">
        <v>0.05</v>
      </c>
      <c r="G222" s="3278"/>
    </row>
    <row r="223" spans="1:7">
      <c r="A223" s="3271" t="s">
        <v>304</v>
      </c>
      <c r="B223" s="3260" t="s">
        <v>2996</v>
      </c>
      <c r="C223" s="3272"/>
      <c r="D223" s="3272"/>
      <c r="E223" s="3272"/>
      <c r="F223" s="3261">
        <v>0.05</v>
      </c>
      <c r="G223" s="3278"/>
    </row>
    <row r="224" spans="1:7">
      <c r="A224" s="3271" t="s">
        <v>304</v>
      </c>
      <c r="B224" s="3260" t="s">
        <v>3001</v>
      </c>
      <c r="C224" s="3272"/>
      <c r="D224" s="3272"/>
      <c r="E224" s="3272"/>
      <c r="F224" s="3261">
        <v>0.05</v>
      </c>
      <c r="G224" s="3278"/>
    </row>
    <row r="225" spans="1:7">
      <c r="A225" s="3271" t="s">
        <v>304</v>
      </c>
      <c r="B225" s="3260" t="s">
        <v>3006</v>
      </c>
      <c r="C225" s="3272"/>
      <c r="D225" s="3272"/>
      <c r="E225" s="3272"/>
      <c r="F225" s="3261">
        <v>0.05</v>
      </c>
      <c r="G225" s="3278"/>
    </row>
    <row r="226" spans="1:7">
      <c r="A226" s="3271" t="s">
        <v>304</v>
      </c>
      <c r="B226" s="3260" t="s">
        <v>3208</v>
      </c>
      <c r="C226" s="3272"/>
      <c r="D226" s="3272"/>
      <c r="E226" s="3272"/>
      <c r="F226" s="3261">
        <v>0.05</v>
      </c>
      <c r="G226" s="3278"/>
    </row>
    <row r="227" spans="1:7">
      <c r="A227" s="3271" t="s">
        <v>304</v>
      </c>
      <c r="B227" s="3260" t="s">
        <v>3209</v>
      </c>
      <c r="C227" s="3272"/>
      <c r="D227" s="3272"/>
      <c r="E227" s="3272"/>
      <c r="F227" s="3261">
        <v>0.05</v>
      </c>
      <c r="G227" s="3278"/>
    </row>
    <row r="228" spans="1:7">
      <c r="A228" s="3271" t="s">
        <v>304</v>
      </c>
      <c r="B228" s="3260" t="s">
        <v>3210</v>
      </c>
      <c r="C228" s="3272"/>
      <c r="D228" s="3272"/>
      <c r="E228" s="3272"/>
      <c r="F228" s="3261">
        <v>0.05</v>
      </c>
      <c r="G228" s="3278"/>
    </row>
    <row r="229" spans="1:7">
      <c r="A229" s="3271" t="s">
        <v>304</v>
      </c>
      <c r="B229" s="3260" t="s">
        <v>3211</v>
      </c>
      <c r="C229" s="3272"/>
      <c r="D229" s="3272"/>
      <c r="E229" s="3272"/>
      <c r="F229" s="3261">
        <v>0.05</v>
      </c>
      <c r="G229" s="3278"/>
    </row>
    <row r="230" spans="1:7">
      <c r="A230" s="3271" t="s">
        <v>304</v>
      </c>
      <c r="B230" s="3260" t="s">
        <v>3212</v>
      </c>
      <c r="C230" s="3272"/>
      <c r="D230" s="3272"/>
      <c r="E230" s="3272"/>
      <c r="F230" s="3261">
        <v>0.05</v>
      </c>
      <c r="G230" s="3278"/>
    </row>
    <row r="231" spans="1:7">
      <c r="A231" s="3271" t="s">
        <v>304</v>
      </c>
      <c r="B231" s="3260" t="s">
        <v>3213</v>
      </c>
      <c r="C231" s="3272"/>
      <c r="D231" s="3272"/>
      <c r="E231" s="3272"/>
      <c r="F231" s="3261">
        <v>0.05</v>
      </c>
      <c r="G231" s="3278"/>
    </row>
    <row r="232" spans="1:7">
      <c r="A232" s="3271" t="s">
        <v>304</v>
      </c>
      <c r="B232" s="3260" t="s">
        <v>3214</v>
      </c>
      <c r="C232" s="3272"/>
      <c r="D232" s="3272"/>
      <c r="E232" s="3272"/>
      <c r="F232" s="3261">
        <v>0.05</v>
      </c>
      <c r="G232" s="3278"/>
    </row>
    <row r="233" spans="1:7" ht="14.25" thickBot="1">
      <c r="A233" s="3274" t="s">
        <v>304</v>
      </c>
      <c r="B233" s="3264" t="s">
        <v>3215</v>
      </c>
      <c r="C233" s="3266"/>
      <c r="D233" s="3266"/>
      <c r="E233" s="3266"/>
      <c r="F233" s="3265">
        <v>0.05</v>
      </c>
      <c r="G233" s="3279"/>
    </row>
    <row r="234" spans="1:7">
      <c r="A234" s="3270" t="s">
        <v>305</v>
      </c>
      <c r="B234" s="3256" t="s">
        <v>2864</v>
      </c>
      <c r="C234" s="3257">
        <v>0.13</v>
      </c>
      <c r="D234" s="3257">
        <v>0.128</v>
      </c>
      <c r="E234" s="3257">
        <v>0.14199999999999999</v>
      </c>
      <c r="F234" s="3257">
        <v>0.14699999999999999</v>
      </c>
      <c r="G234" s="3258">
        <v>0.14000000000000001</v>
      </c>
    </row>
    <row r="235" spans="1:7">
      <c r="A235" s="3271" t="s">
        <v>305</v>
      </c>
      <c r="B235" s="3260" t="s">
        <v>134</v>
      </c>
      <c r="C235" s="3261">
        <v>0.13600000000000001</v>
      </c>
      <c r="D235" s="3261">
        <v>0.13800000000000001</v>
      </c>
      <c r="E235" s="3261">
        <v>0.14499999999999999</v>
      </c>
      <c r="F235" s="3261">
        <v>0.14299999999999999</v>
      </c>
      <c r="G235" s="3262">
        <v>0.14099999999999999</v>
      </c>
    </row>
    <row r="236" spans="1:7">
      <c r="A236" s="3271" t="s">
        <v>305</v>
      </c>
      <c r="B236" s="3260" t="s">
        <v>143</v>
      </c>
      <c r="C236" s="3261">
        <v>0.15</v>
      </c>
      <c r="D236" s="3261">
        <v>0.15</v>
      </c>
      <c r="E236" s="3261">
        <v>0.15</v>
      </c>
      <c r="F236" s="3261">
        <v>0.15</v>
      </c>
      <c r="G236" s="3262">
        <v>0.15</v>
      </c>
    </row>
    <row r="237" spans="1:7">
      <c r="A237" s="3271" t="s">
        <v>305</v>
      </c>
      <c r="B237" s="3260" t="s">
        <v>152</v>
      </c>
      <c r="C237" s="3261">
        <v>0.15</v>
      </c>
      <c r="D237" s="3261">
        <v>0.15</v>
      </c>
      <c r="E237" s="3261">
        <v>0.15</v>
      </c>
      <c r="F237" s="3261">
        <v>0.15</v>
      </c>
      <c r="G237" s="3262">
        <v>0.15</v>
      </c>
    </row>
    <row r="238" spans="1:7">
      <c r="A238" s="3271" t="s">
        <v>305</v>
      </c>
      <c r="B238" s="3260" t="s">
        <v>2884</v>
      </c>
      <c r="C238" s="3261">
        <v>0.14899999999999999</v>
      </c>
      <c r="D238" s="3261">
        <v>0.14899999999999999</v>
      </c>
      <c r="E238" s="3261">
        <v>0.15</v>
      </c>
      <c r="F238" s="3261">
        <v>0.15</v>
      </c>
      <c r="G238" s="3262">
        <v>0.15</v>
      </c>
    </row>
    <row r="239" spans="1:7">
      <c r="A239" s="3271" t="s">
        <v>305</v>
      </c>
      <c r="B239" s="3260" t="s">
        <v>2888</v>
      </c>
      <c r="C239" s="3261">
        <v>0.15</v>
      </c>
      <c r="D239" s="3261">
        <v>0.15</v>
      </c>
      <c r="E239" s="3261">
        <v>0.15</v>
      </c>
      <c r="F239" s="3261">
        <v>0.15</v>
      </c>
      <c r="G239" s="3262">
        <v>0.15</v>
      </c>
    </row>
    <row r="240" spans="1:7">
      <c r="A240" s="3271" t="s">
        <v>305</v>
      </c>
      <c r="B240" s="3260" t="s">
        <v>2893</v>
      </c>
      <c r="C240" s="3261">
        <v>0.15</v>
      </c>
      <c r="D240" s="3261">
        <v>0.15</v>
      </c>
      <c r="E240" s="3261">
        <v>0.15</v>
      </c>
      <c r="F240" s="3261">
        <v>0.15</v>
      </c>
      <c r="G240" s="3262">
        <v>0.15</v>
      </c>
    </row>
    <row r="241" spans="1:7">
      <c r="A241" s="3271" t="s">
        <v>305</v>
      </c>
      <c r="B241" s="3260" t="s">
        <v>2897</v>
      </c>
      <c r="C241" s="3261">
        <v>0.14099999999999999</v>
      </c>
      <c r="D241" s="3261">
        <v>0.14199999999999999</v>
      </c>
      <c r="E241" s="3261">
        <v>0.14899999999999999</v>
      </c>
      <c r="F241" s="3261">
        <v>0.15</v>
      </c>
      <c r="G241" s="3262">
        <v>0.14399999999999999</v>
      </c>
    </row>
    <row r="242" spans="1:7">
      <c r="A242" s="3271" t="s">
        <v>305</v>
      </c>
      <c r="B242" s="3260" t="s">
        <v>181</v>
      </c>
      <c r="C242" s="3261">
        <v>0.14099999999999999</v>
      </c>
      <c r="D242" s="3261">
        <v>0.14199999999999999</v>
      </c>
      <c r="E242" s="3261">
        <v>0.14799999999999999</v>
      </c>
      <c r="F242" s="3261">
        <v>0.127</v>
      </c>
      <c r="G242" s="3262">
        <v>0.14399999999999999</v>
      </c>
    </row>
    <row r="243" spans="1:7">
      <c r="A243" s="3271" t="s">
        <v>305</v>
      </c>
      <c r="B243" s="3260" t="s">
        <v>191</v>
      </c>
      <c r="C243" s="3261">
        <v>0.14699999999999999</v>
      </c>
      <c r="D243" s="3261">
        <v>0.14699999999999999</v>
      </c>
      <c r="E243" s="3261">
        <v>0.15</v>
      </c>
      <c r="F243" s="3261">
        <v>0.15</v>
      </c>
      <c r="G243" s="3262">
        <v>0.14899999999999999</v>
      </c>
    </row>
    <row r="244" spans="1:7">
      <c r="A244" s="3271" t="s">
        <v>305</v>
      </c>
      <c r="B244" s="3260" t="s">
        <v>2903</v>
      </c>
      <c r="C244" s="3261">
        <v>0.15</v>
      </c>
      <c r="D244" s="3261">
        <v>0.15</v>
      </c>
      <c r="E244" s="3261">
        <v>0.15</v>
      </c>
      <c r="F244" s="3261">
        <v>0.15</v>
      </c>
      <c r="G244" s="3262">
        <v>0.15</v>
      </c>
    </row>
    <row r="245" spans="1:7">
      <c r="A245" s="3271" t="s">
        <v>305</v>
      </c>
      <c r="B245" s="3260" t="s">
        <v>206</v>
      </c>
      <c r="C245" s="3261">
        <v>0.14199999999999999</v>
      </c>
      <c r="D245" s="3261">
        <v>0.14199999999999999</v>
      </c>
      <c r="E245" s="3261">
        <v>0.15</v>
      </c>
      <c r="F245" s="3261">
        <v>0.15</v>
      </c>
      <c r="G245" s="3262">
        <v>0.14499999999999999</v>
      </c>
    </row>
    <row r="246" spans="1:7">
      <c r="A246" s="3271" t="s">
        <v>305</v>
      </c>
      <c r="B246" s="3260" t="s">
        <v>213</v>
      </c>
      <c r="C246" s="3261">
        <v>0.14199999999999999</v>
      </c>
      <c r="D246" s="3261">
        <v>0.14299999999999999</v>
      </c>
      <c r="E246" s="3261">
        <v>0.15</v>
      </c>
      <c r="F246" s="3261">
        <v>0.14199999999999999</v>
      </c>
      <c r="G246" s="3262">
        <v>0.14399999999999999</v>
      </c>
    </row>
    <row r="247" spans="1:7">
      <c r="A247" s="3271" t="s">
        <v>305</v>
      </c>
      <c r="B247" s="3260" t="s">
        <v>2911</v>
      </c>
      <c r="C247" s="3261">
        <v>0.14899999999999999</v>
      </c>
      <c r="D247" s="3261">
        <v>0.14899999999999999</v>
      </c>
      <c r="E247" s="3261">
        <v>0.15</v>
      </c>
      <c r="F247" s="3261">
        <v>0.15</v>
      </c>
      <c r="G247" s="3262">
        <v>0.15</v>
      </c>
    </row>
    <row r="248" spans="1:7">
      <c r="A248" s="3271" t="s">
        <v>305</v>
      </c>
      <c r="B248" s="3260" t="s">
        <v>227</v>
      </c>
      <c r="C248" s="3261">
        <v>0.14399999999999999</v>
      </c>
      <c r="D248" s="3261">
        <v>0.14399999999999999</v>
      </c>
      <c r="E248" s="3261">
        <v>0.14899999999999999</v>
      </c>
      <c r="F248" s="3261">
        <v>0.14799999999999999</v>
      </c>
      <c r="G248" s="3262">
        <v>0.14599999999999999</v>
      </c>
    </row>
    <row r="249" spans="1:7">
      <c r="A249" s="3271" t="s">
        <v>305</v>
      </c>
      <c r="B249" s="3260" t="s">
        <v>2916</v>
      </c>
      <c r="C249" s="3261">
        <v>0.14000000000000001</v>
      </c>
      <c r="D249" s="3261">
        <v>0.14000000000000001</v>
      </c>
      <c r="E249" s="3261">
        <v>0.14699999999999999</v>
      </c>
      <c r="F249" s="3261">
        <v>0.14899999999999999</v>
      </c>
      <c r="G249" s="3262">
        <v>0.14199999999999999</v>
      </c>
    </row>
    <row r="250" spans="1:7">
      <c r="A250" s="3271" t="s">
        <v>305</v>
      </c>
      <c r="B250" s="3260" t="s">
        <v>241</v>
      </c>
      <c r="C250" s="3261">
        <v>0.14399999999999999</v>
      </c>
      <c r="D250" s="3261">
        <v>0.14299999999999999</v>
      </c>
      <c r="E250" s="3261">
        <v>0.14899999999999999</v>
      </c>
      <c r="F250" s="3261">
        <v>0.15</v>
      </c>
      <c r="G250" s="3262">
        <v>0.14599999999999999</v>
      </c>
    </row>
    <row r="251" spans="1:7">
      <c r="A251" s="3271" t="s">
        <v>305</v>
      </c>
      <c r="B251" s="3260" t="s">
        <v>249</v>
      </c>
      <c r="C251" s="3277"/>
      <c r="D251" s="3272"/>
      <c r="E251" s="3272"/>
      <c r="F251" s="3261">
        <v>0.1</v>
      </c>
      <c r="G251" s="3278"/>
    </row>
    <row r="252" spans="1:7">
      <c r="A252" s="3271" t="s">
        <v>305</v>
      </c>
      <c r="B252" s="3260" t="s">
        <v>2924</v>
      </c>
      <c r="C252" s="3261">
        <v>0.14399999999999999</v>
      </c>
      <c r="D252" s="3261">
        <v>0.14399999999999999</v>
      </c>
      <c r="E252" s="3261">
        <v>0.15</v>
      </c>
      <c r="F252" s="3261">
        <v>0.14899999999999999</v>
      </c>
      <c r="G252" s="3262">
        <v>0.14599999999999999</v>
      </c>
    </row>
    <row r="253" spans="1:7">
      <c r="A253" s="3271" t="s">
        <v>305</v>
      </c>
      <c r="B253" s="3260" t="s">
        <v>283</v>
      </c>
      <c r="C253" s="3261">
        <v>0.14199999999999999</v>
      </c>
      <c r="D253" s="3261">
        <v>0.14199999999999999</v>
      </c>
      <c r="E253" s="3261">
        <v>0.14599999999999999</v>
      </c>
      <c r="F253" s="3261">
        <v>0.14799999999999999</v>
      </c>
      <c r="G253" s="3262">
        <v>0.14499999999999999</v>
      </c>
    </row>
    <row r="254" spans="1:7">
      <c r="A254" s="3271" t="s">
        <v>305</v>
      </c>
      <c r="B254" s="3260" t="s">
        <v>286</v>
      </c>
      <c r="C254" s="3261">
        <v>0.15</v>
      </c>
      <c r="D254" s="3261">
        <v>0.15</v>
      </c>
      <c r="E254" s="3261">
        <v>0.15</v>
      </c>
      <c r="F254" s="3261">
        <v>0.15</v>
      </c>
      <c r="G254" s="3262">
        <v>0.15</v>
      </c>
    </row>
    <row r="255" spans="1:7">
      <c r="A255" s="3271" t="s">
        <v>305</v>
      </c>
      <c r="B255" s="3260" t="s">
        <v>289</v>
      </c>
      <c r="C255" s="3261">
        <v>0.14299999999999999</v>
      </c>
      <c r="D255" s="3261">
        <v>0.14299999999999999</v>
      </c>
      <c r="E255" s="3261">
        <v>0.15</v>
      </c>
      <c r="F255" s="3261">
        <v>0.15</v>
      </c>
      <c r="G255" s="3262">
        <v>0.14499999999999999</v>
      </c>
    </row>
    <row r="256" spans="1:7">
      <c r="A256" s="3271" t="s">
        <v>305</v>
      </c>
      <c r="B256" s="3260" t="s">
        <v>2937</v>
      </c>
      <c r="C256" s="3261">
        <v>0.15</v>
      </c>
      <c r="D256" s="3261">
        <v>0.15</v>
      </c>
      <c r="E256" s="3261">
        <v>0.15</v>
      </c>
      <c r="F256" s="3261">
        <v>0.14599999999999999</v>
      </c>
      <c r="G256" s="3262">
        <v>0.15</v>
      </c>
    </row>
    <row r="257" spans="1:7">
      <c r="A257" s="3271" t="s">
        <v>305</v>
      </c>
      <c r="B257" s="3260" t="s">
        <v>275</v>
      </c>
      <c r="C257" s="3261">
        <v>0.14199999999999999</v>
      </c>
      <c r="D257" s="3261">
        <v>0.14299999999999999</v>
      </c>
      <c r="E257" s="3261">
        <v>0.14799999999999999</v>
      </c>
      <c r="F257" s="3261">
        <v>0.15</v>
      </c>
      <c r="G257" s="3262">
        <v>0.14499999999999999</v>
      </c>
    </row>
    <row r="258" spans="1:7">
      <c r="A258" s="3271" t="s">
        <v>305</v>
      </c>
      <c r="B258" s="3260" t="s">
        <v>2946</v>
      </c>
      <c r="C258" s="3261">
        <v>0.14299999999999999</v>
      </c>
      <c r="D258" s="3261">
        <v>0.14299999999999999</v>
      </c>
      <c r="E258" s="3261">
        <v>0.15</v>
      </c>
      <c r="F258" s="3261">
        <v>0.14799999999999999</v>
      </c>
      <c r="G258" s="3262">
        <v>0.14599999999999999</v>
      </c>
    </row>
    <row r="259" spans="1:7">
      <c r="A259" s="3271" t="s">
        <v>305</v>
      </c>
      <c r="B259" s="3260" t="s">
        <v>2950</v>
      </c>
      <c r="C259" s="3261">
        <v>0.14399999999999999</v>
      </c>
      <c r="D259" s="3261">
        <v>0.14399999999999999</v>
      </c>
      <c r="E259" s="3261">
        <v>0.14899999999999999</v>
      </c>
      <c r="F259" s="3261">
        <v>0.14699999999999999</v>
      </c>
      <c r="G259" s="3262">
        <v>0.14599999999999999</v>
      </c>
    </row>
    <row r="260" spans="1:7">
      <c r="A260" s="3271" t="s">
        <v>305</v>
      </c>
      <c r="B260" s="3260" t="s">
        <v>2957</v>
      </c>
      <c r="C260" s="3261">
        <v>0.109</v>
      </c>
      <c r="D260" s="3261">
        <v>0.111</v>
      </c>
      <c r="E260" s="3261">
        <v>0.13100000000000001</v>
      </c>
      <c r="F260" s="3261">
        <v>0.126</v>
      </c>
      <c r="G260" s="3262">
        <v>0.11899999999999999</v>
      </c>
    </row>
    <row r="261" spans="1:7">
      <c r="A261" s="3271" t="s">
        <v>305</v>
      </c>
      <c r="B261" s="3260" t="s">
        <v>2964</v>
      </c>
      <c r="C261" s="3261">
        <v>0.1</v>
      </c>
      <c r="D261" s="3261">
        <v>0.1</v>
      </c>
      <c r="E261" s="3261">
        <v>0.11799999999999999</v>
      </c>
      <c r="F261" s="3261">
        <v>0.108</v>
      </c>
      <c r="G261" s="3262">
        <v>0.107</v>
      </c>
    </row>
    <row r="262" spans="1:7">
      <c r="A262" s="3271" t="s">
        <v>305</v>
      </c>
      <c r="B262" s="3260" t="s">
        <v>2970</v>
      </c>
      <c r="C262" s="3261">
        <v>0.1</v>
      </c>
      <c r="D262" s="3261">
        <v>0.1</v>
      </c>
      <c r="E262" s="3261">
        <v>0.1</v>
      </c>
      <c r="F262" s="3261">
        <v>0.14099999999999999</v>
      </c>
      <c r="G262" s="3262">
        <v>0.1</v>
      </c>
    </row>
    <row r="263" spans="1:7">
      <c r="A263" s="3271" t="s">
        <v>305</v>
      </c>
      <c r="B263" s="3260" t="s">
        <v>2977</v>
      </c>
      <c r="C263" s="3261">
        <v>0.14799999999999999</v>
      </c>
      <c r="D263" s="3261">
        <v>0.14799999999999999</v>
      </c>
      <c r="E263" s="3261">
        <v>0.15</v>
      </c>
      <c r="F263" s="3261">
        <v>0.14699999999999999</v>
      </c>
      <c r="G263" s="3262">
        <v>0.15</v>
      </c>
    </row>
    <row r="264" spans="1:7">
      <c r="A264" s="3271" t="s">
        <v>305</v>
      </c>
      <c r="B264" s="3260" t="s">
        <v>299</v>
      </c>
      <c r="C264" s="3261">
        <v>0.14299999999999999</v>
      </c>
      <c r="D264" s="3261">
        <v>0.14299999999999999</v>
      </c>
      <c r="E264" s="3261">
        <v>0.15</v>
      </c>
      <c r="F264" s="3261">
        <v>0.14899999999999999</v>
      </c>
      <c r="G264" s="3262">
        <v>0.14599999999999999</v>
      </c>
    </row>
    <row r="265" spans="1:7">
      <c r="A265" s="3271" t="s">
        <v>305</v>
      </c>
      <c r="B265" s="3260" t="s">
        <v>2988</v>
      </c>
      <c r="C265" s="3272"/>
      <c r="D265" s="3272"/>
      <c r="E265" s="3272"/>
      <c r="F265" s="3261">
        <v>0.05</v>
      </c>
      <c r="G265" s="3278"/>
    </row>
    <row r="266" spans="1:7">
      <c r="A266" s="3271" t="s">
        <v>305</v>
      </c>
      <c r="B266" s="3260" t="s">
        <v>2992</v>
      </c>
      <c r="C266" s="3272"/>
      <c r="D266" s="3272"/>
      <c r="E266" s="3272"/>
      <c r="F266" s="3261">
        <v>0.05</v>
      </c>
      <c r="G266" s="3278"/>
    </row>
    <row r="267" spans="1:7">
      <c r="A267" s="3271" t="s">
        <v>305</v>
      </c>
      <c r="B267" s="3260" t="s">
        <v>2997</v>
      </c>
      <c r="C267" s="3272"/>
      <c r="D267" s="3272"/>
      <c r="E267" s="3272"/>
      <c r="F267" s="3261">
        <v>0.05</v>
      </c>
      <c r="G267" s="3278"/>
    </row>
    <row r="268" spans="1:7">
      <c r="A268" s="3271" t="s">
        <v>305</v>
      </c>
      <c r="B268" s="3260" t="s">
        <v>3002</v>
      </c>
      <c r="C268" s="3272"/>
      <c r="D268" s="3272"/>
      <c r="E268" s="3272"/>
      <c r="F268" s="3261">
        <v>0.05</v>
      </c>
      <c r="G268" s="3278"/>
    </row>
    <row r="269" spans="1:7">
      <c r="A269" s="3271" t="s">
        <v>305</v>
      </c>
      <c r="B269" s="3260" t="s">
        <v>3007</v>
      </c>
      <c r="C269" s="3272"/>
      <c r="D269" s="3272"/>
      <c r="E269" s="3272"/>
      <c r="F269" s="3261">
        <v>0.05</v>
      </c>
      <c r="G269" s="3278"/>
    </row>
    <row r="270" spans="1:7">
      <c r="A270" s="3271" t="s">
        <v>305</v>
      </c>
      <c r="B270" s="3260" t="s">
        <v>3012</v>
      </c>
      <c r="C270" s="3272"/>
      <c r="D270" s="3272"/>
      <c r="E270" s="3272"/>
      <c r="F270" s="3261">
        <v>0.05</v>
      </c>
      <c r="G270" s="3278"/>
    </row>
    <row r="271" spans="1:7">
      <c r="A271" s="3271" t="s">
        <v>305</v>
      </c>
      <c r="B271" s="3260" t="s">
        <v>3216</v>
      </c>
      <c r="C271" s="3272"/>
      <c r="D271" s="3272"/>
      <c r="E271" s="3272"/>
      <c r="F271" s="3261">
        <v>0.05</v>
      </c>
      <c r="G271" s="3278"/>
    </row>
    <row r="272" spans="1:7">
      <c r="A272" s="3271" t="s">
        <v>305</v>
      </c>
      <c r="B272" s="3260" t="s">
        <v>3217</v>
      </c>
      <c r="C272" s="3272"/>
      <c r="D272" s="3272"/>
      <c r="E272" s="3272"/>
      <c r="F272" s="3261">
        <v>0.05</v>
      </c>
      <c r="G272" s="3278"/>
    </row>
    <row r="273" spans="1:7">
      <c r="A273" s="3271" t="s">
        <v>305</v>
      </c>
      <c r="B273" s="3260" t="s">
        <v>3218</v>
      </c>
      <c r="C273" s="3272"/>
      <c r="D273" s="3272"/>
      <c r="E273" s="3272"/>
      <c r="F273" s="3261">
        <v>0.05</v>
      </c>
      <c r="G273" s="3278"/>
    </row>
    <row r="274" spans="1:7">
      <c r="A274" s="3271" t="s">
        <v>305</v>
      </c>
      <c r="B274" s="3260" t="s">
        <v>3219</v>
      </c>
      <c r="C274" s="3272"/>
      <c r="D274" s="3272"/>
      <c r="E274" s="3272"/>
      <c r="F274" s="3261">
        <v>0.05</v>
      </c>
      <c r="G274" s="3278"/>
    </row>
    <row r="275" spans="1:7">
      <c r="A275" s="3271" t="s">
        <v>305</v>
      </c>
      <c r="B275" s="3260" t="s">
        <v>3220</v>
      </c>
      <c r="C275" s="3272"/>
      <c r="D275" s="3272"/>
      <c r="E275" s="3272"/>
      <c r="F275" s="3261">
        <v>0.05</v>
      </c>
      <c r="G275" s="3278"/>
    </row>
    <row r="276" spans="1:7" ht="14.25" thickBot="1">
      <c r="A276" s="3274" t="s">
        <v>305</v>
      </c>
      <c r="B276" s="3264" t="s">
        <v>3221</v>
      </c>
      <c r="C276" s="3266"/>
      <c r="D276" s="3266"/>
      <c r="E276" s="3266"/>
      <c r="F276" s="3265">
        <v>0.05</v>
      </c>
      <c r="G276" s="3279"/>
    </row>
    <row r="277" spans="1:7">
      <c r="A277" s="3270" t="s">
        <v>306</v>
      </c>
      <c r="B277" s="3256" t="s">
        <v>2865</v>
      </c>
      <c r="C277" s="3257">
        <v>0.15</v>
      </c>
      <c r="D277" s="3257">
        <v>0.15</v>
      </c>
      <c r="E277" s="3257">
        <v>0.15</v>
      </c>
      <c r="F277" s="3257">
        <v>0.15</v>
      </c>
      <c r="G277" s="3258">
        <v>0.15</v>
      </c>
    </row>
    <row r="278" spans="1:7">
      <c r="A278" s="3271" t="s">
        <v>306</v>
      </c>
      <c r="B278" s="3260" t="s">
        <v>135</v>
      </c>
      <c r="C278" s="3261">
        <v>0.15</v>
      </c>
      <c r="D278" s="3261">
        <v>0.15</v>
      </c>
      <c r="E278" s="3261">
        <v>0.15</v>
      </c>
      <c r="F278" s="3261">
        <v>0.15</v>
      </c>
      <c r="G278" s="3262">
        <v>0.15</v>
      </c>
    </row>
    <row r="279" spans="1:7">
      <c r="A279" s="3271" t="s">
        <v>306</v>
      </c>
      <c r="B279" s="3260" t="s">
        <v>2877</v>
      </c>
      <c r="C279" s="3261">
        <v>0.15</v>
      </c>
      <c r="D279" s="3261">
        <v>0.15</v>
      </c>
      <c r="E279" s="3261">
        <v>0.15</v>
      </c>
      <c r="F279" s="3261">
        <v>0.15</v>
      </c>
      <c r="G279" s="3262">
        <v>0.15</v>
      </c>
    </row>
    <row r="280" spans="1:7">
      <c r="A280" s="3271" t="s">
        <v>306</v>
      </c>
      <c r="B280" s="3260" t="s">
        <v>2881</v>
      </c>
      <c r="C280" s="3261">
        <v>0.15</v>
      </c>
      <c r="D280" s="3261">
        <v>0.15</v>
      </c>
      <c r="E280" s="3261">
        <v>0.15</v>
      </c>
      <c r="F280" s="3261">
        <v>0.15</v>
      </c>
      <c r="G280" s="3262">
        <v>0.15</v>
      </c>
    </row>
    <row r="281" spans="1:7">
      <c r="A281" s="3271" t="s">
        <v>306</v>
      </c>
      <c r="B281" s="3260" t="s">
        <v>2885</v>
      </c>
      <c r="C281" s="3261">
        <v>0.15</v>
      </c>
      <c r="D281" s="3261">
        <v>0.15</v>
      </c>
      <c r="E281" s="3261">
        <v>0.15</v>
      </c>
      <c r="F281" s="3261">
        <v>0.15</v>
      </c>
      <c r="G281" s="3262">
        <v>0.15</v>
      </c>
    </row>
    <row r="282" spans="1:7">
      <c r="A282" s="3271" t="s">
        <v>306</v>
      </c>
      <c r="B282" s="3260" t="s">
        <v>2889</v>
      </c>
      <c r="C282" s="3261">
        <v>0.15</v>
      </c>
      <c r="D282" s="3261">
        <v>0.15</v>
      </c>
      <c r="E282" s="3261">
        <v>0.15</v>
      </c>
      <c r="F282" s="3261">
        <v>0.14499999999999999</v>
      </c>
      <c r="G282" s="3262">
        <v>0.15</v>
      </c>
    </row>
    <row r="283" spans="1:7">
      <c r="A283" s="3271" t="s">
        <v>306</v>
      </c>
      <c r="B283" s="3260" t="s">
        <v>174</v>
      </c>
      <c r="C283" s="3261">
        <v>0.15</v>
      </c>
      <c r="D283" s="3261">
        <v>0.15</v>
      </c>
      <c r="E283" s="3261">
        <v>0.15</v>
      </c>
      <c r="F283" s="3261">
        <v>0.14199999999999999</v>
      </c>
      <c r="G283" s="3262">
        <v>0.15</v>
      </c>
    </row>
    <row r="284" spans="1:7">
      <c r="A284" s="3271" t="s">
        <v>306</v>
      </c>
      <c r="B284" s="3260" t="s">
        <v>182</v>
      </c>
      <c r="C284" s="3261">
        <v>0.15</v>
      </c>
      <c r="D284" s="3261">
        <v>0.15</v>
      </c>
      <c r="E284" s="3261">
        <v>0.15</v>
      </c>
      <c r="F284" s="3261">
        <v>0.15</v>
      </c>
      <c r="G284" s="3262">
        <v>0.15</v>
      </c>
    </row>
    <row r="285" spans="1:7">
      <c r="A285" s="3271" t="s">
        <v>306</v>
      </c>
      <c r="B285" s="3260" t="s">
        <v>192</v>
      </c>
      <c r="C285" s="3261">
        <v>0.15</v>
      </c>
      <c r="D285" s="3261">
        <v>0.15</v>
      </c>
      <c r="E285" s="3261">
        <v>0.15</v>
      </c>
      <c r="F285" s="3261">
        <v>0.15</v>
      </c>
      <c r="G285" s="3262">
        <v>0.15</v>
      </c>
    </row>
    <row r="286" spans="1:7">
      <c r="A286" s="3271" t="s">
        <v>306</v>
      </c>
      <c r="B286" s="3260" t="s">
        <v>199</v>
      </c>
      <c r="C286" s="3261">
        <v>0.14499999999999999</v>
      </c>
      <c r="D286" s="3261">
        <v>0.14499999999999999</v>
      </c>
      <c r="E286" s="3261">
        <v>0.15</v>
      </c>
      <c r="F286" s="3261">
        <v>0.14099999999999999</v>
      </c>
      <c r="G286" s="3262">
        <v>0.14499999999999999</v>
      </c>
    </row>
    <row r="287" spans="1:7">
      <c r="A287" s="3271" t="s">
        <v>306</v>
      </c>
      <c r="B287" s="3260" t="s">
        <v>2904</v>
      </c>
      <c r="C287" s="3261">
        <v>0.11</v>
      </c>
      <c r="D287" s="3261">
        <v>0.111</v>
      </c>
      <c r="E287" s="3261">
        <v>0.14099999999999999</v>
      </c>
      <c r="F287" s="3261">
        <v>0.11</v>
      </c>
      <c r="G287" s="3262">
        <v>0.12</v>
      </c>
    </row>
    <row r="288" spans="1:7">
      <c r="A288" s="3271" t="s">
        <v>306</v>
      </c>
      <c r="B288" s="3260" t="s">
        <v>219</v>
      </c>
      <c r="C288" s="3261">
        <v>0.14199999999999999</v>
      </c>
      <c r="D288" s="3261">
        <v>0.14299999999999999</v>
      </c>
      <c r="E288" s="3261">
        <v>0.15</v>
      </c>
      <c r="F288" s="3261">
        <v>0.14199999999999999</v>
      </c>
      <c r="G288" s="3262">
        <v>0.14399999999999999</v>
      </c>
    </row>
    <row r="289" spans="1:7">
      <c r="A289" s="3271" t="s">
        <v>306</v>
      </c>
      <c r="B289" s="3260" t="s">
        <v>2909</v>
      </c>
      <c r="C289" s="3261">
        <v>0.14299999999999999</v>
      </c>
      <c r="D289" s="3261">
        <v>0.14299999999999999</v>
      </c>
      <c r="E289" s="3261">
        <v>0.14799999999999999</v>
      </c>
      <c r="F289" s="3261">
        <v>0.14399999999999999</v>
      </c>
      <c r="G289" s="3262">
        <v>0.14399999999999999</v>
      </c>
    </row>
    <row r="290" spans="1:7">
      <c r="A290" s="3271" t="s">
        <v>306</v>
      </c>
      <c r="B290" s="3260" t="s">
        <v>242</v>
      </c>
      <c r="C290" s="3261">
        <v>0.14799999999999999</v>
      </c>
      <c r="D290" s="3261">
        <v>0.14899999999999999</v>
      </c>
      <c r="E290" s="3261">
        <v>0.15</v>
      </c>
      <c r="F290" s="3261">
        <v>0.127</v>
      </c>
      <c r="G290" s="3262">
        <v>0.15</v>
      </c>
    </row>
    <row r="291" spans="1:7">
      <c r="A291" s="3271" t="s">
        <v>306</v>
      </c>
      <c r="B291" s="3260" t="s">
        <v>250</v>
      </c>
      <c r="C291" s="3261">
        <v>0.15</v>
      </c>
      <c r="D291" s="3261">
        <v>0.15</v>
      </c>
      <c r="E291" s="3261">
        <v>0.15</v>
      </c>
      <c r="F291" s="3261">
        <v>0.14899999999999999</v>
      </c>
      <c r="G291" s="3262">
        <v>0.15</v>
      </c>
    </row>
    <row r="292" spans="1:7">
      <c r="A292" s="3271" t="s">
        <v>306</v>
      </c>
      <c r="B292" s="3260" t="s">
        <v>256</v>
      </c>
      <c r="C292" s="3261">
        <v>0.15</v>
      </c>
      <c r="D292" s="3261">
        <v>0.15</v>
      </c>
      <c r="E292" s="3261">
        <v>0.15</v>
      </c>
      <c r="F292" s="3261">
        <v>0.14399999999999999</v>
      </c>
      <c r="G292" s="3262">
        <v>0.15</v>
      </c>
    </row>
    <row r="293" spans="1:7">
      <c r="A293" s="3271" t="s">
        <v>306</v>
      </c>
      <c r="B293" s="3260" t="s">
        <v>2919</v>
      </c>
      <c r="C293" s="3261">
        <v>0.15</v>
      </c>
      <c r="D293" s="3261">
        <v>0.15</v>
      </c>
      <c r="E293" s="3261">
        <v>0.15</v>
      </c>
      <c r="F293" s="3261">
        <v>0.14499999999999999</v>
      </c>
      <c r="G293" s="3262">
        <v>0.15</v>
      </c>
    </row>
    <row r="294" spans="1:7">
      <c r="A294" s="3271" t="s">
        <v>306</v>
      </c>
      <c r="B294" s="3260" t="s">
        <v>2921</v>
      </c>
      <c r="C294" s="3261">
        <v>0.15</v>
      </c>
      <c r="D294" s="3261">
        <v>0.15</v>
      </c>
      <c r="E294" s="3261">
        <v>0.15</v>
      </c>
      <c r="F294" s="3261">
        <v>0.14899999999999999</v>
      </c>
      <c r="G294" s="3262">
        <v>0.15</v>
      </c>
    </row>
    <row r="295" spans="1:7">
      <c r="A295" s="3271" t="s">
        <v>306</v>
      </c>
      <c r="B295" s="3260" t="s">
        <v>290</v>
      </c>
      <c r="C295" s="3261">
        <v>0.15</v>
      </c>
      <c r="D295" s="3261">
        <v>0.15</v>
      </c>
      <c r="E295" s="3261">
        <v>0.15</v>
      </c>
      <c r="F295" s="3261">
        <v>0.14799999999999999</v>
      </c>
      <c r="G295" s="3262">
        <v>0.15</v>
      </c>
    </row>
    <row r="296" spans="1:7">
      <c r="A296" s="3271" t="s">
        <v>306</v>
      </c>
      <c r="B296" s="3260" t="s">
        <v>293</v>
      </c>
      <c r="C296" s="3261">
        <v>0.15</v>
      </c>
      <c r="D296" s="3261">
        <v>0.15</v>
      </c>
      <c r="E296" s="3261">
        <v>0.15</v>
      </c>
      <c r="F296" s="3261">
        <v>0.14399999999999999</v>
      </c>
      <c r="G296" s="3262">
        <v>0.15</v>
      </c>
    </row>
    <row r="297" spans="1:7">
      <c r="A297" s="3271" t="s">
        <v>306</v>
      </c>
      <c r="B297" s="3260" t="s">
        <v>295</v>
      </c>
      <c r="C297" s="3261">
        <v>0.15</v>
      </c>
      <c r="D297" s="3261">
        <v>0.15</v>
      </c>
      <c r="E297" s="3261">
        <v>0.15</v>
      </c>
      <c r="F297" s="3261">
        <v>0.14499999999999999</v>
      </c>
      <c r="G297" s="3262">
        <v>0.15</v>
      </c>
    </row>
    <row r="298" spans="1:7">
      <c r="A298" s="3271" t="s">
        <v>306</v>
      </c>
      <c r="B298" s="3260" t="s">
        <v>298</v>
      </c>
      <c r="C298" s="3261">
        <v>0.15</v>
      </c>
      <c r="D298" s="3261">
        <v>0.15</v>
      </c>
      <c r="E298" s="3261">
        <v>0.15</v>
      </c>
      <c r="F298" s="3261">
        <v>0.15</v>
      </c>
      <c r="G298" s="3262">
        <v>0.15</v>
      </c>
    </row>
    <row r="299" spans="1:7">
      <c r="A299" s="3271" t="s">
        <v>306</v>
      </c>
      <c r="B299" s="3280" t="s">
        <v>2938</v>
      </c>
      <c r="C299" s="3261">
        <v>0.15</v>
      </c>
      <c r="D299" s="3261">
        <v>0.15</v>
      </c>
      <c r="E299" s="3261">
        <v>0.15</v>
      </c>
      <c r="F299" s="3261">
        <v>0.14499999999999999</v>
      </c>
      <c r="G299" s="3262">
        <v>0.15</v>
      </c>
    </row>
    <row r="300" spans="1:7">
      <c r="A300" s="3271" t="s">
        <v>306</v>
      </c>
      <c r="B300" s="3280" t="s">
        <v>271</v>
      </c>
      <c r="C300" s="3261">
        <v>0.15</v>
      </c>
      <c r="D300" s="3261">
        <v>0.15</v>
      </c>
      <c r="E300" s="3261">
        <v>0.15</v>
      </c>
      <c r="F300" s="3261">
        <v>0.14599999999999999</v>
      </c>
      <c r="G300" s="3262">
        <v>0.15</v>
      </c>
    </row>
    <row r="301" spans="1:7">
      <c r="A301" s="3271" t="s">
        <v>306</v>
      </c>
      <c r="B301" s="3280" t="s">
        <v>276</v>
      </c>
      <c r="C301" s="3261">
        <v>0.126</v>
      </c>
      <c r="D301" s="3261">
        <v>0.124</v>
      </c>
      <c r="E301" s="3261">
        <v>0.14099999999999999</v>
      </c>
      <c r="F301" s="3261">
        <v>0.14399999999999999</v>
      </c>
      <c r="G301" s="3262">
        <v>0.13</v>
      </c>
    </row>
    <row r="302" spans="1:7">
      <c r="A302" s="3271" t="s">
        <v>306</v>
      </c>
      <c r="B302" s="3260" t="s">
        <v>2951</v>
      </c>
      <c r="C302" s="3261">
        <v>0.15</v>
      </c>
      <c r="D302" s="3261">
        <v>0.15</v>
      </c>
      <c r="E302" s="3261">
        <v>0.15</v>
      </c>
      <c r="F302" s="3261">
        <v>0.14699999999999999</v>
      </c>
      <c r="G302" s="3262">
        <v>0.15</v>
      </c>
    </row>
    <row r="303" spans="1:7">
      <c r="A303" s="3271" t="s">
        <v>306</v>
      </c>
      <c r="B303" s="3260" t="s">
        <v>2958</v>
      </c>
      <c r="C303" s="3261">
        <v>0.15</v>
      </c>
      <c r="D303" s="3261">
        <v>0.15</v>
      </c>
      <c r="E303" s="3261">
        <v>0.15</v>
      </c>
      <c r="F303" s="3261">
        <v>0.14199999999999999</v>
      </c>
      <c r="G303" s="3262">
        <v>0.15</v>
      </c>
    </row>
    <row r="304" spans="1:7">
      <c r="A304" s="3271" t="s">
        <v>306</v>
      </c>
      <c r="B304" s="3260" t="s">
        <v>2965</v>
      </c>
      <c r="C304" s="3261">
        <v>0.15</v>
      </c>
      <c r="D304" s="3261">
        <v>0.15</v>
      </c>
      <c r="E304" s="3261">
        <v>0.15</v>
      </c>
      <c r="F304" s="3261">
        <v>0.14499999999999999</v>
      </c>
      <c r="G304" s="3262">
        <v>0.15</v>
      </c>
    </row>
    <row r="305" spans="1:7">
      <c r="A305" s="3271" t="s">
        <v>306</v>
      </c>
      <c r="B305" s="3260" t="s">
        <v>2971</v>
      </c>
      <c r="C305" s="3261">
        <v>0.15</v>
      </c>
      <c r="D305" s="3261">
        <v>0.15</v>
      </c>
      <c r="E305" s="3261">
        <v>0.15</v>
      </c>
      <c r="F305" s="3261">
        <v>0.111</v>
      </c>
      <c r="G305" s="3262">
        <v>0.15</v>
      </c>
    </row>
    <row r="306" spans="1:7">
      <c r="A306" s="3271" t="s">
        <v>306</v>
      </c>
      <c r="B306" s="3260" t="s">
        <v>2978</v>
      </c>
      <c r="C306" s="3261">
        <v>0.15</v>
      </c>
      <c r="D306" s="3261">
        <v>0.15</v>
      </c>
      <c r="E306" s="3261">
        <v>0.15</v>
      </c>
      <c r="F306" s="3261">
        <v>0.126</v>
      </c>
      <c r="G306" s="3262">
        <v>0.15</v>
      </c>
    </row>
    <row r="307" spans="1:7">
      <c r="A307" s="3271" t="s">
        <v>306</v>
      </c>
      <c r="B307" s="3260" t="s">
        <v>2983</v>
      </c>
      <c r="C307" s="3261">
        <v>0.15</v>
      </c>
      <c r="D307" s="3261">
        <v>0.15</v>
      </c>
      <c r="E307" s="3261">
        <v>0.15</v>
      </c>
      <c r="F307" s="3261">
        <v>0.12</v>
      </c>
      <c r="G307" s="3262">
        <v>0.15</v>
      </c>
    </row>
    <row r="308" spans="1:7">
      <c r="A308" s="3271" t="s">
        <v>306</v>
      </c>
      <c r="B308" s="3260" t="s">
        <v>2989</v>
      </c>
      <c r="C308" s="3261">
        <v>0.15</v>
      </c>
      <c r="D308" s="3261">
        <v>0.15</v>
      </c>
      <c r="E308" s="3261">
        <v>0.15</v>
      </c>
      <c r="F308" s="3261">
        <v>0.13</v>
      </c>
      <c r="G308" s="3262">
        <v>0.15</v>
      </c>
    </row>
    <row r="309" spans="1:7">
      <c r="A309" s="3271" t="s">
        <v>306</v>
      </c>
      <c r="B309" s="3260" t="s">
        <v>2993</v>
      </c>
      <c r="C309" s="3261">
        <v>0.15</v>
      </c>
      <c r="D309" s="3261">
        <v>0.15</v>
      </c>
      <c r="E309" s="3261">
        <v>0.15</v>
      </c>
      <c r="F309" s="3261">
        <v>0.14099999999999999</v>
      </c>
      <c r="G309" s="3262">
        <v>0.15</v>
      </c>
    </row>
    <row r="310" spans="1:7">
      <c r="A310" s="3271" t="s">
        <v>306</v>
      </c>
      <c r="B310" s="3260" t="s">
        <v>2998</v>
      </c>
      <c r="C310" s="3261">
        <v>0.15</v>
      </c>
      <c r="D310" s="3261">
        <v>0.15</v>
      </c>
      <c r="E310" s="3261">
        <v>0.15</v>
      </c>
      <c r="F310" s="3261">
        <v>0.15</v>
      </c>
      <c r="G310" s="3262">
        <v>0.15</v>
      </c>
    </row>
    <row r="311" spans="1:7">
      <c r="A311" s="3271" t="s">
        <v>306</v>
      </c>
      <c r="B311" s="3260" t="s">
        <v>3003</v>
      </c>
      <c r="C311" s="3261">
        <v>0.13200000000000001</v>
      </c>
      <c r="D311" s="3261">
        <v>0.13300000000000001</v>
      </c>
      <c r="E311" s="3261">
        <v>0.14499999999999999</v>
      </c>
      <c r="F311" s="3261">
        <v>0.14199999999999999</v>
      </c>
      <c r="G311" s="3262">
        <v>0.14000000000000001</v>
      </c>
    </row>
    <row r="312" spans="1:7">
      <c r="A312" s="3271" t="s">
        <v>306</v>
      </c>
      <c r="B312" s="3260" t="s">
        <v>3008</v>
      </c>
      <c r="C312" s="3261">
        <v>0.13800000000000001</v>
      </c>
      <c r="D312" s="3261">
        <v>0.14000000000000001</v>
      </c>
      <c r="E312" s="3261">
        <v>0.14599999999999999</v>
      </c>
      <c r="F312" s="3261">
        <v>0.14899999999999999</v>
      </c>
      <c r="G312" s="3262">
        <v>0.14199999999999999</v>
      </c>
    </row>
    <row r="313" spans="1:7">
      <c r="A313" s="3271" t="s">
        <v>306</v>
      </c>
      <c r="B313" s="3260" t="s">
        <v>3013</v>
      </c>
      <c r="C313" s="3261">
        <v>0.125</v>
      </c>
      <c r="D313" s="3261">
        <v>0.127</v>
      </c>
      <c r="E313" s="3261">
        <v>0.14399999999999999</v>
      </c>
      <c r="F313" s="3261">
        <v>0.115</v>
      </c>
      <c r="G313" s="3262">
        <v>0.13600000000000001</v>
      </c>
    </row>
    <row r="314" spans="1:7">
      <c r="A314" s="3271" t="s">
        <v>306</v>
      </c>
      <c r="B314" s="3260" t="s">
        <v>3222</v>
      </c>
      <c r="C314" s="3277"/>
      <c r="D314" s="3277"/>
      <c r="E314" s="3277"/>
      <c r="F314" s="3261">
        <v>0.05</v>
      </c>
      <c r="G314" s="3278"/>
    </row>
    <row r="315" spans="1:7">
      <c r="A315" s="3271" t="s">
        <v>306</v>
      </c>
      <c r="B315" s="3260" t="s">
        <v>3223</v>
      </c>
      <c r="C315" s="3277"/>
      <c r="D315" s="3277"/>
      <c r="E315" s="3277"/>
      <c r="F315" s="3261">
        <v>0.05</v>
      </c>
      <c r="G315" s="3278"/>
    </row>
    <row r="316" spans="1:7">
      <c r="A316" s="3271" t="s">
        <v>306</v>
      </c>
      <c r="B316" s="3260" t="s">
        <v>3224</v>
      </c>
      <c r="C316" s="3272"/>
      <c r="D316" s="3272"/>
      <c r="E316" s="3272"/>
      <c r="F316" s="3261">
        <v>0.05</v>
      </c>
      <c r="G316" s="3278"/>
    </row>
    <row r="317" spans="1:7">
      <c r="A317" s="3271" t="s">
        <v>306</v>
      </c>
      <c r="B317" s="3260" t="s">
        <v>3225</v>
      </c>
      <c r="C317" s="3272"/>
      <c r="D317" s="3272"/>
      <c r="E317" s="3272"/>
      <c r="F317" s="3261">
        <v>0.05</v>
      </c>
      <c r="G317" s="3278"/>
    </row>
    <row r="318" spans="1:7">
      <c r="A318" s="3271" t="s">
        <v>306</v>
      </c>
      <c r="B318" s="3260" t="s">
        <v>3226</v>
      </c>
      <c r="C318" s="3272"/>
      <c r="D318" s="3272"/>
      <c r="E318" s="3272"/>
      <c r="F318" s="3261">
        <v>0.05</v>
      </c>
      <c r="G318" s="3278"/>
    </row>
    <row r="319" spans="1:7">
      <c r="A319" s="3271" t="s">
        <v>306</v>
      </c>
      <c r="B319" s="3260" t="s">
        <v>3227</v>
      </c>
      <c r="C319" s="3272"/>
      <c r="D319" s="3272"/>
      <c r="E319" s="3272"/>
      <c r="F319" s="3261">
        <v>0.05</v>
      </c>
      <c r="G319" s="3278"/>
    </row>
    <row r="320" spans="1:7">
      <c r="A320" s="3271" t="s">
        <v>306</v>
      </c>
      <c r="B320" s="3260" t="s">
        <v>3228</v>
      </c>
      <c r="C320" s="3272"/>
      <c r="D320" s="3272"/>
      <c r="E320" s="3272"/>
      <c r="F320" s="3261">
        <v>0.05</v>
      </c>
      <c r="G320" s="3278"/>
    </row>
    <row r="321" spans="1:7">
      <c r="A321" s="3271" t="s">
        <v>306</v>
      </c>
      <c r="B321" s="3260" t="s">
        <v>3229</v>
      </c>
      <c r="C321" s="3272"/>
      <c r="D321" s="3272"/>
      <c r="E321" s="3272"/>
      <c r="F321" s="3261">
        <v>0.05</v>
      </c>
      <c r="G321" s="3278"/>
    </row>
    <row r="322" spans="1:7">
      <c r="A322" s="3271" t="s">
        <v>306</v>
      </c>
      <c r="B322" s="3260" t="s">
        <v>3230</v>
      </c>
      <c r="C322" s="3272"/>
      <c r="D322" s="3272"/>
      <c r="E322" s="3272"/>
      <c r="F322" s="3261">
        <v>0.05</v>
      </c>
      <c r="G322" s="3278"/>
    </row>
    <row r="323" spans="1:7">
      <c r="A323" s="3271" t="s">
        <v>306</v>
      </c>
      <c r="B323" s="3260" t="s">
        <v>3231</v>
      </c>
      <c r="C323" s="3272"/>
      <c r="D323" s="3272"/>
      <c r="E323" s="3272"/>
      <c r="F323" s="3261">
        <v>0.05</v>
      </c>
      <c r="G323" s="3278"/>
    </row>
    <row r="324" spans="1:7">
      <c r="A324" s="3271" t="s">
        <v>306</v>
      </c>
      <c r="B324" s="3260" t="s">
        <v>3232</v>
      </c>
      <c r="C324" s="3272"/>
      <c r="D324" s="3272"/>
      <c r="E324" s="3272"/>
      <c r="F324" s="3261">
        <v>0.05</v>
      </c>
      <c r="G324" s="3278"/>
    </row>
    <row r="325" spans="1:7">
      <c r="A325" s="3271" t="s">
        <v>306</v>
      </c>
      <c r="B325" s="3260" t="s">
        <v>3233</v>
      </c>
      <c r="C325" s="3272"/>
      <c r="D325" s="3272"/>
      <c r="E325" s="3272"/>
      <c r="F325" s="3261">
        <v>0.05</v>
      </c>
      <c r="G325" s="3278"/>
    </row>
    <row r="326" spans="1:7" ht="14.25" thickBot="1">
      <c r="A326" s="3274" t="s">
        <v>306</v>
      </c>
      <c r="B326" s="3264" t="s">
        <v>3234</v>
      </c>
      <c r="C326" s="3266"/>
      <c r="D326" s="3266"/>
      <c r="E326" s="3266"/>
      <c r="F326" s="3265">
        <v>0.05</v>
      </c>
      <c r="G326" s="3279"/>
    </row>
    <row r="327" spans="1:7">
      <c r="A327" s="3270" t="s">
        <v>307</v>
      </c>
      <c r="B327" s="3256" t="s">
        <v>2866</v>
      </c>
      <c r="C327" s="3257">
        <v>0.15</v>
      </c>
      <c r="D327" s="3257">
        <v>0.15</v>
      </c>
      <c r="E327" s="3257">
        <v>0.15</v>
      </c>
      <c r="F327" s="3257">
        <v>0.15</v>
      </c>
      <c r="G327" s="3258">
        <v>0.15</v>
      </c>
    </row>
    <row r="328" spans="1:7">
      <c r="A328" s="3271" t="s">
        <v>307</v>
      </c>
      <c r="B328" s="3260" t="s">
        <v>136</v>
      </c>
      <c r="C328" s="3261">
        <v>0.15</v>
      </c>
      <c r="D328" s="3261">
        <v>0.15</v>
      </c>
      <c r="E328" s="3261">
        <v>0.15</v>
      </c>
      <c r="F328" s="3261">
        <v>0.126</v>
      </c>
      <c r="G328" s="3262">
        <v>0.15</v>
      </c>
    </row>
    <row r="329" spans="1:7">
      <c r="A329" s="3271" t="s">
        <v>307</v>
      </c>
      <c r="B329" s="3260" t="s">
        <v>2878</v>
      </c>
      <c r="C329" s="3261">
        <v>0.15</v>
      </c>
      <c r="D329" s="3261">
        <v>0.15</v>
      </c>
      <c r="E329" s="3261">
        <v>0.15</v>
      </c>
      <c r="F329" s="3261">
        <v>0.15</v>
      </c>
      <c r="G329" s="3262">
        <v>0.15</v>
      </c>
    </row>
    <row r="330" spans="1:7">
      <c r="A330" s="3271" t="s">
        <v>307</v>
      </c>
      <c r="B330" s="3260" t="s">
        <v>2882</v>
      </c>
      <c r="C330" s="3261">
        <v>0.15</v>
      </c>
      <c r="D330" s="3261">
        <v>0.15</v>
      </c>
      <c r="E330" s="3261">
        <v>0.15</v>
      </c>
      <c r="F330" s="3261">
        <v>0.15</v>
      </c>
      <c r="G330" s="3262">
        <v>0.15</v>
      </c>
    </row>
    <row r="331" spans="1:7">
      <c r="A331" s="3271" t="s">
        <v>307</v>
      </c>
      <c r="B331" s="3260" t="s">
        <v>161</v>
      </c>
      <c r="C331" s="3261">
        <v>0.15</v>
      </c>
      <c r="D331" s="3261">
        <v>0.15</v>
      </c>
      <c r="E331" s="3261">
        <v>0.15</v>
      </c>
      <c r="F331" s="3261">
        <v>0.15</v>
      </c>
      <c r="G331" s="3262">
        <v>0.15</v>
      </c>
    </row>
    <row r="332" spans="1:7">
      <c r="A332" s="3271" t="s">
        <v>307</v>
      </c>
      <c r="B332" s="3260" t="s">
        <v>2890</v>
      </c>
      <c r="C332" s="3261">
        <v>0.15</v>
      </c>
      <c r="D332" s="3261">
        <v>0.15</v>
      </c>
      <c r="E332" s="3261">
        <v>0.15</v>
      </c>
      <c r="F332" s="3261">
        <v>0.15</v>
      </c>
      <c r="G332" s="3262">
        <v>0.15</v>
      </c>
    </row>
    <row r="333" spans="1:7">
      <c r="A333" s="3271" t="s">
        <v>307</v>
      </c>
      <c r="B333" s="3260" t="s">
        <v>2894</v>
      </c>
      <c r="C333" s="3261">
        <v>0.14899999999999999</v>
      </c>
      <c r="D333" s="3261">
        <v>0.14899999999999999</v>
      </c>
      <c r="E333" s="3261">
        <v>0.15</v>
      </c>
      <c r="F333" s="3261">
        <v>0.11600000000000001</v>
      </c>
      <c r="G333" s="3262">
        <v>0.15</v>
      </c>
    </row>
    <row r="334" spans="1:7">
      <c r="A334" s="3271" t="s">
        <v>307</v>
      </c>
      <c r="B334" s="3260" t="s">
        <v>183</v>
      </c>
      <c r="C334" s="3261">
        <v>0.15</v>
      </c>
      <c r="D334" s="3261">
        <v>0.15</v>
      </c>
      <c r="E334" s="3261">
        <v>0.15</v>
      </c>
      <c r="F334" s="3261">
        <v>0.13</v>
      </c>
      <c r="G334" s="3262">
        <v>0.15</v>
      </c>
    </row>
    <row r="335" spans="1:7">
      <c r="A335" s="3271" t="s">
        <v>307</v>
      </c>
      <c r="B335" s="3260" t="s">
        <v>193</v>
      </c>
      <c r="C335" s="3261">
        <v>0.15</v>
      </c>
      <c r="D335" s="3261">
        <v>0.15</v>
      </c>
      <c r="E335" s="3261">
        <v>0.15</v>
      </c>
      <c r="F335" s="3261">
        <v>0.14399999999999999</v>
      </c>
      <c r="G335" s="3262">
        <v>0.15</v>
      </c>
    </row>
    <row r="336" spans="1:7">
      <c r="A336" s="3271" t="s">
        <v>307</v>
      </c>
      <c r="B336" s="3260" t="s">
        <v>2900</v>
      </c>
      <c r="C336" s="3261">
        <v>0.15</v>
      </c>
      <c r="D336" s="3261">
        <v>0.15</v>
      </c>
      <c r="E336" s="3261">
        <v>0.15</v>
      </c>
      <c r="F336" s="3261">
        <v>0.14199999999999999</v>
      </c>
      <c r="G336" s="3262">
        <v>0.15</v>
      </c>
    </row>
    <row r="337" spans="1:7">
      <c r="A337" s="3271" t="s">
        <v>307</v>
      </c>
      <c r="B337" s="3260" t="s">
        <v>2905</v>
      </c>
      <c r="C337" s="3261">
        <v>0.15</v>
      </c>
      <c r="D337" s="3261">
        <v>0.15</v>
      </c>
      <c r="E337" s="3261">
        <v>0.15</v>
      </c>
      <c r="F337" s="3261">
        <v>0.14499999999999999</v>
      </c>
      <c r="G337" s="3262">
        <v>0.15</v>
      </c>
    </row>
    <row r="338" spans="1:7">
      <c r="A338" s="3271" t="s">
        <v>307</v>
      </c>
      <c r="B338" s="3260" t="s">
        <v>220</v>
      </c>
      <c r="C338" s="3261">
        <v>0.15</v>
      </c>
      <c r="D338" s="3261">
        <v>0.15</v>
      </c>
      <c r="E338" s="3261">
        <v>0.15</v>
      </c>
      <c r="F338" s="3261">
        <v>0.15</v>
      </c>
      <c r="G338" s="3262">
        <v>0.15</v>
      </c>
    </row>
    <row r="339" spans="1:7">
      <c r="A339" s="3271" t="s">
        <v>307</v>
      </c>
      <c r="B339" s="3260" t="s">
        <v>228</v>
      </c>
      <c r="C339" s="3261">
        <v>0.15</v>
      </c>
      <c r="D339" s="3261">
        <v>0.15</v>
      </c>
      <c r="E339" s="3261">
        <v>0.15</v>
      </c>
      <c r="F339" s="3261">
        <v>0.14699999999999999</v>
      </c>
      <c r="G339" s="3262">
        <v>0.15</v>
      </c>
    </row>
    <row r="340" spans="1:7">
      <c r="A340" s="3271" t="s">
        <v>307</v>
      </c>
      <c r="B340" s="3260" t="s">
        <v>2912</v>
      </c>
      <c r="C340" s="3261">
        <v>0.14599999999999999</v>
      </c>
      <c r="D340" s="3261">
        <v>0.14599999999999999</v>
      </c>
      <c r="E340" s="3261">
        <v>0.15</v>
      </c>
      <c r="F340" s="3261">
        <v>0.14099999999999999</v>
      </c>
      <c r="G340" s="3262">
        <v>0.14699999999999999</v>
      </c>
    </row>
    <row r="341" spans="1:7">
      <c r="A341" s="3271" t="s">
        <v>307</v>
      </c>
      <c r="B341" s="3260" t="s">
        <v>207</v>
      </c>
      <c r="C341" s="3261">
        <v>0.126</v>
      </c>
      <c r="D341" s="3261">
        <v>0.124</v>
      </c>
      <c r="E341" s="3261">
        <v>0.14099999999999999</v>
      </c>
      <c r="F341" s="3261">
        <v>0.14399999999999999</v>
      </c>
      <c r="G341" s="3262">
        <v>0.13</v>
      </c>
    </row>
    <row r="342" spans="1:7">
      <c r="A342" s="3271" t="s">
        <v>307</v>
      </c>
      <c r="B342" s="3260" t="s">
        <v>2917</v>
      </c>
      <c r="C342" s="3261">
        <v>0.15</v>
      </c>
      <c r="D342" s="3261">
        <v>0.15</v>
      </c>
      <c r="E342" s="3261">
        <v>0.15</v>
      </c>
      <c r="F342" s="3261">
        <v>0.14399999999999999</v>
      </c>
      <c r="G342" s="3262">
        <v>0.15</v>
      </c>
    </row>
    <row r="343" spans="1:7">
      <c r="A343" s="3271" t="s">
        <v>307</v>
      </c>
      <c r="B343" s="3260" t="s">
        <v>257</v>
      </c>
      <c r="C343" s="3261">
        <v>0.15</v>
      </c>
      <c r="D343" s="3261">
        <v>0.15</v>
      </c>
      <c r="E343" s="3261">
        <v>0.15</v>
      </c>
      <c r="F343" s="3261">
        <v>0.128</v>
      </c>
      <c r="G343" s="3262">
        <v>0.15</v>
      </c>
    </row>
    <row r="344" spans="1:7">
      <c r="A344" s="3271" t="s">
        <v>307</v>
      </c>
      <c r="B344" s="3260" t="s">
        <v>265</v>
      </c>
      <c r="C344" s="3261">
        <v>0.15</v>
      </c>
      <c r="D344" s="3261">
        <v>0.15</v>
      </c>
      <c r="E344" s="3261">
        <v>0.15</v>
      </c>
      <c r="F344" s="3261">
        <v>0.14799999999999999</v>
      </c>
      <c r="G344" s="3262">
        <v>0.15</v>
      </c>
    </row>
    <row r="345" spans="1:7">
      <c r="A345" s="3271" t="s">
        <v>307</v>
      </c>
      <c r="B345" s="3260" t="s">
        <v>2925</v>
      </c>
      <c r="C345" s="3261">
        <v>0.15</v>
      </c>
      <c r="D345" s="3261">
        <v>0.15</v>
      </c>
      <c r="E345" s="3261">
        <v>0.15</v>
      </c>
      <c r="F345" s="3261">
        <v>0.13800000000000001</v>
      </c>
      <c r="G345" s="3262">
        <v>0.15</v>
      </c>
    </row>
    <row r="346" spans="1:7">
      <c r="A346" s="3271" t="s">
        <v>307</v>
      </c>
      <c r="B346" s="3260" t="s">
        <v>2927</v>
      </c>
      <c r="C346" s="3261">
        <v>0.15</v>
      </c>
      <c r="D346" s="3261">
        <v>0.15</v>
      </c>
      <c r="E346" s="3261">
        <v>0.15</v>
      </c>
      <c r="F346" s="3261">
        <v>0.14399999999999999</v>
      </c>
      <c r="G346" s="3262">
        <v>0.15</v>
      </c>
    </row>
    <row r="347" spans="1:7">
      <c r="A347" s="3271" t="s">
        <v>307</v>
      </c>
      <c r="B347" s="3260" t="s">
        <v>243</v>
      </c>
      <c r="C347" s="3261">
        <v>0.15</v>
      </c>
      <c r="D347" s="3261">
        <v>0.15</v>
      </c>
      <c r="E347" s="3261">
        <v>0.15</v>
      </c>
      <c r="F347" s="3261">
        <v>0.14599999999999999</v>
      </c>
      <c r="G347" s="3262">
        <v>0.15</v>
      </c>
    </row>
    <row r="348" spans="1:7">
      <c r="A348" s="3271" t="s">
        <v>307</v>
      </c>
      <c r="B348" s="3260" t="s">
        <v>2934</v>
      </c>
      <c r="C348" s="3261">
        <v>0.15</v>
      </c>
      <c r="D348" s="3261">
        <v>0.15</v>
      </c>
      <c r="E348" s="3261">
        <v>0.15</v>
      </c>
      <c r="F348" s="3261">
        <v>0.14399999999999999</v>
      </c>
      <c r="G348" s="3262">
        <v>0.15</v>
      </c>
    </row>
    <row r="349" spans="1:7">
      <c r="A349" s="3271" t="s">
        <v>307</v>
      </c>
      <c r="B349" s="3260" t="s">
        <v>2939</v>
      </c>
      <c r="C349" s="3261">
        <v>0.15</v>
      </c>
      <c r="D349" s="3261">
        <v>0.15</v>
      </c>
      <c r="E349" s="3261">
        <v>0.15</v>
      </c>
      <c r="F349" s="3261">
        <v>0.15</v>
      </c>
      <c r="G349" s="3262">
        <v>0.15</v>
      </c>
    </row>
    <row r="350" spans="1:7">
      <c r="A350" s="3271" t="s">
        <v>307</v>
      </c>
      <c r="B350" s="3260" t="s">
        <v>2942</v>
      </c>
      <c r="C350" s="3261">
        <v>0.15</v>
      </c>
      <c r="D350" s="3261">
        <v>0.15</v>
      </c>
      <c r="E350" s="3261">
        <v>0.15</v>
      </c>
      <c r="F350" s="3261">
        <v>0.14699999999999999</v>
      </c>
      <c r="G350" s="3262">
        <v>0.15</v>
      </c>
    </row>
    <row r="351" spans="1:7">
      <c r="A351" s="3271" t="s">
        <v>307</v>
      </c>
      <c r="B351" s="3260" t="s">
        <v>2947</v>
      </c>
      <c r="C351" s="3261">
        <v>0.15</v>
      </c>
      <c r="D351" s="3261">
        <v>0.15</v>
      </c>
      <c r="E351" s="3261">
        <v>0.15</v>
      </c>
      <c r="F351" s="3261">
        <v>0.13</v>
      </c>
      <c r="G351" s="3262">
        <v>0.15</v>
      </c>
    </row>
    <row r="352" spans="1:7">
      <c r="A352" s="3271" t="s">
        <v>307</v>
      </c>
      <c r="B352" s="3260" t="s">
        <v>2952</v>
      </c>
      <c r="C352" s="3261">
        <v>0.15</v>
      </c>
      <c r="D352" s="3261">
        <v>0.15</v>
      </c>
      <c r="E352" s="3261">
        <v>0.15</v>
      </c>
      <c r="F352" s="3261">
        <v>0.14599999999999999</v>
      </c>
      <c r="G352" s="3262">
        <v>0.15</v>
      </c>
    </row>
    <row r="353" spans="1:7">
      <c r="A353" s="3271" t="s">
        <v>307</v>
      </c>
      <c r="B353" s="3260" t="s">
        <v>2959</v>
      </c>
      <c r="C353" s="3261">
        <v>0.15</v>
      </c>
      <c r="D353" s="3261">
        <v>0.15</v>
      </c>
      <c r="E353" s="3261">
        <v>0.15</v>
      </c>
      <c r="F353" s="3261">
        <v>0.14499999999999999</v>
      </c>
      <c r="G353" s="3262">
        <v>0.15</v>
      </c>
    </row>
    <row r="354" spans="1:7">
      <c r="A354" s="3271" t="s">
        <v>307</v>
      </c>
      <c r="B354" s="3260" t="s">
        <v>280</v>
      </c>
      <c r="C354" s="3261">
        <v>0.15</v>
      </c>
      <c r="D354" s="3261">
        <v>0.15</v>
      </c>
      <c r="E354" s="3261">
        <v>0.15</v>
      </c>
      <c r="F354" s="3261">
        <v>0.14099999999999999</v>
      </c>
      <c r="G354" s="3262">
        <v>0.15</v>
      </c>
    </row>
    <row r="355" spans="1:7">
      <c r="A355" s="3271" t="s">
        <v>307</v>
      </c>
      <c r="B355" s="3260" t="s">
        <v>2972</v>
      </c>
      <c r="C355" s="3261">
        <v>0.15</v>
      </c>
      <c r="D355" s="3261">
        <v>0.15</v>
      </c>
      <c r="E355" s="3261">
        <v>0.15</v>
      </c>
      <c r="F355" s="3261">
        <v>0.15</v>
      </c>
      <c r="G355" s="3262">
        <v>0.15</v>
      </c>
    </row>
    <row r="356" spans="1:7">
      <c r="A356" s="3271" t="s">
        <v>307</v>
      </c>
      <c r="B356" s="3260" t="s">
        <v>2979</v>
      </c>
      <c r="C356" s="3261">
        <v>0.15</v>
      </c>
      <c r="D356" s="3261">
        <v>0.15</v>
      </c>
      <c r="E356" s="3261">
        <v>0.15</v>
      </c>
      <c r="F356" s="3261">
        <v>0.15</v>
      </c>
      <c r="G356" s="3262">
        <v>0.15</v>
      </c>
    </row>
    <row r="357" spans="1:7" ht="14.25" thickBot="1">
      <c r="A357" s="3274" t="s">
        <v>307</v>
      </c>
      <c r="B357" s="3264" t="s">
        <v>2984</v>
      </c>
      <c r="C357" s="3265">
        <v>0.126</v>
      </c>
      <c r="D357" s="3265">
        <v>0.127</v>
      </c>
      <c r="E357" s="3265">
        <v>0.14299999999999999</v>
      </c>
      <c r="F357" s="3265">
        <v>0.125</v>
      </c>
      <c r="G357" s="3267">
        <v>0.129</v>
      </c>
    </row>
    <row r="358" spans="1:7">
      <c r="A358" s="3270" t="s">
        <v>2853</v>
      </c>
      <c r="B358" s="3256" t="s">
        <v>2867</v>
      </c>
      <c r="C358" s="3257">
        <v>0.15</v>
      </c>
      <c r="D358" s="3257">
        <v>0.15</v>
      </c>
      <c r="E358" s="3257">
        <v>0.15</v>
      </c>
      <c r="F358" s="3257">
        <v>0.15</v>
      </c>
      <c r="G358" s="3258">
        <v>0.15</v>
      </c>
    </row>
    <row r="359" spans="1:7">
      <c r="A359" s="3271" t="s">
        <v>2853</v>
      </c>
      <c r="B359" s="3260" t="s">
        <v>2873</v>
      </c>
      <c r="C359" s="3261">
        <v>0.1</v>
      </c>
      <c r="D359" s="3261">
        <v>0.1</v>
      </c>
      <c r="E359" s="3261">
        <v>0.1</v>
      </c>
      <c r="F359" s="3261">
        <v>0.1</v>
      </c>
      <c r="G359" s="3262">
        <v>0.1</v>
      </c>
    </row>
    <row r="360" spans="1:7">
      <c r="A360" s="3271" t="s">
        <v>2853</v>
      </c>
      <c r="B360" s="3260" t="s">
        <v>2879</v>
      </c>
      <c r="C360" s="3261">
        <v>0.15</v>
      </c>
      <c r="D360" s="3261">
        <v>0.15</v>
      </c>
      <c r="E360" s="3261">
        <v>0.15</v>
      </c>
      <c r="F360" s="3261">
        <v>0.14899999999999999</v>
      </c>
      <c r="G360" s="3262">
        <v>0.15</v>
      </c>
    </row>
    <row r="361" spans="1:7">
      <c r="A361" s="3271" t="s">
        <v>2853</v>
      </c>
      <c r="B361" s="3260" t="s">
        <v>153</v>
      </c>
      <c r="C361" s="3261">
        <v>0.15</v>
      </c>
      <c r="D361" s="3261">
        <v>0.15</v>
      </c>
      <c r="E361" s="3261">
        <v>0.15</v>
      </c>
      <c r="F361" s="3261">
        <v>0.115</v>
      </c>
      <c r="G361" s="3262">
        <v>0.15</v>
      </c>
    </row>
    <row r="362" spans="1:7">
      <c r="A362" s="3271" t="s">
        <v>2853</v>
      </c>
      <c r="B362" s="3260" t="s">
        <v>2886</v>
      </c>
      <c r="C362" s="3261">
        <v>0.15</v>
      </c>
      <c r="D362" s="3261">
        <v>0.15</v>
      </c>
      <c r="E362" s="3261">
        <v>0.15</v>
      </c>
      <c r="F362" s="3261">
        <v>0.106</v>
      </c>
      <c r="G362" s="3262">
        <v>0.15</v>
      </c>
    </row>
    <row r="363" spans="1:7">
      <c r="A363" s="3271" t="s">
        <v>2853</v>
      </c>
      <c r="B363" s="3260" t="s">
        <v>2891</v>
      </c>
      <c r="C363" s="3261">
        <v>0.15</v>
      </c>
      <c r="D363" s="3261">
        <v>0.15</v>
      </c>
      <c r="E363" s="3261">
        <v>0.15</v>
      </c>
      <c r="F363" s="3261">
        <v>0.14699999999999999</v>
      </c>
      <c r="G363" s="3262">
        <v>0.15</v>
      </c>
    </row>
    <row r="364" spans="1:7">
      <c r="A364" s="3271" t="s">
        <v>2853</v>
      </c>
      <c r="B364" s="3260" t="s">
        <v>2895</v>
      </c>
      <c r="C364" s="3261">
        <v>0.15</v>
      </c>
      <c r="D364" s="3261">
        <v>0.15</v>
      </c>
      <c r="E364" s="3261">
        <v>0.15</v>
      </c>
      <c r="F364" s="3261">
        <v>0.14799999999999999</v>
      </c>
      <c r="G364" s="3262">
        <v>0.15</v>
      </c>
    </row>
    <row r="365" spans="1:7">
      <c r="A365" s="3271" t="s">
        <v>2853</v>
      </c>
      <c r="B365" s="3260" t="s">
        <v>200</v>
      </c>
      <c r="C365" s="3261">
        <v>0.15</v>
      </c>
      <c r="D365" s="3261">
        <v>0.15</v>
      </c>
      <c r="E365" s="3261">
        <v>0.15</v>
      </c>
      <c r="F365" s="3261">
        <v>0.15</v>
      </c>
      <c r="G365" s="3262">
        <v>0.15</v>
      </c>
    </row>
    <row r="366" spans="1:7">
      <c r="A366" s="3271" t="s">
        <v>2853</v>
      </c>
      <c r="B366" s="3260" t="s">
        <v>2898</v>
      </c>
      <c r="C366" s="3261">
        <v>0.15</v>
      </c>
      <c r="D366" s="3261">
        <v>0.15</v>
      </c>
      <c r="E366" s="3261">
        <v>0.15</v>
      </c>
      <c r="F366" s="3261">
        <v>0.15</v>
      </c>
      <c r="G366" s="3262">
        <v>0.15</v>
      </c>
    </row>
    <row r="367" spans="1:7">
      <c r="A367" s="3271" t="s">
        <v>2853</v>
      </c>
      <c r="B367" s="3260" t="s">
        <v>2901</v>
      </c>
      <c r="C367" s="3261">
        <v>0.15</v>
      </c>
      <c r="D367" s="3261">
        <v>0.15</v>
      </c>
      <c r="E367" s="3261">
        <v>0.15</v>
      </c>
      <c r="F367" s="3261">
        <v>0.14699999999999999</v>
      </c>
      <c r="G367" s="3262">
        <v>0.15</v>
      </c>
    </row>
    <row r="368" spans="1:7">
      <c r="A368" s="3271" t="s">
        <v>2853</v>
      </c>
      <c r="B368" s="3260" t="s">
        <v>2906</v>
      </c>
      <c r="C368" s="3261">
        <v>0.15</v>
      </c>
      <c r="D368" s="3261">
        <v>0.15</v>
      </c>
      <c r="E368" s="3261">
        <v>0.15</v>
      </c>
      <c r="F368" s="3261">
        <v>0.13600000000000001</v>
      </c>
      <c r="G368" s="3262">
        <v>0.15</v>
      </c>
    </row>
    <row r="369" spans="1:7">
      <c r="A369" s="3271" t="s">
        <v>2853</v>
      </c>
      <c r="B369" s="3260" t="s">
        <v>214</v>
      </c>
      <c r="C369" s="3261">
        <v>0.15</v>
      </c>
      <c r="D369" s="3261">
        <v>0.15</v>
      </c>
      <c r="E369" s="3261">
        <v>0.15</v>
      </c>
      <c r="F369" s="3261">
        <v>0.14399999999999999</v>
      </c>
      <c r="G369" s="3262">
        <v>0.15</v>
      </c>
    </row>
    <row r="370" spans="1:7">
      <c r="A370" s="3271" t="s">
        <v>2853</v>
      </c>
      <c r="B370" s="3260" t="s">
        <v>221</v>
      </c>
      <c r="C370" s="3261">
        <v>0.15</v>
      </c>
      <c r="D370" s="3261">
        <v>0.15</v>
      </c>
      <c r="E370" s="3261">
        <v>0.15</v>
      </c>
      <c r="F370" s="3261">
        <v>0.14599999999999999</v>
      </c>
      <c r="G370" s="3262">
        <v>0.15</v>
      </c>
    </row>
    <row r="371" spans="1:7">
      <c r="A371" s="3271" t="s">
        <v>2853</v>
      </c>
      <c r="B371" s="3260" t="s">
        <v>229</v>
      </c>
      <c r="C371" s="3261">
        <v>0.15</v>
      </c>
      <c r="D371" s="3261">
        <v>0.15</v>
      </c>
      <c r="E371" s="3261">
        <v>0.15</v>
      </c>
      <c r="F371" s="3261">
        <v>0.12</v>
      </c>
      <c r="G371" s="3262">
        <v>0.15</v>
      </c>
    </row>
    <row r="372" spans="1:7">
      <c r="A372" s="3271" t="s">
        <v>2853</v>
      </c>
      <c r="B372" s="3260" t="s">
        <v>2914</v>
      </c>
      <c r="C372" s="3261">
        <v>0.15</v>
      </c>
      <c r="D372" s="3261">
        <v>0.15</v>
      </c>
      <c r="E372" s="3261">
        <v>0.15</v>
      </c>
      <c r="F372" s="3261">
        <v>0.14299999999999999</v>
      </c>
      <c r="G372" s="3262">
        <v>0.15</v>
      </c>
    </row>
    <row r="373" spans="1:7">
      <c r="A373" s="3271" t="s">
        <v>2853</v>
      </c>
      <c r="B373" s="3260" t="s">
        <v>258</v>
      </c>
      <c r="C373" s="3261">
        <v>0.15</v>
      </c>
      <c r="D373" s="3261">
        <v>0.15</v>
      </c>
      <c r="E373" s="3261">
        <v>0.15</v>
      </c>
      <c r="F373" s="3261">
        <v>0.14599999999999999</v>
      </c>
      <c r="G373" s="3262">
        <v>0.15</v>
      </c>
    </row>
    <row r="374" spans="1:7">
      <c r="A374" s="3271" t="s">
        <v>2853</v>
      </c>
      <c r="B374" s="3260" t="s">
        <v>266</v>
      </c>
      <c r="C374" s="3261">
        <v>0.15</v>
      </c>
      <c r="D374" s="3261">
        <v>0.15</v>
      </c>
      <c r="E374" s="3261">
        <v>0.15</v>
      </c>
      <c r="F374" s="3261">
        <v>0.14399999999999999</v>
      </c>
      <c r="G374" s="3262">
        <v>0.15</v>
      </c>
    </row>
    <row r="375" spans="1:7">
      <c r="A375" s="3271" t="s">
        <v>2853</v>
      </c>
      <c r="B375" s="3260" t="s">
        <v>2922</v>
      </c>
      <c r="C375" s="3261">
        <v>0.15</v>
      </c>
      <c r="D375" s="3261">
        <v>0.15</v>
      </c>
      <c r="E375" s="3261">
        <v>0.15</v>
      </c>
      <c r="F375" s="3261">
        <v>0.13</v>
      </c>
      <c r="G375" s="3262">
        <v>0.15</v>
      </c>
    </row>
    <row r="376" spans="1:7">
      <c r="A376" s="3271" t="s">
        <v>2853</v>
      </c>
      <c r="B376" s="3260" t="s">
        <v>277</v>
      </c>
      <c r="C376" s="3261">
        <v>0.15</v>
      </c>
      <c r="D376" s="3261">
        <v>0.15</v>
      </c>
      <c r="E376" s="3261">
        <v>0.15</v>
      </c>
      <c r="F376" s="3261">
        <v>0.14199999999999999</v>
      </c>
      <c r="G376" s="3262">
        <v>0.15</v>
      </c>
    </row>
    <row r="377" spans="1:7" ht="14.25" thickBot="1">
      <c r="A377" s="3274" t="s">
        <v>2853</v>
      </c>
      <c r="B377" s="3264" t="s">
        <v>2928</v>
      </c>
      <c r="C377" s="3265">
        <v>0.15</v>
      </c>
      <c r="D377" s="3265">
        <v>0.15</v>
      </c>
      <c r="E377" s="3265">
        <v>0.15</v>
      </c>
      <c r="F377" s="3265">
        <v>0.14000000000000001</v>
      </c>
      <c r="G377" s="3267">
        <v>0.15</v>
      </c>
    </row>
    <row r="378" spans="1:7">
      <c r="A378" s="3270" t="s">
        <v>2854</v>
      </c>
      <c r="B378" s="3256" t="s">
        <v>2868</v>
      </c>
      <c r="C378" s="3257">
        <v>0.15</v>
      </c>
      <c r="D378" s="3257">
        <v>0.15</v>
      </c>
      <c r="E378" s="3257">
        <v>0.15</v>
      </c>
      <c r="F378" s="3257">
        <v>0.107</v>
      </c>
      <c r="G378" s="3258">
        <v>0.15</v>
      </c>
    </row>
    <row r="379" spans="1:7">
      <c r="A379" s="3271" t="s">
        <v>2854</v>
      </c>
      <c r="B379" s="3260" t="s">
        <v>2874</v>
      </c>
      <c r="C379" s="3261">
        <v>0.15</v>
      </c>
      <c r="D379" s="3261">
        <v>0.15</v>
      </c>
      <c r="E379" s="3261">
        <v>0.15</v>
      </c>
      <c r="F379" s="3261">
        <v>0.115</v>
      </c>
      <c r="G379" s="3262">
        <v>0.14899999999999999</v>
      </c>
    </row>
    <row r="380" spans="1:7">
      <c r="A380" s="3271" t="s">
        <v>2854</v>
      </c>
      <c r="B380" s="3260" t="s">
        <v>2880</v>
      </c>
      <c r="C380" s="3261">
        <v>0.15</v>
      </c>
      <c r="D380" s="3261">
        <v>0.15</v>
      </c>
      <c r="E380" s="3261">
        <v>0.15</v>
      </c>
      <c r="F380" s="3261">
        <v>0.1</v>
      </c>
      <c r="G380" s="3262">
        <v>0.14799999999999999</v>
      </c>
    </row>
    <row r="381" spans="1:7">
      <c r="A381" s="3271" t="s">
        <v>2854</v>
      </c>
      <c r="B381" s="3260" t="s">
        <v>2883</v>
      </c>
      <c r="C381" s="3261">
        <v>0.15</v>
      </c>
      <c r="D381" s="3261">
        <v>0.15</v>
      </c>
      <c r="E381" s="3261">
        <v>0.15</v>
      </c>
      <c r="F381" s="3261">
        <v>0.126</v>
      </c>
      <c r="G381" s="3262">
        <v>0.15</v>
      </c>
    </row>
    <row r="382" spans="1:7">
      <c r="A382" s="3271" t="s">
        <v>2854</v>
      </c>
      <c r="B382" s="3260" t="s">
        <v>2887</v>
      </c>
      <c r="C382" s="3261">
        <v>0.15</v>
      </c>
      <c r="D382" s="3261">
        <v>0.15</v>
      </c>
      <c r="E382" s="3261">
        <v>0.15</v>
      </c>
      <c r="F382" s="3261">
        <v>0.15</v>
      </c>
      <c r="G382" s="3262">
        <v>0.15</v>
      </c>
    </row>
    <row r="383" spans="1:7">
      <c r="A383" s="3271" t="s">
        <v>2854</v>
      </c>
      <c r="B383" s="3260" t="s">
        <v>2892</v>
      </c>
      <c r="C383" s="3261">
        <v>0.15</v>
      </c>
      <c r="D383" s="3261">
        <v>0.15</v>
      </c>
      <c r="E383" s="3261">
        <v>0.15</v>
      </c>
      <c r="F383" s="3261">
        <v>0.14699999999999999</v>
      </c>
      <c r="G383" s="3262">
        <v>0.15</v>
      </c>
    </row>
    <row r="384" spans="1:7" ht="14.25" thickBot="1">
      <c r="A384" s="3281" t="s">
        <v>2854</v>
      </c>
      <c r="B384" s="3282" t="s">
        <v>2896</v>
      </c>
      <c r="C384" s="3283">
        <v>0.15</v>
      </c>
      <c r="D384" s="3283">
        <v>0.15</v>
      </c>
      <c r="E384" s="3283">
        <v>0.15</v>
      </c>
      <c r="F384" s="3283">
        <v>0.15</v>
      </c>
      <c r="G384" s="3284">
        <v>0.15</v>
      </c>
    </row>
  </sheetData>
  <sheetProtection password="CEE9" sheet="1" objects="1" scenarios="1"/>
  <mergeCells count="1">
    <mergeCell ref="A1:B1"/>
  </mergeCells>
  <phoneticPr fontId="9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86"/>
  </cols>
  <sheetData>
    <row r="1" spans="1:6" ht="15">
      <c r="A1" s="3838" t="s">
        <v>3235</v>
      </c>
      <c r="B1" s="3838"/>
      <c r="C1" s="3838"/>
      <c r="D1" s="3838"/>
      <c r="E1" s="3838"/>
      <c r="F1" s="3839"/>
    </row>
    <row r="2" spans="1:6" ht="15">
      <c r="A2" s="3287" t="s">
        <v>3236</v>
      </c>
      <c r="B2" s="3288"/>
      <c r="C2" s="3288"/>
      <c r="D2" s="3288"/>
      <c r="E2" s="3288"/>
      <c r="F2" s="3288"/>
    </row>
    <row r="3" spans="1:6" ht="15">
      <c r="A3" s="3287" t="s">
        <v>3237</v>
      </c>
      <c r="B3" s="3288"/>
      <c r="C3" s="3288"/>
      <c r="D3" s="3288"/>
      <c r="E3" s="3288"/>
      <c r="F3" s="3289" t="s">
        <v>3238</v>
      </c>
    </row>
    <row r="4" spans="1:6">
      <c r="A4" s="3290" t="s">
        <v>672</v>
      </c>
      <c r="B4" s="3290" t="s">
        <v>673</v>
      </c>
      <c r="C4" s="3290" t="s">
        <v>21</v>
      </c>
      <c r="D4" s="3290" t="s">
        <v>674</v>
      </c>
      <c r="E4" s="3290" t="s">
        <v>3</v>
      </c>
      <c r="F4" s="3290" t="s">
        <v>3239</v>
      </c>
    </row>
    <row r="5" spans="1:6">
      <c r="A5" s="3291" t="s">
        <v>675</v>
      </c>
      <c r="B5" s="3290"/>
      <c r="C5" s="3290"/>
      <c r="D5" s="3290"/>
      <c r="E5" s="3290"/>
      <c r="F5" s="3292"/>
    </row>
    <row r="6" spans="1:6">
      <c r="A6" s="3291" t="s">
        <v>144</v>
      </c>
      <c r="B6" s="3293">
        <v>35380</v>
      </c>
      <c r="C6" s="3293">
        <v>35180</v>
      </c>
      <c r="D6" s="3293">
        <v>35030</v>
      </c>
      <c r="E6" s="3293">
        <v>13780</v>
      </c>
      <c r="F6" s="3293">
        <v>25980</v>
      </c>
    </row>
    <row r="7" spans="1:6">
      <c r="A7" s="3291" t="s">
        <v>184</v>
      </c>
      <c r="B7" s="3293">
        <v>29960</v>
      </c>
      <c r="C7" s="3293">
        <v>29800</v>
      </c>
      <c r="D7" s="3293">
        <v>29690</v>
      </c>
      <c r="E7" s="3293">
        <v>10100</v>
      </c>
      <c r="F7" s="3293">
        <v>21690</v>
      </c>
    </row>
    <row r="8" spans="1:6">
      <c r="A8" s="3291" t="s">
        <v>296</v>
      </c>
      <c r="B8" s="3293">
        <v>24480</v>
      </c>
      <c r="C8" s="3293">
        <v>24380</v>
      </c>
      <c r="D8" s="3293">
        <v>25590</v>
      </c>
      <c r="E8" s="3293">
        <v>7010</v>
      </c>
      <c r="F8" s="3293">
        <v>17060</v>
      </c>
    </row>
    <row r="9" spans="1:6">
      <c r="A9" s="3291" t="s">
        <v>110</v>
      </c>
      <c r="B9" s="3293">
        <v>19370</v>
      </c>
      <c r="C9" s="3293">
        <v>19290</v>
      </c>
      <c r="D9" s="3293">
        <v>21280</v>
      </c>
      <c r="E9" s="3293">
        <v>4910</v>
      </c>
      <c r="F9" s="3293">
        <v>13090</v>
      </c>
    </row>
    <row r="10" spans="1:6">
      <c r="A10" s="3291" t="s">
        <v>303</v>
      </c>
      <c r="B10" s="3293">
        <v>15050</v>
      </c>
      <c r="C10" s="3293">
        <v>14980</v>
      </c>
      <c r="D10" s="3293">
        <v>17300</v>
      </c>
      <c r="E10" s="3293">
        <v>3450</v>
      </c>
      <c r="F10" s="3293">
        <v>9900</v>
      </c>
    </row>
    <row r="11" spans="1:6">
      <c r="A11" s="3291" t="s">
        <v>29</v>
      </c>
      <c r="B11" s="3293">
        <v>11550</v>
      </c>
      <c r="C11" s="3293">
        <v>11490</v>
      </c>
      <c r="D11" s="3293">
        <v>13850</v>
      </c>
      <c r="E11" s="3293">
        <v>2400</v>
      </c>
      <c r="F11" s="3293">
        <v>7390</v>
      </c>
    </row>
    <row r="12" spans="1:6">
      <c r="A12" s="3291" t="s">
        <v>304</v>
      </c>
      <c r="B12" s="3293">
        <v>8630</v>
      </c>
      <c r="C12" s="3293">
        <v>8580</v>
      </c>
      <c r="D12" s="3293">
        <v>10740</v>
      </c>
      <c r="E12" s="3293">
        <v>1720</v>
      </c>
      <c r="F12" s="3293">
        <v>5420</v>
      </c>
    </row>
    <row r="13" spans="1:6">
      <c r="A13" s="3291" t="s">
        <v>305</v>
      </c>
      <c r="B13" s="3293">
        <v>6620</v>
      </c>
      <c r="C13" s="3293">
        <v>6580</v>
      </c>
      <c r="D13" s="3293">
        <v>7830</v>
      </c>
      <c r="E13" s="3293">
        <v>1260</v>
      </c>
      <c r="F13" s="3293">
        <v>4040</v>
      </c>
    </row>
    <row r="14" spans="1:6">
      <c r="A14" s="3291" t="s">
        <v>306</v>
      </c>
      <c r="B14" s="3293">
        <v>4900</v>
      </c>
      <c r="C14" s="3293">
        <v>4860</v>
      </c>
      <c r="D14" s="3293">
        <v>5540</v>
      </c>
      <c r="E14" s="3293">
        <v>950</v>
      </c>
      <c r="F14" s="3293">
        <v>2930</v>
      </c>
    </row>
    <row r="15" spans="1:6">
      <c r="A15" s="3291" t="s">
        <v>307</v>
      </c>
      <c r="B15" s="3293">
        <v>3380</v>
      </c>
      <c r="C15" s="3293">
        <v>3340</v>
      </c>
      <c r="D15" s="3293">
        <v>3630</v>
      </c>
      <c r="E15" s="3293">
        <v>730</v>
      </c>
      <c r="F15" s="3293">
        <v>1990</v>
      </c>
    </row>
    <row r="16" spans="1:6">
      <c r="A16" s="3291" t="s">
        <v>369</v>
      </c>
      <c r="B16" s="3293">
        <v>2230</v>
      </c>
      <c r="C16" s="3293">
        <v>2200</v>
      </c>
      <c r="D16" s="3293">
        <v>2180</v>
      </c>
      <c r="E16" s="3293">
        <v>570</v>
      </c>
      <c r="F16" s="3293">
        <v>1330</v>
      </c>
    </row>
    <row r="17" spans="1:6">
      <c r="A17" s="3291" t="s">
        <v>370</v>
      </c>
      <c r="B17" s="3293">
        <v>1390</v>
      </c>
      <c r="C17" s="3293">
        <v>1360</v>
      </c>
      <c r="D17" s="3293">
        <v>1340</v>
      </c>
      <c r="E17" s="3293">
        <v>450</v>
      </c>
      <c r="F17" s="3293">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topLeftCell="A16" zoomScale="80" zoomScaleNormal="80" workbookViewId="0">
      <selection activeCell="G28" sqref="G28"/>
    </sheetView>
  </sheetViews>
  <sheetFormatPr defaultRowHeight="13.5"/>
  <cols>
    <col min="1" max="1" width="13.875" customWidth="1"/>
    <col min="11" max="17" width="0" hidden="1" customWidth="1"/>
    <col min="25" max="30" width="0" hidden="1" customWidth="1"/>
  </cols>
  <sheetData>
    <row r="1" spans="1:30">
      <c r="A1" s="3217">
        <f>基准地价修正!G23</f>
        <v>45068</v>
      </c>
      <c r="B1" s="3206" t="s">
        <v>2841</v>
      </c>
      <c r="C1" s="3207"/>
      <c r="D1" s="3207"/>
      <c r="E1" s="3207"/>
      <c r="F1" s="3207"/>
      <c r="G1" s="3207"/>
      <c r="H1" s="3207"/>
      <c r="I1" s="3207"/>
      <c r="J1" s="3161"/>
      <c r="K1" s="3207" t="s">
        <v>454</v>
      </c>
      <c r="L1" s="3207"/>
      <c r="M1" s="3207"/>
      <c r="N1" s="3207"/>
      <c r="O1" s="3207"/>
      <c r="P1" s="3207"/>
      <c r="Q1" s="3161"/>
      <c r="R1" s="3840" t="s">
        <v>456</v>
      </c>
      <c r="S1" s="3841"/>
      <c r="T1" s="3841"/>
      <c r="U1" s="3841"/>
      <c r="V1" s="3841"/>
      <c r="W1" s="3841"/>
      <c r="X1" s="3161"/>
      <c r="Y1" s="3840" t="s">
        <v>457</v>
      </c>
      <c r="Z1" s="3841"/>
      <c r="AA1" s="3841"/>
      <c r="AB1" s="3841"/>
      <c r="AC1" s="3841"/>
      <c r="AD1" s="3841"/>
    </row>
    <row r="2" spans="1:30" s="3139" customFormat="1" ht="14.25" thickBot="1">
      <c r="B2" s="3140"/>
      <c r="C2" s="3141"/>
      <c r="D2" s="3142" t="s">
        <v>2811</v>
      </c>
      <c r="E2" s="3143" t="s">
        <v>2812</v>
      </c>
      <c r="F2" s="3143" t="s">
        <v>2813</v>
      </c>
      <c r="G2" s="3143" t="s">
        <v>2814</v>
      </c>
      <c r="H2" s="3143" t="s">
        <v>2815</v>
      </c>
      <c r="I2" s="3143" t="s">
        <v>2632</v>
      </c>
      <c r="J2" s="3144"/>
      <c r="K2" s="3142" t="s">
        <v>2811</v>
      </c>
      <c r="L2" s="3143" t="s">
        <v>2812</v>
      </c>
      <c r="M2" s="3143" t="s">
        <v>2813</v>
      </c>
      <c r="N2" s="3143" t="s">
        <v>2814</v>
      </c>
      <c r="O2" s="3143" t="s">
        <v>2816</v>
      </c>
      <c r="P2" s="3143" t="s">
        <v>2632</v>
      </c>
      <c r="Q2" s="3144"/>
      <c r="R2" s="3142" t="s">
        <v>2811</v>
      </c>
      <c r="S2" s="3143" t="s">
        <v>2812</v>
      </c>
      <c r="T2" s="3143" t="s">
        <v>2813</v>
      </c>
      <c r="U2" s="3143" t="s">
        <v>2817</v>
      </c>
      <c r="V2" s="3143" t="s">
        <v>2818</v>
      </c>
      <c r="W2" s="3143" t="s">
        <v>2632</v>
      </c>
      <c r="X2" s="3144"/>
      <c r="Y2" s="3142" t="s">
        <v>2811</v>
      </c>
      <c r="Z2" s="3143" t="s">
        <v>2812</v>
      </c>
      <c r="AA2" s="3143" t="s">
        <v>2813</v>
      </c>
      <c r="AB2" s="3143" t="s">
        <v>2819</v>
      </c>
      <c r="AC2" s="3143" t="s">
        <v>2818</v>
      </c>
      <c r="AD2" s="3143" t="s">
        <v>2632</v>
      </c>
    </row>
    <row r="3" spans="1:30" s="3157" customFormat="1" ht="12.75">
      <c r="A3" s="3145" t="s">
        <v>2820</v>
      </c>
      <c r="B3" s="3146"/>
      <c r="C3" s="3147"/>
      <c r="D3" s="3147">
        <f>ROUND(AVERAGEIF(D4:D16,"&lt;&gt;0"),2)</f>
        <v>0.82</v>
      </c>
      <c r="E3" s="3147">
        <f t="shared" ref="E3:H3" si="0">ROUND(AVERAGEIF(E4:E16,"&lt;&gt;0"),2)</f>
        <v>0.38</v>
      </c>
      <c r="F3" s="3147">
        <f t="shared" si="0"/>
        <v>0.2</v>
      </c>
      <c r="G3" s="3147">
        <f t="shared" si="0"/>
        <v>0.89</v>
      </c>
      <c r="H3" s="3147">
        <f t="shared" si="0"/>
        <v>0.64</v>
      </c>
      <c r="I3" s="3147">
        <f>F3</f>
        <v>0.2</v>
      </c>
      <c r="J3" s="3148"/>
      <c r="K3" s="3149">
        <f>ROUND(AVERAGEIF(K4:K16,"&lt;&gt;0"),4)</f>
        <v>8.2000000000000007E-3</v>
      </c>
      <c r="L3" s="3150">
        <f t="shared" ref="L3:O3" si="1">ROUND(AVERAGEIF(L4:L16,"&lt;&gt;0"),4)</f>
        <v>3.8E-3</v>
      </c>
      <c r="M3" s="3150">
        <f t="shared" si="1"/>
        <v>2E-3</v>
      </c>
      <c r="N3" s="3150">
        <f t="shared" si="1"/>
        <v>8.8999999999999999E-3</v>
      </c>
      <c r="O3" s="3150">
        <f t="shared" si="1"/>
        <v>6.4000000000000003E-3</v>
      </c>
      <c r="P3" s="3150">
        <f>M3</f>
        <v>2E-3</v>
      </c>
      <c r="Q3" s="3148"/>
      <c r="R3" s="3151">
        <f>ROUND(SUMPRODUCT(PRODUCT(1+K4:K16)),4)</f>
        <v>1.0763</v>
      </c>
      <c r="S3" s="3152">
        <f t="shared" ref="S3:V3" si="2">ROUND(SUMPRODUCT(PRODUCT(1+L4:L16)),4)</f>
        <v>1.0343</v>
      </c>
      <c r="T3" s="3152">
        <f t="shared" si="2"/>
        <v>1.0177</v>
      </c>
      <c r="U3" s="3152">
        <f t="shared" si="2"/>
        <v>1.0833999999999999</v>
      </c>
      <c r="V3" s="3152">
        <f t="shared" si="2"/>
        <v>1.0592999999999999</v>
      </c>
      <c r="W3" s="3151">
        <f>T3</f>
        <v>1.0177</v>
      </c>
      <c r="X3" s="3148"/>
      <c r="Y3" s="3153">
        <f>ROUND(AVERAGEIF(Y5:Y16,"&lt;&gt;0"),4)</f>
        <v>8.6999999999999994E-3</v>
      </c>
      <c r="Z3" s="3154">
        <f t="shared" ref="Z3:AC3" si="3">ROUND(AVERAGEIF(Z5:Z16,"&lt;&gt;0"),4)</f>
        <v>3.5000000000000001E-3</v>
      </c>
      <c r="AA3" s="3155">
        <f t="shared" si="3"/>
        <v>8.9999999999999998E-4</v>
      </c>
      <c r="AB3" s="3153">
        <f t="shared" si="3"/>
        <v>9.4999999999999998E-3</v>
      </c>
      <c r="AC3" s="3156">
        <f t="shared" si="3"/>
        <v>6.1000000000000004E-3</v>
      </c>
      <c r="AD3" s="3153">
        <f>AA3</f>
        <v>8.9999999999999998E-4</v>
      </c>
    </row>
    <row r="4" spans="1:30" s="3158" customFormat="1" ht="12.75">
      <c r="B4" s="3159"/>
      <c r="C4" s="3160"/>
      <c r="D4" s="3160"/>
      <c r="E4" s="3160"/>
      <c r="F4" s="3160"/>
      <c r="G4" s="3160"/>
      <c r="H4" s="3160"/>
      <c r="I4" s="3160"/>
      <c r="J4" s="3161"/>
      <c r="K4" s="3162"/>
      <c r="L4" s="3163"/>
      <c r="M4" s="3163"/>
      <c r="N4" s="3163"/>
      <c r="O4" s="3163"/>
      <c r="P4" s="3163"/>
      <c r="Q4" s="3161"/>
      <c r="R4" s="3164"/>
      <c r="S4" s="3165"/>
      <c r="T4" s="3166"/>
      <c r="U4" s="3164"/>
      <c r="V4" s="3167"/>
      <c r="W4" s="3164"/>
      <c r="X4" s="3161"/>
      <c r="Y4" s="3168"/>
      <c r="Z4" s="3169"/>
      <c r="AA4" s="3170"/>
      <c r="AB4" s="3168"/>
      <c r="AC4" s="3171"/>
      <c r="AD4" s="3168"/>
    </row>
    <row r="5" spans="1:30" s="3181" customFormat="1" ht="12.75">
      <c r="A5" s="3172" t="s">
        <v>3370</v>
      </c>
      <c r="B5" s="3173">
        <v>2023</v>
      </c>
      <c r="C5" s="3174">
        <v>4</v>
      </c>
      <c r="D5" s="3175">
        <v>0</v>
      </c>
      <c r="E5" s="3175">
        <v>0</v>
      </c>
      <c r="F5" s="3175">
        <v>0</v>
      </c>
      <c r="G5" s="3175">
        <v>0</v>
      </c>
      <c r="H5" s="3175">
        <v>0</v>
      </c>
      <c r="I5" s="3176">
        <f t="shared" ref="I5:I16" si="4">F5</f>
        <v>0</v>
      </c>
      <c r="J5" s="3177"/>
      <c r="K5" s="3178">
        <f t="shared" ref="K5:O16" si="5">D5/100</f>
        <v>0</v>
      </c>
      <c r="L5" s="3168">
        <f t="shared" si="5"/>
        <v>0</v>
      </c>
      <c r="M5" s="3168">
        <f t="shared" si="5"/>
        <v>0</v>
      </c>
      <c r="N5" s="3168">
        <f t="shared" si="5"/>
        <v>0</v>
      </c>
      <c r="O5" s="3168">
        <f t="shared" si="5"/>
        <v>0</v>
      </c>
      <c r="P5" s="3168">
        <f>M5</f>
        <v>0</v>
      </c>
      <c r="Q5" s="3177"/>
      <c r="R5" s="3179">
        <f>ROUND(IF(项目基本情况!$B$8="出让",SUMPRODUCT(PRODUCT(1+K5:$K$16)),SUMPRODUCT(PRODUCT(1+K5:$K$15))),4)</f>
        <v>1.0659000000000001</v>
      </c>
      <c r="S5" s="3179">
        <f>ROUND(IF(项目基本情况!$B$8="出让",SUMPRODUCT(PRODUCT(1+L5:$L$16)),SUMPRODUCT(PRODUCT(1+L5:$L$15))),4)</f>
        <v>1.0326</v>
      </c>
      <c r="T5" s="3179">
        <f>ROUND(IF(项目基本情况!$B$8="出让",SUMPRODUCT(PRODUCT(1+M5:$M$16)),SUMPRODUCT(PRODUCT(1+M5:$M$15))),4)</f>
        <v>1.0203</v>
      </c>
      <c r="U5" s="3179">
        <f>ROUND(IF(项目基本情况!$B$8="出让",SUMPRODUCT(PRODUCT(1+N5:$N$16)),SUMPRODUCT(PRODUCT(1+N5:$N$15))),4)</f>
        <v>1.0714999999999999</v>
      </c>
      <c r="V5" s="3179">
        <f>ROUND(IF(项目基本情况!$B$8="出让",SUMPRODUCT(PRODUCT(1+O5:$O$16)),SUMPRODUCT(PRODUCT(1+O5:$O$15))),4)</f>
        <v>1.0555000000000001</v>
      </c>
      <c r="W5" s="3179">
        <f>T5</f>
        <v>1.0203</v>
      </c>
      <c r="X5" s="3177"/>
      <c r="Y5" s="3180">
        <f>IF(D5=0,0,ROUND(AVERAGE(D5:D16)/100,4))</f>
        <v>0</v>
      </c>
      <c r="Z5" s="3180">
        <f t="shared" ref="Z5:AC5" si="6">IF(E5=0,0,ROUND(AVERAGE(E5:E16)/100,4))</f>
        <v>0</v>
      </c>
      <c r="AA5" s="3180">
        <f t="shared" si="6"/>
        <v>0</v>
      </c>
      <c r="AB5" s="3180">
        <f t="shared" si="6"/>
        <v>0</v>
      </c>
      <c r="AC5" s="3180">
        <f t="shared" si="6"/>
        <v>0</v>
      </c>
      <c r="AD5" s="3180">
        <f t="shared" ref="AD5:AD15" si="7">AA5</f>
        <v>0</v>
      </c>
    </row>
    <row r="6" spans="1:30" s="3181" customFormat="1" ht="12.75">
      <c r="A6" s="3172" t="s">
        <v>3371</v>
      </c>
      <c r="B6" s="3173">
        <v>2023</v>
      </c>
      <c r="C6" s="3174">
        <v>3</v>
      </c>
      <c r="D6" s="3175">
        <v>0</v>
      </c>
      <c r="E6" s="3175">
        <v>0</v>
      </c>
      <c r="F6" s="3175">
        <v>0</v>
      </c>
      <c r="G6" s="3175">
        <v>0</v>
      </c>
      <c r="H6" s="3175">
        <v>0</v>
      </c>
      <c r="I6" s="3176">
        <f t="shared" si="4"/>
        <v>0</v>
      </c>
      <c r="J6" s="3177"/>
      <c r="K6" s="3178">
        <f t="shared" ref="K6:K8" si="8">D6/100</f>
        <v>0</v>
      </c>
      <c r="L6" s="3168">
        <f t="shared" ref="L6:L8" si="9">E6/100</f>
        <v>0</v>
      </c>
      <c r="M6" s="3168">
        <f t="shared" ref="M6:M8" si="10">F6/100</f>
        <v>0</v>
      </c>
      <c r="N6" s="3168">
        <f t="shared" ref="N6:N8" si="11">G6/100</f>
        <v>0</v>
      </c>
      <c r="O6" s="3168">
        <f t="shared" ref="O6:O8" si="12">H6/100</f>
        <v>0</v>
      </c>
      <c r="P6" s="3168">
        <f t="shared" ref="P6:P8" si="13">M6</f>
        <v>0</v>
      </c>
      <c r="Q6" s="3177"/>
      <c r="R6" s="3179">
        <f>ROUND(IF(项目基本情况!$B$8="出让",SUMPRODUCT(PRODUCT(1+K6:$K$16)),SUMPRODUCT(PRODUCT(1+K6:$K$15))),4)</f>
        <v>1.0659000000000001</v>
      </c>
      <c r="S6" s="3179">
        <f>ROUND(IF(项目基本情况!$B$8="出让",SUMPRODUCT(PRODUCT(1+L6:$L$16)),SUMPRODUCT(PRODUCT(1+L6:$L$15))),4)</f>
        <v>1.0326</v>
      </c>
      <c r="T6" s="3179">
        <f>ROUND(IF(项目基本情况!$B$8="出让",SUMPRODUCT(PRODUCT(1+M6:$M$16)),SUMPRODUCT(PRODUCT(1+M6:$M$15))),4)</f>
        <v>1.0203</v>
      </c>
      <c r="U6" s="3179">
        <f>ROUND(IF(项目基本情况!$B$8="出让",SUMPRODUCT(PRODUCT(1+N6:$N$16)),SUMPRODUCT(PRODUCT(1+N6:$N$15))),4)</f>
        <v>1.0714999999999999</v>
      </c>
      <c r="V6" s="3179">
        <f>ROUND(IF(项目基本情况!$B$8="出让",SUMPRODUCT(PRODUCT(1+O6:$O$16)),SUMPRODUCT(PRODUCT(1+O6:$O$15))),4)</f>
        <v>1.0555000000000001</v>
      </c>
      <c r="W6" s="3179">
        <f t="shared" ref="W6:W8" si="14">T6</f>
        <v>1.0203</v>
      </c>
      <c r="X6" s="3177"/>
      <c r="Y6" s="3180"/>
      <c r="Z6" s="3180"/>
      <c r="AA6" s="3180"/>
      <c r="AB6" s="3180"/>
      <c r="AC6" s="3180"/>
      <c r="AD6" s="3180"/>
    </row>
    <row r="7" spans="1:30" s="3181" customFormat="1" ht="12.75">
      <c r="A7" s="3172" t="s">
        <v>3369</v>
      </c>
      <c r="B7" s="3173">
        <v>2023</v>
      </c>
      <c r="C7" s="3174">
        <v>2</v>
      </c>
      <c r="D7" s="3175">
        <v>0</v>
      </c>
      <c r="E7" s="3175">
        <v>0</v>
      </c>
      <c r="F7" s="3175">
        <v>0</v>
      </c>
      <c r="G7" s="3175">
        <v>0</v>
      </c>
      <c r="H7" s="3175">
        <v>0</v>
      </c>
      <c r="I7" s="3176">
        <f t="shared" si="4"/>
        <v>0</v>
      </c>
      <c r="J7" s="3177"/>
      <c r="K7" s="3178">
        <f t="shared" si="8"/>
        <v>0</v>
      </c>
      <c r="L7" s="3168">
        <f t="shared" si="9"/>
        <v>0</v>
      </c>
      <c r="M7" s="3168">
        <f t="shared" si="10"/>
        <v>0</v>
      </c>
      <c r="N7" s="3168">
        <f t="shared" si="11"/>
        <v>0</v>
      </c>
      <c r="O7" s="3168">
        <f t="shared" si="12"/>
        <v>0</v>
      </c>
      <c r="P7" s="3168">
        <f t="shared" si="13"/>
        <v>0</v>
      </c>
      <c r="Q7" s="3177"/>
      <c r="R7" s="3179">
        <f>ROUND(IF(项目基本情况!$B$8="出让",SUMPRODUCT(PRODUCT(1+K7:$K$16)),SUMPRODUCT(PRODUCT(1+K7:$K$15))),4)</f>
        <v>1.0659000000000001</v>
      </c>
      <c r="S7" s="3179">
        <f>ROUND(IF(项目基本情况!$B$8="出让",SUMPRODUCT(PRODUCT(1+L7:$L$16)),SUMPRODUCT(PRODUCT(1+L7:$L$15))),4)</f>
        <v>1.0326</v>
      </c>
      <c r="T7" s="3179">
        <f>ROUND(IF(项目基本情况!$B$8="出让",SUMPRODUCT(PRODUCT(1+M7:$M$16)),SUMPRODUCT(PRODUCT(1+M7:$M$15))),4)</f>
        <v>1.0203</v>
      </c>
      <c r="U7" s="3179">
        <f>ROUND(IF(项目基本情况!$B$8="出让",SUMPRODUCT(PRODUCT(1+N7:$N$16)),SUMPRODUCT(PRODUCT(1+N7:$N$15))),4)</f>
        <v>1.0714999999999999</v>
      </c>
      <c r="V7" s="3179">
        <f>ROUND(IF(项目基本情况!$B$8="出让",SUMPRODUCT(PRODUCT(1+O7:$O$16)),SUMPRODUCT(PRODUCT(1+O7:$O$15))),4)</f>
        <v>1.0555000000000001</v>
      </c>
      <c r="W7" s="3179">
        <f t="shared" si="14"/>
        <v>1.0203</v>
      </c>
      <c r="X7" s="3177"/>
      <c r="Y7" s="3180"/>
      <c r="Z7" s="3180"/>
      <c r="AA7" s="3180"/>
      <c r="AB7" s="3180"/>
      <c r="AC7" s="3180"/>
      <c r="AD7" s="3180"/>
    </row>
    <row r="8" spans="1:30" s="3191" customFormat="1" ht="12.75">
      <c r="A8" s="3182" t="s">
        <v>3372</v>
      </c>
      <c r="B8" s="3183">
        <v>2023</v>
      </c>
      <c r="C8" s="3184">
        <v>1</v>
      </c>
      <c r="D8" s="3185">
        <v>0.89</v>
      </c>
      <c r="E8" s="3185">
        <v>0.74</v>
      </c>
      <c r="F8" s="3185">
        <v>0.56999999999999995</v>
      </c>
      <c r="G8" s="3185">
        <v>0.92</v>
      </c>
      <c r="H8" s="3186">
        <v>0.5</v>
      </c>
      <c r="I8" s="3187">
        <f t="shared" si="4"/>
        <v>0.56999999999999995</v>
      </c>
      <c r="J8" s="3188"/>
      <c r="K8" s="3189">
        <f t="shared" si="8"/>
        <v>8.8999999999999999E-3</v>
      </c>
      <c r="L8" s="3190">
        <f t="shared" si="9"/>
        <v>7.4000000000000003E-3</v>
      </c>
      <c r="M8" s="3190">
        <f t="shared" si="10"/>
        <v>5.6999999999999993E-3</v>
      </c>
      <c r="N8" s="3190">
        <f t="shared" si="11"/>
        <v>9.1999999999999998E-3</v>
      </c>
      <c r="O8" s="3190">
        <f t="shared" si="12"/>
        <v>5.0000000000000001E-3</v>
      </c>
      <c r="P8" s="3190">
        <f t="shared" si="13"/>
        <v>5.6999999999999993E-3</v>
      </c>
      <c r="Q8" s="3188"/>
      <c r="R8" s="3188">
        <f>ROUND(IF(项目基本情况!$B$8="出让",SUMPRODUCT(PRODUCT(1+K8:$K$16)),SUMPRODUCT(PRODUCT(1+K8:$K$15))),4)</f>
        <v>1.0659000000000001</v>
      </c>
      <c r="S8" s="3188">
        <f>ROUND(IF(项目基本情况!$B$8="出让",SUMPRODUCT(PRODUCT(1+L8:$L$16)),SUMPRODUCT(PRODUCT(1+L8:$L$15))),4)</f>
        <v>1.0326</v>
      </c>
      <c r="T8" s="3188">
        <f>ROUND(IF(项目基本情况!$B$8="出让",SUMPRODUCT(PRODUCT(1+M8:$M$16)),SUMPRODUCT(PRODUCT(1+M8:$M$15))),4)</f>
        <v>1.0203</v>
      </c>
      <c r="U8" s="3188">
        <f>ROUND(IF(项目基本情况!$B$8="出让",SUMPRODUCT(PRODUCT(1+N8:$N$16)),SUMPRODUCT(PRODUCT(1+N8:$N$15))),4)</f>
        <v>1.0714999999999999</v>
      </c>
      <c r="V8" s="3188">
        <f>ROUND(IF(项目基本情况!$B$8="出让",SUMPRODUCT(PRODUCT(1+O8:$O$16)),SUMPRODUCT(PRODUCT(1+O8:$O$15))),4)</f>
        <v>1.0555000000000001</v>
      </c>
      <c r="W8" s="3188">
        <f t="shared" si="14"/>
        <v>1.0203</v>
      </c>
      <c r="X8" s="3188"/>
      <c r="Y8" s="3190"/>
      <c r="Z8" s="3190"/>
      <c r="AA8" s="3190"/>
      <c r="AB8" s="3190"/>
      <c r="AC8" s="3190"/>
      <c r="AD8" s="3190"/>
    </row>
    <row r="9" spans="1:30" s="3181" customFormat="1" ht="12.75">
      <c r="A9" s="3172" t="s">
        <v>3373</v>
      </c>
      <c r="B9" s="3173">
        <v>2022</v>
      </c>
      <c r="C9" s="3174">
        <v>4</v>
      </c>
      <c r="D9" s="3175">
        <v>0.62</v>
      </c>
      <c r="E9" s="3175">
        <v>0.2</v>
      </c>
      <c r="F9" s="3175">
        <v>0.11</v>
      </c>
      <c r="G9" s="3175">
        <v>0.69</v>
      </c>
      <c r="H9" s="3192">
        <v>0.53</v>
      </c>
      <c r="I9" s="3176">
        <f t="shared" si="4"/>
        <v>0.11</v>
      </c>
      <c r="J9" s="3177"/>
      <c r="K9" s="3178">
        <f t="shared" si="5"/>
        <v>6.1999999999999998E-3</v>
      </c>
      <c r="L9" s="3168">
        <f t="shared" si="5"/>
        <v>2E-3</v>
      </c>
      <c r="M9" s="3168">
        <f t="shared" si="5"/>
        <v>1.1000000000000001E-3</v>
      </c>
      <c r="N9" s="3168">
        <f t="shared" si="5"/>
        <v>6.8999999999999999E-3</v>
      </c>
      <c r="O9" s="3168">
        <f t="shared" si="5"/>
        <v>5.3E-3</v>
      </c>
      <c r="P9" s="3168">
        <f t="shared" ref="P9:P16" si="15">M9</f>
        <v>1.1000000000000001E-3</v>
      </c>
      <c r="Q9" s="3177"/>
      <c r="R9" s="3179">
        <f>ROUND(IF([2]项目基本情况!B8="出让",SUMPRODUCT(PRODUCT(1+K9:K16)),SUMPRODUCT(PRODUCT(1+K9:K15))),4)</f>
        <v>1.0565</v>
      </c>
      <c r="S9" s="3179">
        <f>ROUND(IF([2]项目基本情况!B8="出让",SUMPRODUCT(PRODUCT(1+L9:L16)),SUMPRODUCT(PRODUCT(1+L9:L15))),4)</f>
        <v>1.0250999999999999</v>
      </c>
      <c r="T9" s="3179">
        <f>ROUND(IF([2]项目基本情况!B8="出让",SUMPRODUCT(PRODUCT(1+M9:M16)),SUMPRODUCT(PRODUCT(1+M9:M15))),4)</f>
        <v>1.0145</v>
      </c>
      <c r="U9" s="3179">
        <f>ROUND(IF([2]项目基本情况!B8="出让",SUMPRODUCT(PRODUCT(1+N9:N16)),SUMPRODUCT(PRODUCT(1+N9:N15))),4)</f>
        <v>1.0618000000000001</v>
      </c>
      <c r="V9" s="3179">
        <f>ROUND(IF([2]项目基本情况!B8="出让",SUMPRODUCT(PRODUCT(1+O9:O16)),SUMPRODUCT(PRODUCT(1+O9:O15))),4)</f>
        <v>1.0502</v>
      </c>
      <c r="W9" s="3179">
        <f t="shared" ref="W9:W16" si="16">T9</f>
        <v>1.0145</v>
      </c>
      <c r="X9" s="3177"/>
      <c r="Y9" s="3180">
        <f>IF(D9=0,0,ROUND(AVERAGE(D9:D17)/100,4))</f>
        <v>8.0999999999999996E-3</v>
      </c>
      <c r="Z9" s="3180">
        <f t="shared" ref="Z9:AC9" si="17">IF(E9=0,0,ROUND(AVERAGE(E9:E16)/100,4))</f>
        <v>3.3E-3</v>
      </c>
      <c r="AA9" s="3180">
        <f t="shared" si="17"/>
        <v>1.5E-3</v>
      </c>
      <c r="AB9" s="3180">
        <f t="shared" si="17"/>
        <v>8.8999999999999999E-3</v>
      </c>
      <c r="AC9" s="3180">
        <f t="shared" si="17"/>
        <v>6.6E-3</v>
      </c>
      <c r="AD9" s="3180">
        <f t="shared" si="7"/>
        <v>1.5E-3</v>
      </c>
    </row>
    <row r="10" spans="1:30" s="3181" customFormat="1" ht="12.75">
      <c r="A10" s="3172" t="s">
        <v>3365</v>
      </c>
      <c r="B10" s="3173">
        <v>2022</v>
      </c>
      <c r="C10" s="3174">
        <v>3</v>
      </c>
      <c r="D10" s="3175">
        <v>0.66</v>
      </c>
      <c r="E10" s="3175">
        <v>0.32</v>
      </c>
      <c r="F10" s="3175">
        <v>0.23</v>
      </c>
      <c r="G10" s="3175">
        <v>0.72</v>
      </c>
      <c r="H10" s="3192">
        <v>0.63</v>
      </c>
      <c r="I10" s="3176">
        <f t="shared" si="4"/>
        <v>0.23</v>
      </c>
      <c r="J10" s="3177"/>
      <c r="K10" s="3178">
        <f t="shared" si="5"/>
        <v>6.6E-3</v>
      </c>
      <c r="L10" s="3168">
        <f t="shared" si="5"/>
        <v>3.2000000000000002E-3</v>
      </c>
      <c r="M10" s="3168">
        <f t="shared" si="5"/>
        <v>2.3E-3</v>
      </c>
      <c r="N10" s="3168">
        <f t="shared" si="5"/>
        <v>7.1999999999999998E-3</v>
      </c>
      <c r="O10" s="3168">
        <f t="shared" si="5"/>
        <v>6.3E-3</v>
      </c>
      <c r="P10" s="3168">
        <f t="shared" si="15"/>
        <v>2.3E-3</v>
      </c>
      <c r="Q10" s="3177"/>
      <c r="R10" s="3179">
        <f>ROUND(IF([2]项目基本情况!B8="出让",SUMPRODUCT(PRODUCT(1+K10:K16)),SUMPRODUCT(PRODUCT(1+K10:K15))),4)</f>
        <v>1.05</v>
      </c>
      <c r="S10" s="3179">
        <f>ROUND(IF([2]项目基本情况!B8="出让",SUMPRODUCT(PRODUCT(1+L10:L16)),SUMPRODUCT(PRODUCT(1+L10:L15))),4)</f>
        <v>1.0229999999999999</v>
      </c>
      <c r="T10" s="3179">
        <f>ROUND(IF([2]项目基本情况!B8="出让",SUMPRODUCT(PRODUCT(1+M10:M16)),SUMPRODUCT(PRODUCT(1+M10:M15))),4)</f>
        <v>1.0134000000000001</v>
      </c>
      <c r="U10" s="3179">
        <f>ROUND(IF([2]项目基本情况!B8="出让",SUMPRODUCT(PRODUCT(1+N10:N16)),SUMPRODUCT(PRODUCT(1+N10:N15))),4)</f>
        <v>1.0545</v>
      </c>
      <c r="V10" s="3179">
        <f>ROUND(IF([2]项目基本情况!B8="出让",SUMPRODUCT(PRODUCT(1+O10:O16)),SUMPRODUCT(PRODUCT(1+O10:O15))),4)</f>
        <v>1.0447</v>
      </c>
      <c r="W10" s="3179">
        <f t="shared" si="16"/>
        <v>1.0134000000000001</v>
      </c>
      <c r="X10" s="3177"/>
      <c r="Y10" s="3180">
        <f>IF(D10=0,0,ROUND(AVERAGE(D10:D16)/100,4))</f>
        <v>8.3999999999999995E-3</v>
      </c>
      <c r="Z10" s="3180">
        <f t="shared" ref="Z10:AC10" si="18">IF(E10=0,0,ROUND(AVERAGE(E10:E16)/100,4))</f>
        <v>3.5000000000000001E-3</v>
      </c>
      <c r="AA10" s="3180">
        <f t="shared" si="18"/>
        <v>1.5E-3</v>
      </c>
      <c r="AB10" s="3180">
        <f t="shared" si="18"/>
        <v>9.1999999999999998E-3</v>
      </c>
      <c r="AC10" s="3180">
        <f t="shared" si="18"/>
        <v>6.7999999999999996E-3</v>
      </c>
      <c r="AD10" s="3180">
        <f t="shared" si="7"/>
        <v>1.5E-3</v>
      </c>
    </row>
    <row r="11" spans="1:30" s="3181" customFormat="1" ht="12.75">
      <c r="A11" s="3172" t="s">
        <v>3356</v>
      </c>
      <c r="B11" s="3173">
        <v>2022</v>
      </c>
      <c r="C11" s="3174">
        <v>2</v>
      </c>
      <c r="D11" s="3175">
        <v>0.93</v>
      </c>
      <c r="E11" s="3175">
        <v>0.15</v>
      </c>
      <c r="F11" s="3175">
        <v>0.01</v>
      </c>
      <c r="G11" s="3175">
        <v>1.05</v>
      </c>
      <c r="H11" s="3192">
        <v>1.08</v>
      </c>
      <c r="I11" s="3176">
        <f t="shared" si="4"/>
        <v>0.01</v>
      </c>
      <c r="J11" s="3177"/>
      <c r="K11" s="3178">
        <f t="shared" si="5"/>
        <v>9.300000000000001E-3</v>
      </c>
      <c r="L11" s="3168">
        <f t="shared" si="5"/>
        <v>1.5E-3</v>
      </c>
      <c r="M11" s="3168">
        <f t="shared" si="5"/>
        <v>1E-4</v>
      </c>
      <c r="N11" s="3168">
        <f t="shared" si="5"/>
        <v>1.0500000000000001E-2</v>
      </c>
      <c r="O11" s="3168">
        <f t="shared" si="5"/>
        <v>1.0800000000000001E-2</v>
      </c>
      <c r="P11" s="3168">
        <f t="shared" si="15"/>
        <v>1E-4</v>
      </c>
      <c r="Q11" s="3177"/>
      <c r="R11" s="3179">
        <f>ROUND(IF([2]项目基本情况!B8="出让",SUMPRODUCT(PRODUCT(1+K11:K16)),SUMPRODUCT(PRODUCT(1+K11:K15))),4)</f>
        <v>1.0430999999999999</v>
      </c>
      <c r="S11" s="3179">
        <f>ROUND(IF([2]项目基本情况!B8="出让",SUMPRODUCT(PRODUCT(1+L11:L16)),SUMPRODUCT(PRODUCT(1+L11:L15))),4)</f>
        <v>1.0197000000000001</v>
      </c>
      <c r="T11" s="3179">
        <f>ROUND(IF([2]项目基本情况!B8="出让",SUMPRODUCT(PRODUCT(1+M11:M16)),SUMPRODUCT(PRODUCT(1+M11:M15))),4)</f>
        <v>1.0109999999999999</v>
      </c>
      <c r="U11" s="3179">
        <f>ROUND(IF([2]项目基本情况!B8="出让",SUMPRODUCT(PRODUCT(1+N11:N16)),SUMPRODUCT(PRODUCT(1+N11:N15))),4)</f>
        <v>1.0468999999999999</v>
      </c>
      <c r="V11" s="3179">
        <f>ROUND(IF([2]项目基本情况!B8="出让",SUMPRODUCT(PRODUCT(1+O11:O16)),SUMPRODUCT(PRODUCT(1+O11:O15))),4)</f>
        <v>1.0382</v>
      </c>
      <c r="W11" s="3179">
        <f t="shared" si="16"/>
        <v>1.0109999999999999</v>
      </c>
      <c r="X11" s="3177"/>
      <c r="Y11" s="3180">
        <f>IF(D11=0,0,ROUND(AVERAGE(D11:D16)/100,4))</f>
        <v>8.6999999999999994E-3</v>
      </c>
      <c r="Z11" s="3180">
        <f t="shared" ref="Z11:AC11" si="19">IF(E11=0,0,ROUND(AVERAGE(E11:E16)/100,4))</f>
        <v>3.5000000000000001E-3</v>
      </c>
      <c r="AA11" s="3180">
        <f t="shared" si="19"/>
        <v>1.4E-3</v>
      </c>
      <c r="AB11" s="3180">
        <f t="shared" si="19"/>
        <v>9.4999999999999998E-3</v>
      </c>
      <c r="AC11" s="3180">
        <f t="shared" si="19"/>
        <v>6.8999999999999999E-3</v>
      </c>
      <c r="AD11" s="3180">
        <f t="shared" si="7"/>
        <v>1.4E-3</v>
      </c>
    </row>
    <row r="12" spans="1:30" s="3181" customFormat="1" ht="12.75">
      <c r="A12" s="3172" t="s">
        <v>2821</v>
      </c>
      <c r="B12" s="3173">
        <v>2022</v>
      </c>
      <c r="C12" s="3174">
        <v>1</v>
      </c>
      <c r="D12" s="3175">
        <v>0.89</v>
      </c>
      <c r="E12" s="3175">
        <v>0.44</v>
      </c>
      <c r="F12" s="3175">
        <v>0.37</v>
      </c>
      <c r="G12" s="3175">
        <v>0.96</v>
      </c>
      <c r="H12" s="3192">
        <v>0.64</v>
      </c>
      <c r="I12" s="3176">
        <f t="shared" si="4"/>
        <v>0.37</v>
      </c>
      <c r="J12" s="3177"/>
      <c r="K12" s="3178">
        <f t="shared" si="5"/>
        <v>8.8999999999999999E-3</v>
      </c>
      <c r="L12" s="3168">
        <f t="shared" si="5"/>
        <v>4.4000000000000003E-3</v>
      </c>
      <c r="M12" s="3168">
        <f t="shared" si="5"/>
        <v>3.7000000000000002E-3</v>
      </c>
      <c r="N12" s="3168">
        <f t="shared" si="5"/>
        <v>9.5999999999999992E-3</v>
      </c>
      <c r="O12" s="3168">
        <f t="shared" si="5"/>
        <v>6.4000000000000003E-3</v>
      </c>
      <c r="P12" s="3168">
        <f t="shared" si="15"/>
        <v>3.7000000000000002E-3</v>
      </c>
      <c r="Q12" s="3177"/>
      <c r="R12" s="3179">
        <f>ROUND(IF([2]项目基本情况!B8="出让",SUMPRODUCT(PRODUCT(1+K12:K16)),SUMPRODUCT(PRODUCT(1+K12:K15))),4)</f>
        <v>1.0335000000000001</v>
      </c>
      <c r="S12" s="3179">
        <f>ROUND(IF([2]项目基本情况!B8="出让",SUMPRODUCT(PRODUCT(1+L12:L16)),SUMPRODUCT(PRODUCT(1+L12:L15))),4)</f>
        <v>1.0182</v>
      </c>
      <c r="T12" s="3179">
        <f>ROUND(IF([2]项目基本情况!B8="出让",SUMPRODUCT(PRODUCT(1+M12:M16)),SUMPRODUCT(PRODUCT(1+M12:M15))),4)</f>
        <v>1.0108999999999999</v>
      </c>
      <c r="U12" s="3179">
        <f>ROUND(IF([2]项目基本情况!B8="出让",SUMPRODUCT(PRODUCT(1+N12:N16)),SUMPRODUCT(PRODUCT(1+N12:N15))),4)</f>
        <v>1.0361</v>
      </c>
      <c r="V12" s="3179">
        <f>ROUND(IF([2]项目基本情况!B8="出让",SUMPRODUCT(PRODUCT(1+O12:O16)),SUMPRODUCT(PRODUCT(1+O12:O15))),4)</f>
        <v>1.0270999999999999</v>
      </c>
      <c r="W12" s="3179">
        <f t="shared" si="16"/>
        <v>1.0108999999999999</v>
      </c>
      <c r="X12" s="3177"/>
      <c r="Y12" s="3180">
        <f>IF(D12=0,0,ROUND(AVERAGE(D12:D16)/100,4))</f>
        <v>8.6E-3</v>
      </c>
      <c r="Z12" s="3180">
        <f t="shared" ref="Z12:AC12" si="20">IF(E12=0,0,ROUND(AVERAGE(E12:E16)/100,4))</f>
        <v>3.8999999999999998E-3</v>
      </c>
      <c r="AA12" s="3180">
        <f t="shared" si="20"/>
        <v>1.6999999999999999E-3</v>
      </c>
      <c r="AB12" s="3180">
        <f t="shared" si="20"/>
        <v>9.2999999999999992E-3</v>
      </c>
      <c r="AC12" s="3180">
        <f t="shared" si="20"/>
        <v>6.1000000000000004E-3</v>
      </c>
      <c r="AD12" s="3180">
        <f t="shared" si="7"/>
        <v>1.6999999999999999E-3</v>
      </c>
    </row>
    <row r="13" spans="1:30" s="3181" customFormat="1" ht="12.75">
      <c r="A13" s="3172" t="s">
        <v>2822</v>
      </c>
      <c r="B13" s="3173">
        <v>2021</v>
      </c>
      <c r="C13" s="3174">
        <v>4</v>
      </c>
      <c r="D13" s="3175">
        <v>1.03</v>
      </c>
      <c r="E13" s="3175">
        <v>0.24</v>
      </c>
      <c r="F13" s="3175">
        <v>7.0000000000000007E-2</v>
      </c>
      <c r="G13" s="3175">
        <v>1.17</v>
      </c>
      <c r="H13" s="3192">
        <v>0.55000000000000004</v>
      </c>
      <c r="I13" s="3176">
        <f t="shared" si="4"/>
        <v>7.0000000000000007E-2</v>
      </c>
      <c r="J13" s="3177"/>
      <c r="K13" s="3178">
        <f t="shared" si="5"/>
        <v>1.03E-2</v>
      </c>
      <c r="L13" s="3168">
        <f t="shared" si="5"/>
        <v>2.3999999999999998E-3</v>
      </c>
      <c r="M13" s="3168">
        <f t="shared" si="5"/>
        <v>7.000000000000001E-4</v>
      </c>
      <c r="N13" s="3168">
        <f t="shared" si="5"/>
        <v>1.1699999999999999E-2</v>
      </c>
      <c r="O13" s="3168">
        <f t="shared" si="5"/>
        <v>5.5000000000000005E-3</v>
      </c>
      <c r="P13" s="3168">
        <f t="shared" si="15"/>
        <v>7.000000000000001E-4</v>
      </c>
      <c r="Q13" s="3177"/>
      <c r="R13" s="3179">
        <f>ROUND(IF([2]项目基本情况!B8="出让",SUMPRODUCT(PRODUCT(1+K13:K16)),SUMPRODUCT(PRODUCT(1+K13:K15))),4)</f>
        <v>1.0244</v>
      </c>
      <c r="S13" s="3179">
        <f>ROUND(IF([2]项目基本情况!B8="出让",SUMPRODUCT(PRODUCT(1+L13:L16)),SUMPRODUCT(PRODUCT(1+L13:L15))),4)</f>
        <v>1.0138</v>
      </c>
      <c r="T13" s="3179">
        <f>ROUND(IF([2]项目基本情况!B8="出让",SUMPRODUCT(PRODUCT(1+M13:M16)),SUMPRODUCT(PRODUCT(1+M13:M15))),4)</f>
        <v>1.0072000000000001</v>
      </c>
      <c r="U13" s="3179">
        <f>ROUND(IF([2]项目基本情况!B8="出让",SUMPRODUCT(PRODUCT(1+N13:N16)),SUMPRODUCT(PRODUCT(1+N13:N15))),4)</f>
        <v>1.0262</v>
      </c>
      <c r="V13" s="3179">
        <f>ROUND(IF([2]项目基本情况!B8="出让",SUMPRODUCT(PRODUCT(1+O13:O16)),SUMPRODUCT(PRODUCT(1+O13:O15))),4)</f>
        <v>1.0205</v>
      </c>
      <c r="W13" s="3179">
        <f t="shared" si="16"/>
        <v>1.0072000000000001</v>
      </c>
      <c r="X13" s="3177"/>
      <c r="Y13" s="3180">
        <f>IF(D13=0,0,ROUND(AVERAGE(D13:D16)/100,4))</f>
        <v>8.5000000000000006E-3</v>
      </c>
      <c r="Z13" s="3180">
        <f t="shared" ref="Z13:AC13" si="21">IF(E13=0,0,ROUND(AVERAGE(E13:E16)/100,4))</f>
        <v>3.8E-3</v>
      </c>
      <c r="AA13" s="3180">
        <f t="shared" si="21"/>
        <v>1.1999999999999999E-3</v>
      </c>
      <c r="AB13" s="3180">
        <f t="shared" si="21"/>
        <v>9.2999999999999992E-3</v>
      </c>
      <c r="AC13" s="3180">
        <f t="shared" si="21"/>
        <v>6.0000000000000001E-3</v>
      </c>
      <c r="AD13" s="3180">
        <f t="shared" si="7"/>
        <v>1.1999999999999999E-3</v>
      </c>
    </row>
    <row r="14" spans="1:30" s="3181" customFormat="1" ht="12.75">
      <c r="A14" s="3172" t="s">
        <v>2823</v>
      </c>
      <c r="B14" s="3173">
        <v>2021</v>
      </c>
      <c r="C14" s="3174">
        <v>3</v>
      </c>
      <c r="D14" s="3175">
        <v>0.47</v>
      </c>
      <c r="E14" s="3175">
        <v>0.41</v>
      </c>
      <c r="F14" s="3175">
        <v>0.24</v>
      </c>
      <c r="G14" s="3175">
        <v>0.48</v>
      </c>
      <c r="H14" s="3192">
        <v>0.48</v>
      </c>
      <c r="I14" s="3176">
        <f t="shared" si="4"/>
        <v>0.24</v>
      </c>
      <c r="J14" s="3177"/>
      <c r="K14" s="3178">
        <f t="shared" si="5"/>
        <v>4.6999999999999993E-3</v>
      </c>
      <c r="L14" s="3168">
        <f t="shared" si="5"/>
        <v>4.0999999999999995E-3</v>
      </c>
      <c r="M14" s="3168">
        <f t="shared" si="5"/>
        <v>2.3999999999999998E-3</v>
      </c>
      <c r="N14" s="3168">
        <f t="shared" si="5"/>
        <v>4.7999999999999996E-3</v>
      </c>
      <c r="O14" s="3168">
        <f t="shared" si="5"/>
        <v>4.7999999999999996E-3</v>
      </c>
      <c r="P14" s="3168">
        <f t="shared" si="15"/>
        <v>2.3999999999999998E-3</v>
      </c>
      <c r="Q14" s="3177"/>
      <c r="R14" s="3179">
        <f>ROUND(IF([2]项目基本情况!B8="出让",SUMPRODUCT(PRODUCT(1+K14:K16)),SUMPRODUCT(PRODUCT(1+K14:K15))),4)</f>
        <v>1.0139</v>
      </c>
      <c r="S14" s="3179">
        <f>ROUND(IF([2]项目基本情况!B8="出让",SUMPRODUCT(PRODUCT(1+L14:L16)),SUMPRODUCT(PRODUCT(1+L14:L15))),4)</f>
        <v>1.0113000000000001</v>
      </c>
      <c r="T14" s="3179">
        <f>ROUND(IF([2]项目基本情况!B8="出让",SUMPRODUCT(PRODUCT(1+M14:M16)),SUMPRODUCT(PRODUCT(1+M14:M15))),4)</f>
        <v>1.0065</v>
      </c>
      <c r="U14" s="3179">
        <f>ROUND(IF([2]项目基本情况!B8="出让",SUMPRODUCT(PRODUCT(1+N14:N16)),SUMPRODUCT(PRODUCT(1+N14:N15))),4)</f>
        <v>1.0143</v>
      </c>
      <c r="V14" s="3179">
        <f>ROUND(IF([2]项目基本情况!B8="出让",SUMPRODUCT(PRODUCT(1+O14:O16)),SUMPRODUCT(PRODUCT(1+O14:O15))),4)</f>
        <v>1.0148999999999999</v>
      </c>
      <c r="W14" s="3179">
        <f t="shared" si="16"/>
        <v>1.0065</v>
      </c>
      <c r="X14" s="3177"/>
      <c r="Y14" s="3180">
        <f>IF(D14=0,0,ROUND(AVERAGE(D14:D16)/100,4))</f>
        <v>7.9000000000000008E-3</v>
      </c>
      <c r="Z14" s="3180">
        <f>IF(E14=0,0,ROUND(AVERAGE(E14:E16)/100,4))</f>
        <v>4.3E-3</v>
      </c>
      <c r="AA14" s="3180">
        <f>IF(F14=0,0,ROUND(AVERAGE(F14:F16)/100,4))</f>
        <v>1.2999999999999999E-3</v>
      </c>
      <c r="AB14" s="3180">
        <f>IF(G14=0,0,ROUND(AVERAGE(G14:G16)/100,4))</f>
        <v>8.5000000000000006E-3</v>
      </c>
      <c r="AC14" s="3180">
        <f>IF(H14=0,0,ROUND(AVERAGE(H14:H16)/100,4))</f>
        <v>6.1999999999999998E-3</v>
      </c>
      <c r="AD14" s="3180">
        <f t="shared" si="7"/>
        <v>1.2999999999999999E-3</v>
      </c>
    </row>
    <row r="15" spans="1:30" s="3181" customFormat="1" ht="12.75">
      <c r="A15" s="3172" t="s">
        <v>2824</v>
      </c>
      <c r="B15" s="3173">
        <v>2021</v>
      </c>
      <c r="C15" s="3174">
        <v>2</v>
      </c>
      <c r="D15" s="3175">
        <v>0.92</v>
      </c>
      <c r="E15" s="3175">
        <v>0.72</v>
      </c>
      <c r="F15" s="3175">
        <v>0.41</v>
      </c>
      <c r="G15" s="3175">
        <v>0.95</v>
      </c>
      <c r="H15" s="3192">
        <v>1.01</v>
      </c>
      <c r="I15" s="3176">
        <f t="shared" si="4"/>
        <v>0.41</v>
      </c>
      <c r="J15" s="3177"/>
      <c r="K15" s="3178">
        <f t="shared" si="5"/>
        <v>9.1999999999999998E-3</v>
      </c>
      <c r="L15" s="3168">
        <f t="shared" si="5"/>
        <v>7.1999999999999998E-3</v>
      </c>
      <c r="M15" s="3168">
        <f t="shared" si="5"/>
        <v>4.0999999999999995E-3</v>
      </c>
      <c r="N15" s="3168">
        <f t="shared" si="5"/>
        <v>9.4999999999999998E-3</v>
      </c>
      <c r="O15" s="3168">
        <f t="shared" si="5"/>
        <v>1.01E-2</v>
      </c>
      <c r="P15" s="3168">
        <f t="shared" si="15"/>
        <v>4.0999999999999995E-3</v>
      </c>
      <c r="Q15" s="3177"/>
      <c r="R15" s="3179">
        <f>ROUND(IF([2]项目基本情况!B8="出让",SUMPRODUCT(PRODUCT(1+K15:K16)),SUMPRODUCT(PRODUCT(1+K15:K15))),4)</f>
        <v>1.0092000000000001</v>
      </c>
      <c r="S15" s="3179">
        <f>ROUND(IF([2]项目基本情况!B8="出让",SUMPRODUCT(PRODUCT(1+L15:L16)),SUMPRODUCT(PRODUCT(1+L15:L15))),4)</f>
        <v>1.0072000000000001</v>
      </c>
      <c r="T15" s="3179">
        <f>ROUND(IF([2]项目基本情况!B8="出让",SUMPRODUCT(PRODUCT(1+M15:M16)),SUMPRODUCT(PRODUCT(1+M15:M15))),4)</f>
        <v>1.0041</v>
      </c>
      <c r="U15" s="3179">
        <f>ROUND(IF([2]项目基本情况!B8="出让",SUMPRODUCT(PRODUCT(1+N15:N16)),SUMPRODUCT(PRODUCT(1+N15:N15))),4)</f>
        <v>1.0095000000000001</v>
      </c>
      <c r="V15" s="3179">
        <f>ROUND(IF([2]项目基本情况!B8="出让",SUMPRODUCT(PRODUCT(1+O15:O16)),SUMPRODUCT(PRODUCT(1+O15:O15))),4)</f>
        <v>1.0101</v>
      </c>
      <c r="W15" s="3179">
        <f t="shared" si="16"/>
        <v>1.0041</v>
      </c>
      <c r="X15" s="3177"/>
      <c r="Y15" s="3180">
        <f>IF(D15=0,0,ROUND(AVERAGE(D15:D16)/100,4))</f>
        <v>9.4999999999999998E-3</v>
      </c>
      <c r="Z15" s="3180">
        <f>IF(E15=0,0,ROUND(AVERAGE(E15:E16)/100,4))</f>
        <v>4.4000000000000003E-3</v>
      </c>
      <c r="AA15" s="3180">
        <f>IF(F15=0,0,ROUND(AVERAGE(F15:F16)/100,4))</f>
        <v>8.0000000000000004E-4</v>
      </c>
      <c r="AB15" s="3180">
        <f>IF(G15=0,0,ROUND(AVERAGE(G15:G16)/100,4))</f>
        <v>1.03E-2</v>
      </c>
      <c r="AC15" s="3180">
        <f>IF(H15=0,0,ROUND(AVERAGE(H15:H16)/100,4))</f>
        <v>6.8999999999999999E-3</v>
      </c>
      <c r="AD15" s="3180">
        <f t="shared" si="7"/>
        <v>8.0000000000000004E-4</v>
      </c>
    </row>
    <row r="16" spans="1:30" s="3203" customFormat="1" thickBot="1">
      <c r="A16" s="3193" t="s">
        <v>2825</v>
      </c>
      <c r="B16" s="3194">
        <v>2021</v>
      </c>
      <c r="C16" s="3195">
        <v>1</v>
      </c>
      <c r="D16" s="3196">
        <v>0.97</v>
      </c>
      <c r="E16" s="3196">
        <v>0.16</v>
      </c>
      <c r="F16" s="3196">
        <v>-0.25</v>
      </c>
      <c r="G16" s="3196">
        <v>1.1100000000000001</v>
      </c>
      <c r="H16" s="3197">
        <v>0.36</v>
      </c>
      <c r="I16" s="3198">
        <f t="shared" si="4"/>
        <v>-0.25</v>
      </c>
      <c r="J16" s="3199"/>
      <c r="K16" s="3200">
        <f t="shared" si="5"/>
        <v>9.7000000000000003E-3</v>
      </c>
      <c r="L16" s="3201">
        <f t="shared" si="5"/>
        <v>1.6000000000000001E-3</v>
      </c>
      <c r="M16" s="3201">
        <f>F16/100</f>
        <v>-2.5000000000000001E-3</v>
      </c>
      <c r="N16" s="3201">
        <f t="shared" si="5"/>
        <v>1.11E-2</v>
      </c>
      <c r="O16" s="3201">
        <f t="shared" si="5"/>
        <v>3.5999999999999999E-3</v>
      </c>
      <c r="P16" s="3201">
        <f t="shared" si="15"/>
        <v>-2.5000000000000001E-3</v>
      </c>
      <c r="Q16" s="3199"/>
      <c r="R16" s="3202">
        <v>1</v>
      </c>
      <c r="S16" s="3202">
        <v>1</v>
      </c>
      <c r="T16" s="3202">
        <v>1</v>
      </c>
      <c r="U16" s="3202">
        <v>1</v>
      </c>
      <c r="V16" s="3202">
        <v>1</v>
      </c>
      <c r="W16" s="3202">
        <f t="shared" si="16"/>
        <v>1</v>
      </c>
      <c r="X16" s="3199"/>
      <c r="Y16" s="3201">
        <f>IF(D16=0,0,ROUND(AVERAGE(D16:D16)/100,4))</f>
        <v>9.7000000000000003E-3</v>
      </c>
      <c r="Z16" s="3201">
        <f>IF(E16=0,0,ROUND(AVERAGE(E16:E16)/100,4))</f>
        <v>1.6000000000000001E-3</v>
      </c>
      <c r="AA16" s="3201">
        <f>IF(F16=0,0,ROUND(AVERAGE(F16:F16)/100,4))</f>
        <v>-2.5000000000000001E-3</v>
      </c>
      <c r="AB16" s="3201">
        <f>IF(G16=0,0,ROUND(AVERAGE(G16:G16)/100,4))</f>
        <v>1.11E-2</v>
      </c>
      <c r="AC16" s="3201">
        <f>IF(H16=0,0,ROUND(AVERAGE(H16:H16)/100,4))</f>
        <v>3.5999999999999999E-3</v>
      </c>
      <c r="AD16" s="3201">
        <f>AA16</f>
        <v>-2.5000000000000001E-3</v>
      </c>
    </row>
    <row r="17" spans="1:30" s="3005" customFormat="1" ht="14.25" thickTop="1"/>
    <row r="18" spans="1:30" s="3005" customFormat="1">
      <c r="A18" s="3444" t="s">
        <v>3367</v>
      </c>
    </row>
    <row r="19" spans="1:30" s="3005" customFormat="1">
      <c r="I19" s="3204" t="s">
        <v>2826</v>
      </c>
    </row>
    <row r="20" spans="1:30" s="3005" customFormat="1"/>
    <row r="21" spans="1:30" s="3205" customFormat="1" ht="12.75">
      <c r="B21" s="3206" t="s">
        <v>2827</v>
      </c>
      <c r="C21" s="3207"/>
      <c r="D21" s="3207"/>
      <c r="E21" s="3207"/>
      <c r="F21" s="3207"/>
      <c r="G21" s="3207"/>
      <c r="H21" s="3207"/>
      <c r="I21" s="3207"/>
      <c r="J21" s="3161"/>
      <c r="K21" s="3207" t="s">
        <v>2828</v>
      </c>
      <c r="L21" s="3207"/>
      <c r="M21" s="3207"/>
      <c r="N21" s="3207"/>
      <c r="O21" s="3207"/>
      <c r="P21" s="3207"/>
      <c r="Q21" s="3161"/>
      <c r="R21" s="3840" t="s">
        <v>2829</v>
      </c>
      <c r="S21" s="3841"/>
      <c r="T21" s="3841"/>
      <c r="U21" s="3841"/>
      <c r="V21" s="3841"/>
      <c r="W21" s="3841"/>
      <c r="X21" s="3161"/>
      <c r="Y21" s="3840" t="s">
        <v>2830</v>
      </c>
      <c r="Z21" s="3841"/>
      <c r="AA21" s="3841"/>
      <c r="AB21" s="3841"/>
      <c r="AC21" s="3841"/>
      <c r="AD21" s="3841"/>
    </row>
    <row r="22" spans="1:30" s="3139" customFormat="1" ht="14.25" thickBot="1">
      <c r="B22" s="3140"/>
      <c r="C22" s="3141"/>
      <c r="D22" s="3142" t="s">
        <v>2831</v>
      </c>
      <c r="E22" s="3143" t="s">
        <v>2832</v>
      </c>
      <c r="F22" s="3143" t="s">
        <v>2833</v>
      </c>
      <c r="G22" s="3143" t="s">
        <v>2834</v>
      </c>
      <c r="H22" s="3143"/>
      <c r="I22" s="3143" t="s">
        <v>2835</v>
      </c>
      <c r="J22" s="3144"/>
      <c r="K22" s="3142" t="s">
        <v>2831</v>
      </c>
      <c r="L22" s="3143" t="s">
        <v>2832</v>
      </c>
      <c r="M22" s="3143" t="s">
        <v>2833</v>
      </c>
      <c r="N22" s="3143" t="s">
        <v>2834</v>
      </c>
      <c r="O22" s="3143"/>
      <c r="P22" s="3143" t="s">
        <v>2835</v>
      </c>
      <c r="Q22" s="3144"/>
      <c r="R22" s="3142" t="s">
        <v>2831</v>
      </c>
      <c r="S22" s="3143" t="s">
        <v>2832</v>
      </c>
      <c r="T22" s="3143" t="s">
        <v>2833</v>
      </c>
      <c r="U22" s="3143" t="s">
        <v>2834</v>
      </c>
      <c r="V22" s="3143"/>
      <c r="W22" s="3143" t="s">
        <v>2835</v>
      </c>
      <c r="X22" s="3144"/>
      <c r="Y22" s="3142" t="s">
        <v>2831</v>
      </c>
      <c r="Z22" s="3143" t="s">
        <v>2832</v>
      </c>
      <c r="AA22" s="3143" t="s">
        <v>2833</v>
      </c>
      <c r="AB22" s="3143" t="s">
        <v>2834</v>
      </c>
      <c r="AC22" s="3143"/>
      <c r="AD22" s="3143" t="s">
        <v>2835</v>
      </c>
    </row>
    <row r="23" spans="1:30" s="3157" customFormat="1" ht="12.75">
      <c r="A23" s="3145" t="s">
        <v>2836</v>
      </c>
      <c r="B23" s="3146"/>
      <c r="C23" s="3147"/>
      <c r="D23" s="3147"/>
      <c r="E23" s="3147">
        <f t="shared" ref="E23:G23" si="22">ROUND(AVERAGEIF(E24:E36,"&lt;&gt;0"),2)</f>
        <v>0.42</v>
      </c>
      <c r="F23" s="3147">
        <f t="shared" si="22"/>
        <v>0.3</v>
      </c>
      <c r="G23" s="3147">
        <f t="shared" si="22"/>
        <v>0.73</v>
      </c>
      <c r="H23" s="3147"/>
      <c r="I23" s="3147">
        <f>F23</f>
        <v>0.3</v>
      </c>
      <c r="J23" s="3148"/>
      <c r="K23" s="3149"/>
      <c r="L23" s="3150">
        <f t="shared" ref="L23:N23" si="23">ROUND(AVERAGEIF(L24:L36,"&lt;&gt;0"),4)</f>
        <v>4.1999999999999997E-3</v>
      </c>
      <c r="M23" s="3150">
        <f t="shared" si="23"/>
        <v>3.0000000000000001E-3</v>
      </c>
      <c r="N23" s="3150">
        <f t="shared" si="23"/>
        <v>7.3000000000000001E-3</v>
      </c>
      <c r="O23" s="3150"/>
      <c r="P23" s="3150">
        <f>M23</f>
        <v>3.0000000000000001E-3</v>
      </c>
      <c r="Q23" s="3148"/>
      <c r="R23" s="3151"/>
      <c r="S23" s="3152">
        <f>ROUND(SUMPRODUCT(PRODUCT(1+L24:L36)),4)</f>
        <v>1.038</v>
      </c>
      <c r="T23" s="3152">
        <f t="shared" ref="T23:U23" si="24">ROUND(SUMPRODUCT(PRODUCT(1+M24:M36)),4)</f>
        <v>1.0273000000000001</v>
      </c>
      <c r="U23" s="3152">
        <f t="shared" si="24"/>
        <v>1.0677000000000001</v>
      </c>
      <c r="V23" s="3152"/>
      <c r="W23" s="3151">
        <f>T23</f>
        <v>1.0273000000000001</v>
      </c>
      <c r="X23" s="3148"/>
      <c r="Y23" s="3153"/>
      <c r="Z23" s="3154">
        <f t="shared" ref="Z23:AB23" si="25">ROUND(AVERAGEIF(Z24:Z36,"&lt;&gt;0"),4)</f>
        <v>4.3E-3</v>
      </c>
      <c r="AA23" s="3155">
        <f t="shared" si="25"/>
        <v>3.5999999999999999E-3</v>
      </c>
      <c r="AB23" s="3153">
        <f t="shared" si="25"/>
        <v>8.8999999999999999E-3</v>
      </c>
      <c r="AC23" s="3156"/>
      <c r="AD23" s="3153">
        <f>AA23</f>
        <v>3.5999999999999999E-3</v>
      </c>
    </row>
    <row r="24" spans="1:30" s="3158" customFormat="1" ht="12.75">
      <c r="B24" s="3159"/>
      <c r="C24" s="3160"/>
      <c r="D24" s="3160"/>
      <c r="E24" s="3160"/>
      <c r="F24" s="3160"/>
      <c r="G24" s="3160"/>
      <c r="H24" s="3160"/>
      <c r="I24" s="3160"/>
      <c r="J24" s="3161"/>
      <c r="K24" s="3162"/>
      <c r="L24" s="3163"/>
      <c r="M24" s="3163"/>
      <c r="N24" s="3163"/>
      <c r="O24" s="3163"/>
      <c r="P24" s="3163"/>
      <c r="Q24" s="3161"/>
      <c r="R24" s="3164"/>
      <c r="S24" s="3165"/>
      <c r="T24" s="3166"/>
      <c r="U24" s="3164"/>
      <c r="V24" s="3167"/>
      <c r="W24" s="3164"/>
      <c r="X24" s="3161"/>
      <c r="Y24" s="3168"/>
      <c r="Z24" s="3169"/>
      <c r="AA24" s="3170"/>
      <c r="AB24" s="3168"/>
      <c r="AC24" s="3171"/>
      <c r="AD24" s="3168"/>
    </row>
    <row r="25" spans="1:30" s="3181" customFormat="1" ht="12.75">
      <c r="A25" s="3172" t="s">
        <v>3370</v>
      </c>
      <c r="B25" s="3173">
        <v>2023</v>
      </c>
      <c r="C25" s="3174">
        <v>4</v>
      </c>
      <c r="D25" s="3175"/>
      <c r="E25" s="3175">
        <v>0</v>
      </c>
      <c r="F25" s="3175">
        <v>0</v>
      </c>
      <c r="G25" s="3175">
        <v>0</v>
      </c>
      <c r="H25" s="3175"/>
      <c r="I25" s="3176">
        <f t="shared" ref="I25:I36" si="26">F25</f>
        <v>0</v>
      </c>
      <c r="J25" s="3177"/>
      <c r="K25" s="3178"/>
      <c r="L25" s="3168">
        <f t="shared" ref="L25:N36" si="27">E25/100</f>
        <v>0</v>
      </c>
      <c r="M25" s="3168">
        <f t="shared" si="27"/>
        <v>0</v>
      </c>
      <c r="N25" s="3168">
        <f t="shared" si="27"/>
        <v>0</v>
      </c>
      <c r="O25" s="3168"/>
      <c r="P25" s="3168">
        <f>M25</f>
        <v>0</v>
      </c>
      <c r="Q25" s="3177"/>
      <c r="R25" s="3179"/>
      <c r="S25" s="3179">
        <f>ROUND(IF([2]项目基本情况!$B$8="出让",SUMPRODUCT(PRODUCT(1+L25:L$36)),SUMPRODUCT(PRODUCT(1+L25:L$35))),4)</f>
        <v>1.0344</v>
      </c>
      <c r="T25" s="3179">
        <f>ROUND(IF([2]项目基本情况!$B$8="出让",SUMPRODUCT(PRODUCT(1+M25:M$36)),SUMPRODUCT(PRODUCT(1+M25:M$35))),4)</f>
        <v>1.0224</v>
      </c>
      <c r="U25" s="3179">
        <f>ROUND(IF([2]项目基本情况!$B$8="出让",SUMPRODUCT(PRODUCT(1+N25:N$36)),SUMPRODUCT(PRODUCT(1+N25:N$35))),4)</f>
        <v>1.0573999999999999</v>
      </c>
      <c r="V25" s="3179"/>
      <c r="W25" s="3179">
        <f>T25</f>
        <v>1.0224</v>
      </c>
      <c r="X25" s="3177"/>
      <c r="Y25" s="3180"/>
      <c r="Z25" s="3208">
        <f>IF(E25=0,0,ROUND(AVERAGE(E25:E36)/100,4))</f>
        <v>0</v>
      </c>
      <c r="AA25" s="3208">
        <f>IF(F25=0,0,ROUND(AVERAGE(F25:F36)/100,4))</f>
        <v>0</v>
      </c>
      <c r="AB25" s="3208">
        <f>IF(G25=0,0,ROUND(AVERAGE(G25:G36)/100,4))</f>
        <v>0</v>
      </c>
      <c r="AC25" s="3209"/>
      <c r="AD25" s="3180">
        <f>IF(I25=0,0,ROUND(AVERAGE(I25:I36)/100,4))</f>
        <v>0</v>
      </c>
    </row>
    <row r="26" spans="1:30" s="3181" customFormat="1" ht="12.75">
      <c r="A26" s="3172" t="s">
        <v>3371</v>
      </c>
      <c r="B26" s="3173">
        <v>2023</v>
      </c>
      <c r="C26" s="3174">
        <v>3</v>
      </c>
      <c r="D26" s="3175"/>
      <c r="E26" s="3175">
        <v>0</v>
      </c>
      <c r="F26" s="3175">
        <v>0</v>
      </c>
      <c r="G26" s="3175">
        <v>0</v>
      </c>
      <c r="H26" s="3192"/>
      <c r="I26" s="3176">
        <f t="shared" si="26"/>
        <v>0</v>
      </c>
      <c r="J26" s="3177"/>
      <c r="K26" s="3178"/>
      <c r="L26" s="3168">
        <f t="shared" ref="L26:L28" si="28">E26/100</f>
        <v>0</v>
      </c>
      <c r="M26" s="3168">
        <f t="shared" ref="M26:M28" si="29">F26/100</f>
        <v>0</v>
      </c>
      <c r="N26" s="3168">
        <f t="shared" ref="N26:N28" si="30">G26/100</f>
        <v>0</v>
      </c>
      <c r="O26" s="3168"/>
      <c r="P26" s="3168">
        <f t="shared" ref="P26:P28" si="31">M26</f>
        <v>0</v>
      </c>
      <c r="Q26" s="3177"/>
      <c r="R26" s="3179"/>
      <c r="S26" s="3179">
        <f>ROUND(IF([2]项目基本情况!$B$8="出让",SUMPRODUCT(PRODUCT(1+L26:L$36)),SUMPRODUCT(PRODUCT(1+L26:L$35))),4)</f>
        <v>1.0344</v>
      </c>
      <c r="T26" s="3179">
        <f>ROUND(IF([2]项目基本情况!$B$8="出让",SUMPRODUCT(PRODUCT(1+M26:M$36)),SUMPRODUCT(PRODUCT(1+M26:M$35))),4)</f>
        <v>1.0224</v>
      </c>
      <c r="U26" s="3179">
        <f>ROUND(IF([2]项目基本情况!$B$8="出让",SUMPRODUCT(PRODUCT(1+N26:N$36)),SUMPRODUCT(PRODUCT(1+N26:N$35))),4)</f>
        <v>1.0573999999999999</v>
      </c>
      <c r="V26" s="3179"/>
      <c r="W26" s="3179">
        <f t="shared" ref="W26:W28" si="32">T26</f>
        <v>1.0224</v>
      </c>
      <c r="X26" s="3177"/>
      <c r="Y26" s="3180"/>
      <c r="Z26" s="3208"/>
      <c r="AA26" s="3445"/>
      <c r="AB26" s="3445"/>
      <c r="AC26" s="3209"/>
      <c r="AD26" s="3180"/>
    </row>
    <row r="27" spans="1:30" s="3181" customFormat="1" ht="12.75">
      <c r="A27" s="3172" t="s">
        <v>3369</v>
      </c>
      <c r="B27" s="3173">
        <v>2023</v>
      </c>
      <c r="C27" s="3174">
        <v>2</v>
      </c>
      <c r="D27" s="3175"/>
      <c r="E27" s="3175">
        <v>0</v>
      </c>
      <c r="F27" s="3175">
        <v>0</v>
      </c>
      <c r="G27" s="3175">
        <v>0</v>
      </c>
      <c r="H27" s="3192"/>
      <c r="I27" s="3176">
        <f t="shared" si="26"/>
        <v>0</v>
      </c>
      <c r="J27" s="3177"/>
      <c r="K27" s="3178"/>
      <c r="L27" s="3168">
        <f t="shared" si="28"/>
        <v>0</v>
      </c>
      <c r="M27" s="3168">
        <f t="shared" si="29"/>
        <v>0</v>
      </c>
      <c r="N27" s="3168">
        <f t="shared" si="30"/>
        <v>0</v>
      </c>
      <c r="O27" s="3168"/>
      <c r="P27" s="3168">
        <f t="shared" si="31"/>
        <v>0</v>
      </c>
      <c r="Q27" s="3177"/>
      <c r="R27" s="3179"/>
      <c r="S27" s="3179">
        <f>ROUND(IF([2]项目基本情况!$B$8="出让",SUMPRODUCT(PRODUCT(1+L27:L$36)),SUMPRODUCT(PRODUCT(1+L27:L$35))),4)</f>
        <v>1.0344</v>
      </c>
      <c r="T27" s="3179">
        <f>ROUND(IF([2]项目基本情况!$B$8="出让",SUMPRODUCT(PRODUCT(1+M27:M$36)),SUMPRODUCT(PRODUCT(1+M27:M$35))),4)</f>
        <v>1.0224</v>
      </c>
      <c r="U27" s="3179">
        <f>ROUND(IF([2]项目基本情况!$B$8="出让",SUMPRODUCT(PRODUCT(1+N27:N$36)),SUMPRODUCT(PRODUCT(1+N27:N$35))),4)</f>
        <v>1.0573999999999999</v>
      </c>
      <c r="V27" s="3179"/>
      <c r="W27" s="3179">
        <f t="shared" si="32"/>
        <v>1.0224</v>
      </c>
      <c r="X27" s="3177"/>
      <c r="Y27" s="3180"/>
      <c r="Z27" s="3208"/>
      <c r="AA27" s="3445"/>
      <c r="AB27" s="3445"/>
      <c r="AC27" s="3209"/>
      <c r="AD27" s="3180"/>
    </row>
    <row r="28" spans="1:30" s="3191" customFormat="1" ht="12.75">
      <c r="A28" s="3182" t="s">
        <v>3372</v>
      </c>
      <c r="B28" s="3183">
        <v>2023</v>
      </c>
      <c r="C28" s="3184">
        <v>1</v>
      </c>
      <c r="D28" s="3185"/>
      <c r="E28" s="3185">
        <v>0.55000000000000004</v>
      </c>
      <c r="F28" s="3185">
        <v>0.59</v>
      </c>
      <c r="G28" s="3185">
        <v>0.64</v>
      </c>
      <c r="H28" s="3186"/>
      <c r="I28" s="3187">
        <f t="shared" si="26"/>
        <v>0.59</v>
      </c>
      <c r="J28" s="3188"/>
      <c r="K28" s="3189"/>
      <c r="L28" s="3190">
        <f t="shared" si="28"/>
        <v>5.5000000000000005E-3</v>
      </c>
      <c r="M28" s="3190">
        <f t="shared" si="29"/>
        <v>5.8999999999999999E-3</v>
      </c>
      <c r="N28" s="3190">
        <f t="shared" si="30"/>
        <v>6.4000000000000003E-3</v>
      </c>
      <c r="O28" s="3190"/>
      <c r="P28" s="3190">
        <f t="shared" si="31"/>
        <v>5.8999999999999999E-3</v>
      </c>
      <c r="Q28" s="3188"/>
      <c r="R28" s="3188"/>
      <c r="S28" s="3188">
        <f>ROUND(IF([2]项目基本情况!$B$8="出让",SUMPRODUCT(PRODUCT(1+L28:L$36)),SUMPRODUCT(PRODUCT(1+L28:L$35))),4)</f>
        <v>1.0344</v>
      </c>
      <c r="T28" s="3188">
        <f>ROUND(IF([2]项目基本情况!$B$8="出让",SUMPRODUCT(PRODUCT(1+M28:M$36)),SUMPRODUCT(PRODUCT(1+M28:M$35))),4)</f>
        <v>1.0224</v>
      </c>
      <c r="U28" s="3188">
        <f>ROUND(IF([2]项目基本情况!$B$8="出让",SUMPRODUCT(PRODUCT(1+N28:N$36)),SUMPRODUCT(PRODUCT(1+N28:N$35))),4)</f>
        <v>1.0573999999999999</v>
      </c>
      <c r="V28" s="3188"/>
      <c r="W28" s="3188">
        <f t="shared" si="32"/>
        <v>1.0224</v>
      </c>
      <c r="X28" s="3188"/>
      <c r="Y28" s="3190"/>
      <c r="Z28" s="3211"/>
      <c r="AA28" s="3212"/>
      <c r="AB28" s="3190"/>
      <c r="AC28" s="3213"/>
      <c r="AD28" s="3190"/>
    </row>
    <row r="29" spans="1:30" s="3181" customFormat="1" ht="12.75">
      <c r="A29" s="3172" t="s">
        <v>3373</v>
      </c>
      <c r="B29" s="3173">
        <v>2022</v>
      </c>
      <c r="C29" s="3174">
        <v>4</v>
      </c>
      <c r="D29" s="3175"/>
      <c r="E29" s="3175">
        <v>0.45</v>
      </c>
      <c r="F29" s="3175">
        <v>0.2</v>
      </c>
      <c r="G29" s="3175">
        <v>0.38</v>
      </c>
      <c r="H29" s="3192"/>
      <c r="I29" s="3176">
        <f t="shared" si="26"/>
        <v>0.2</v>
      </c>
      <c r="J29" s="3177"/>
      <c r="K29" s="3178"/>
      <c r="L29" s="3168">
        <f t="shared" si="27"/>
        <v>4.5000000000000005E-3</v>
      </c>
      <c r="M29" s="3168">
        <f t="shared" si="27"/>
        <v>2E-3</v>
      </c>
      <c r="N29" s="3168">
        <f t="shared" si="27"/>
        <v>3.8E-3</v>
      </c>
      <c r="O29" s="3168"/>
      <c r="P29" s="3168">
        <f t="shared" ref="P29:P36" si="33">M29</f>
        <v>2E-3</v>
      </c>
      <c r="Q29" s="3177"/>
      <c r="R29" s="3179"/>
      <c r="S29" s="3179">
        <f>ROUND(IF([2]项目基本情况!$B$8="出让",SUMPRODUCT(PRODUCT(1+L29:L$36)),SUMPRODUCT(PRODUCT(1+L29:L$35))),4)</f>
        <v>1.0286999999999999</v>
      </c>
      <c r="T29" s="3179">
        <f>ROUND(IF([2]项目基本情况!$B$8="出让",SUMPRODUCT(PRODUCT(1+M29:M$36)),SUMPRODUCT(PRODUCT(1+M29:M$35))),4)</f>
        <v>1.0164</v>
      </c>
      <c r="U29" s="3179">
        <f>ROUND(IF([2]项目基本情况!$B$8="出让",SUMPRODUCT(PRODUCT(1+N29:N$36)),SUMPRODUCT(PRODUCT(1+N29:N$35))),4)</f>
        <v>1.0506</v>
      </c>
      <c r="V29" s="3179"/>
      <c r="W29" s="3179">
        <f t="shared" ref="W29:W36" si="34">T29</f>
        <v>1.0164</v>
      </c>
      <c r="X29" s="3177"/>
      <c r="Y29" s="3180"/>
      <c r="Z29" s="3208">
        <f t="shared" ref="Z29:AD36" si="35">IF(E29=0,0,ROUND(AVERAGE(E29:E37)/100,4))</f>
        <v>4.0000000000000001E-3</v>
      </c>
      <c r="AA29" s="3210">
        <f t="shared" si="35"/>
        <v>2.5999999999999999E-3</v>
      </c>
      <c r="AB29" s="3180">
        <f t="shared" si="35"/>
        <v>7.4000000000000003E-3</v>
      </c>
      <c r="AC29" s="3209"/>
      <c r="AD29" s="3180">
        <f t="shared" si="35"/>
        <v>2.5999999999999999E-3</v>
      </c>
    </row>
    <row r="30" spans="1:30" s="3181" customFormat="1" ht="12.75">
      <c r="A30" s="3172" t="s">
        <v>3366</v>
      </c>
      <c r="B30" s="3173">
        <v>2022</v>
      </c>
      <c r="C30" s="3174">
        <v>3</v>
      </c>
      <c r="D30" s="3175"/>
      <c r="E30" s="3175">
        <v>0.3</v>
      </c>
      <c r="F30" s="3175">
        <v>0.28999999999999998</v>
      </c>
      <c r="G30" s="3175">
        <v>0.83</v>
      </c>
      <c r="H30" s="3192"/>
      <c r="I30" s="3176">
        <f t="shared" si="26"/>
        <v>0.28999999999999998</v>
      </c>
      <c r="J30" s="3177"/>
      <c r="K30" s="3178"/>
      <c r="L30" s="3168">
        <f t="shared" si="27"/>
        <v>3.0000000000000001E-3</v>
      </c>
      <c r="M30" s="3168">
        <f t="shared" si="27"/>
        <v>2.8999999999999998E-3</v>
      </c>
      <c r="N30" s="3168">
        <f t="shared" si="27"/>
        <v>8.3000000000000001E-3</v>
      </c>
      <c r="O30" s="3168"/>
      <c r="P30" s="3168">
        <f t="shared" si="33"/>
        <v>2.8999999999999998E-3</v>
      </c>
      <c r="Q30" s="3177"/>
      <c r="R30" s="3179"/>
      <c r="S30" s="3179">
        <f>ROUND(IF([2]项目基本情况!$B$8="出让",SUMPRODUCT(PRODUCT(1+L30:L$36)),SUMPRODUCT(PRODUCT(1+L30:L$35))),4)</f>
        <v>1.0241</v>
      </c>
      <c r="T30" s="3179">
        <f>ROUND(IF([2]项目基本情况!$B$8="出让",SUMPRODUCT(PRODUCT(1+M30:M$36)),SUMPRODUCT(PRODUCT(1+M30:M$35))),4)</f>
        <v>1.0144</v>
      </c>
      <c r="U30" s="3179">
        <f>ROUND(IF([2]项目基本情况!$B$8="出让",SUMPRODUCT(PRODUCT(1+N30:N$36)),SUMPRODUCT(PRODUCT(1+N30:N$35))),4)</f>
        <v>1.0467</v>
      </c>
      <c r="V30" s="3179"/>
      <c r="W30" s="3179">
        <f t="shared" si="34"/>
        <v>1.0144</v>
      </c>
      <c r="X30" s="3177"/>
      <c r="Y30" s="3180"/>
      <c r="Z30" s="3208">
        <f t="shared" si="35"/>
        <v>3.8999999999999998E-3</v>
      </c>
      <c r="AA30" s="3210">
        <f t="shared" si="35"/>
        <v>2.7000000000000001E-3</v>
      </c>
      <c r="AB30" s="3180">
        <f t="shared" si="35"/>
        <v>7.9000000000000008E-3</v>
      </c>
      <c r="AC30" s="3209"/>
      <c r="AD30" s="3180">
        <f t="shared" si="35"/>
        <v>2.7000000000000001E-3</v>
      </c>
    </row>
    <row r="31" spans="1:30" s="3181" customFormat="1" ht="12.75">
      <c r="A31" s="3172" t="s">
        <v>3356</v>
      </c>
      <c r="B31" s="3173">
        <v>2022</v>
      </c>
      <c r="C31" s="3174">
        <v>2</v>
      </c>
      <c r="D31" s="3175"/>
      <c r="E31" s="3175">
        <v>-0.11</v>
      </c>
      <c r="F31" s="3175">
        <v>-0.13</v>
      </c>
      <c r="G31" s="3175">
        <v>0.53</v>
      </c>
      <c r="H31" s="3192"/>
      <c r="I31" s="3176">
        <f t="shared" si="26"/>
        <v>-0.13</v>
      </c>
      <c r="J31" s="3177"/>
      <c r="K31" s="3178"/>
      <c r="L31" s="3168">
        <f t="shared" si="27"/>
        <v>-1.1000000000000001E-3</v>
      </c>
      <c r="M31" s="3168">
        <f t="shared" si="27"/>
        <v>-1.2999999999999999E-3</v>
      </c>
      <c r="N31" s="3168">
        <f t="shared" si="27"/>
        <v>5.3E-3</v>
      </c>
      <c r="O31" s="3168"/>
      <c r="P31" s="3168">
        <f t="shared" si="33"/>
        <v>-1.2999999999999999E-3</v>
      </c>
      <c r="Q31" s="3177"/>
      <c r="R31" s="3179"/>
      <c r="S31" s="3179">
        <f>ROUND(IF([2]项目基本情况!$B$8="出让",SUMPRODUCT(PRODUCT(1+L31:L$36)),SUMPRODUCT(PRODUCT(1+L31:L$35))),4)</f>
        <v>1.0210999999999999</v>
      </c>
      <c r="T31" s="3179">
        <f>ROUND(IF([2]项目基本情况!$B$8="出让",SUMPRODUCT(PRODUCT(1+M31:M$36)),SUMPRODUCT(PRODUCT(1+M31:M$35))),4)</f>
        <v>1.0114000000000001</v>
      </c>
      <c r="U31" s="3179">
        <f>ROUND(IF([2]项目基本情况!$B$8="出让",SUMPRODUCT(PRODUCT(1+N31:N$36)),SUMPRODUCT(PRODUCT(1+N31:N$35))),4)</f>
        <v>1.0381</v>
      </c>
      <c r="V31" s="3179"/>
      <c r="W31" s="3179">
        <f t="shared" si="34"/>
        <v>1.0114000000000001</v>
      </c>
      <c r="X31" s="3177"/>
      <c r="Y31" s="3180"/>
      <c r="Z31" s="3208">
        <f t="shared" si="35"/>
        <v>4.1000000000000003E-3</v>
      </c>
      <c r="AA31" s="3210">
        <f t="shared" si="35"/>
        <v>2.7000000000000001E-3</v>
      </c>
      <c r="AB31" s="3180">
        <f t="shared" si="35"/>
        <v>7.9000000000000008E-3</v>
      </c>
      <c r="AC31" s="3209"/>
      <c r="AD31" s="3180">
        <f t="shared" si="35"/>
        <v>2.7000000000000001E-3</v>
      </c>
    </row>
    <row r="32" spans="1:30" s="3181" customFormat="1" ht="12.75">
      <c r="A32" s="3172" t="s">
        <v>2837</v>
      </c>
      <c r="B32" s="3173">
        <v>2022</v>
      </c>
      <c r="C32" s="3174">
        <v>1</v>
      </c>
      <c r="D32" s="3175"/>
      <c r="E32" s="3175">
        <v>0.6</v>
      </c>
      <c r="F32" s="3175">
        <v>0.45</v>
      </c>
      <c r="G32" s="3175">
        <v>0.53</v>
      </c>
      <c r="H32" s="3192"/>
      <c r="I32" s="3176">
        <f t="shared" si="26"/>
        <v>0.45</v>
      </c>
      <c r="J32" s="3177"/>
      <c r="K32" s="3178"/>
      <c r="L32" s="3168">
        <f t="shared" si="27"/>
        <v>6.0000000000000001E-3</v>
      </c>
      <c r="M32" s="3168">
        <f t="shared" si="27"/>
        <v>4.5000000000000005E-3</v>
      </c>
      <c r="N32" s="3168">
        <f t="shared" si="27"/>
        <v>5.3E-3</v>
      </c>
      <c r="O32" s="3168"/>
      <c r="P32" s="3168">
        <f t="shared" si="33"/>
        <v>4.5000000000000005E-3</v>
      </c>
      <c r="Q32" s="3177"/>
      <c r="R32" s="3179"/>
      <c r="S32" s="3179">
        <f>ROUND(IF([2]项目基本情况!$B$8="出让",SUMPRODUCT(PRODUCT(1+L32:L$36)),SUMPRODUCT(PRODUCT(1+L32:L$35))),4)</f>
        <v>1.0222</v>
      </c>
      <c r="T32" s="3179">
        <f>ROUND(IF([2]项目基本情况!$B$8="出让",SUMPRODUCT(PRODUCT(1+M32:M$36)),SUMPRODUCT(PRODUCT(1+M32:M$35))),4)</f>
        <v>1.0127999999999999</v>
      </c>
      <c r="U32" s="3179">
        <f>ROUND(IF([2]项目基本情况!$B$8="出让",SUMPRODUCT(PRODUCT(1+N32:N$36)),SUMPRODUCT(PRODUCT(1+N32:N$35))),4)</f>
        <v>1.0326</v>
      </c>
      <c r="V32" s="3179"/>
      <c r="W32" s="3179">
        <f t="shared" si="34"/>
        <v>1.0127999999999999</v>
      </c>
      <c r="X32" s="3177"/>
      <c r="Y32" s="3180"/>
      <c r="Z32" s="3208">
        <f t="shared" si="35"/>
        <v>5.1000000000000004E-3</v>
      </c>
      <c r="AA32" s="3210">
        <f t="shared" si="35"/>
        <v>3.5000000000000001E-3</v>
      </c>
      <c r="AB32" s="3180">
        <f t="shared" si="35"/>
        <v>8.3999999999999995E-3</v>
      </c>
      <c r="AC32" s="3209"/>
      <c r="AD32" s="3180">
        <f t="shared" si="35"/>
        <v>3.5000000000000001E-3</v>
      </c>
    </row>
    <row r="33" spans="1:30" s="3181" customFormat="1" ht="12.75">
      <c r="A33" s="3172" t="s">
        <v>2838</v>
      </c>
      <c r="B33" s="3173">
        <v>2021</v>
      </c>
      <c r="C33" s="3174">
        <v>4</v>
      </c>
      <c r="D33" s="3175"/>
      <c r="E33" s="3175">
        <v>0.57999999999999996</v>
      </c>
      <c r="F33" s="3175">
        <v>0.08</v>
      </c>
      <c r="G33" s="3175">
        <v>0.68</v>
      </c>
      <c r="H33" s="3192"/>
      <c r="I33" s="3176">
        <f t="shared" si="26"/>
        <v>0.08</v>
      </c>
      <c r="J33" s="3177"/>
      <c r="K33" s="3178"/>
      <c r="L33" s="3168">
        <f t="shared" si="27"/>
        <v>5.7999999999999996E-3</v>
      </c>
      <c r="M33" s="3168">
        <f t="shared" si="27"/>
        <v>8.0000000000000004E-4</v>
      </c>
      <c r="N33" s="3168">
        <f t="shared" si="27"/>
        <v>6.8000000000000005E-3</v>
      </c>
      <c r="O33" s="3168"/>
      <c r="P33" s="3168">
        <f t="shared" si="33"/>
        <v>8.0000000000000004E-4</v>
      </c>
      <c r="Q33" s="3177"/>
      <c r="R33" s="3179"/>
      <c r="S33" s="3179">
        <f>ROUND(IF([2]项目基本情况!$B$8="出让",SUMPRODUCT(PRODUCT(1+L33:L$36)),SUMPRODUCT(PRODUCT(1+L33:L$35))),4)</f>
        <v>1.0161</v>
      </c>
      <c r="T33" s="3179">
        <f>ROUND(IF([2]项目基本情况!$B$8="出让",SUMPRODUCT(PRODUCT(1+M33:M$36)),SUMPRODUCT(PRODUCT(1+M33:M$35))),4)</f>
        <v>1.0082</v>
      </c>
      <c r="U33" s="3179">
        <f>ROUND(IF([2]项目基本情况!$B$8="出让",SUMPRODUCT(PRODUCT(1+N33:N$36)),SUMPRODUCT(PRODUCT(1+N33:N$35))),4)</f>
        <v>1.0270999999999999</v>
      </c>
      <c r="V33" s="3179"/>
      <c r="W33" s="3179">
        <f t="shared" si="34"/>
        <v>1.0082</v>
      </c>
      <c r="X33" s="3177"/>
      <c r="Y33" s="3180"/>
      <c r="Z33" s="3208">
        <f t="shared" si="35"/>
        <v>4.8999999999999998E-3</v>
      </c>
      <c r="AA33" s="3210">
        <f t="shared" si="35"/>
        <v>3.3E-3</v>
      </c>
      <c r="AB33" s="3180">
        <f t="shared" si="35"/>
        <v>9.1999999999999998E-3</v>
      </c>
      <c r="AC33" s="3209"/>
      <c r="AD33" s="3180">
        <f t="shared" si="35"/>
        <v>3.3E-3</v>
      </c>
    </row>
    <row r="34" spans="1:30" s="3181" customFormat="1" ht="12.75">
      <c r="A34" s="3172" t="s">
        <v>2839</v>
      </c>
      <c r="B34" s="3173">
        <v>2021</v>
      </c>
      <c r="C34" s="3174">
        <v>3</v>
      </c>
      <c r="D34" s="3175"/>
      <c r="E34" s="3175">
        <v>0.47</v>
      </c>
      <c r="F34" s="3175">
        <v>0.28000000000000003</v>
      </c>
      <c r="G34" s="3175">
        <v>0.91</v>
      </c>
      <c r="H34" s="3192"/>
      <c r="I34" s="3176">
        <f t="shared" si="26"/>
        <v>0.28000000000000003</v>
      </c>
      <c r="J34" s="3177"/>
      <c r="K34" s="3178"/>
      <c r="L34" s="3168">
        <f t="shared" si="27"/>
        <v>4.6999999999999993E-3</v>
      </c>
      <c r="M34" s="3168">
        <f t="shared" si="27"/>
        <v>2.8000000000000004E-3</v>
      </c>
      <c r="N34" s="3168">
        <f t="shared" si="27"/>
        <v>9.1000000000000004E-3</v>
      </c>
      <c r="O34" s="3168"/>
      <c r="P34" s="3168">
        <f t="shared" si="33"/>
        <v>2.8000000000000004E-3</v>
      </c>
      <c r="Q34" s="3177"/>
      <c r="R34" s="3179"/>
      <c r="S34" s="3179">
        <f>ROUND(IF([2]项目基本情况!$B$8="出让",SUMPRODUCT(PRODUCT(1+L34:L$36)),SUMPRODUCT(PRODUCT(1+L34:L$35))),4)</f>
        <v>1.0102</v>
      </c>
      <c r="T34" s="3179">
        <f>ROUND(IF([2]项目基本情况!$B$8="出让",SUMPRODUCT(PRODUCT(1+M34:M$36)),SUMPRODUCT(PRODUCT(1+M34:M$35))),4)</f>
        <v>1.0074000000000001</v>
      </c>
      <c r="U34" s="3179">
        <f>ROUND(IF([2]项目基本情况!$B$8="出让",SUMPRODUCT(PRODUCT(1+N34:N$36)),SUMPRODUCT(PRODUCT(1+N34:N$35))),4)</f>
        <v>1.0202</v>
      </c>
      <c r="V34" s="3179"/>
      <c r="W34" s="3179">
        <f t="shared" si="34"/>
        <v>1.0074000000000001</v>
      </c>
      <c r="X34" s="3177"/>
      <c r="Y34" s="3180"/>
      <c r="Z34" s="3208">
        <f t="shared" si="35"/>
        <v>4.5999999999999999E-3</v>
      </c>
      <c r="AA34" s="3210">
        <f t="shared" si="35"/>
        <v>4.1000000000000003E-3</v>
      </c>
      <c r="AB34" s="3180">
        <f t="shared" si="35"/>
        <v>0.01</v>
      </c>
      <c r="AC34" s="3209"/>
      <c r="AD34" s="3180">
        <f t="shared" si="35"/>
        <v>4.1000000000000003E-3</v>
      </c>
    </row>
    <row r="35" spans="1:30" s="3181" customFormat="1" ht="12.75">
      <c r="A35" s="3172" t="s">
        <v>2840</v>
      </c>
      <c r="B35" s="3173">
        <v>2021</v>
      </c>
      <c r="C35" s="3174">
        <v>2</v>
      </c>
      <c r="D35" s="3175"/>
      <c r="E35" s="3175">
        <v>0.55000000000000004</v>
      </c>
      <c r="F35" s="3175">
        <v>0.46</v>
      </c>
      <c r="G35" s="3175">
        <v>1.1000000000000001</v>
      </c>
      <c r="H35" s="3192"/>
      <c r="I35" s="3176">
        <f t="shared" si="26"/>
        <v>0.46</v>
      </c>
      <c r="J35" s="3177"/>
      <c r="K35" s="3178"/>
      <c r="L35" s="3168">
        <f t="shared" si="27"/>
        <v>5.5000000000000005E-3</v>
      </c>
      <c r="M35" s="3168">
        <f t="shared" si="27"/>
        <v>4.5999999999999999E-3</v>
      </c>
      <c r="N35" s="3168">
        <f t="shared" si="27"/>
        <v>1.1000000000000001E-2</v>
      </c>
      <c r="O35" s="3168"/>
      <c r="P35" s="3168">
        <f t="shared" si="33"/>
        <v>4.5999999999999999E-3</v>
      </c>
      <c r="Q35" s="3177"/>
      <c r="R35" s="3179"/>
      <c r="S35" s="3179">
        <f>ROUND(IF([2]项目基本情况!$B$8="出让",SUMPRODUCT(PRODUCT(1+L35:L$36)),SUMPRODUCT(PRODUCT(1+L35:L$35))),4)</f>
        <v>1.0055000000000001</v>
      </c>
      <c r="T35" s="3179">
        <f>ROUND(IF([2]项目基本情况!$B$8="出让",SUMPRODUCT(PRODUCT(1+M35:M$36)),SUMPRODUCT(PRODUCT(1+M35:M$35))),4)</f>
        <v>1.0045999999999999</v>
      </c>
      <c r="U35" s="3179">
        <f>ROUND(IF([2]项目基本情况!$B$8="出让",SUMPRODUCT(PRODUCT(1+N35:N$36)),SUMPRODUCT(PRODUCT(1+N35:N$35))),4)</f>
        <v>1.0109999999999999</v>
      </c>
      <c r="V35" s="3179"/>
      <c r="W35" s="3179">
        <f t="shared" si="34"/>
        <v>1.0045999999999999</v>
      </c>
      <c r="X35" s="3177"/>
      <c r="Y35" s="3180"/>
      <c r="Z35" s="3208">
        <f t="shared" si="35"/>
        <v>4.4999999999999997E-3</v>
      </c>
      <c r="AA35" s="3210">
        <f t="shared" si="35"/>
        <v>4.7000000000000002E-3</v>
      </c>
      <c r="AB35" s="3180">
        <f t="shared" si="35"/>
        <v>1.04E-2</v>
      </c>
      <c r="AC35" s="3209"/>
      <c r="AD35" s="3180">
        <f t="shared" si="35"/>
        <v>4.7000000000000002E-3</v>
      </c>
    </row>
    <row r="36" spans="1:30" s="3203" customFormat="1" thickBot="1">
      <c r="A36" s="3193" t="s">
        <v>2825</v>
      </c>
      <c r="B36" s="3194">
        <v>2021</v>
      </c>
      <c r="C36" s="3195">
        <v>1</v>
      </c>
      <c r="D36" s="3196"/>
      <c r="E36" s="3196">
        <v>0.35</v>
      </c>
      <c r="F36" s="3196">
        <v>0.48</v>
      </c>
      <c r="G36" s="3196">
        <v>0.98</v>
      </c>
      <c r="H36" s="3197"/>
      <c r="I36" s="3198">
        <f t="shared" si="26"/>
        <v>0.48</v>
      </c>
      <c r="J36" s="3199"/>
      <c r="K36" s="3200"/>
      <c r="L36" s="3201">
        <f t="shared" si="27"/>
        <v>3.4999999999999996E-3</v>
      </c>
      <c r="M36" s="3201">
        <f>F36/100</f>
        <v>4.7999999999999996E-3</v>
      </c>
      <c r="N36" s="3201">
        <f t="shared" si="27"/>
        <v>9.7999999999999997E-3</v>
      </c>
      <c r="O36" s="3201"/>
      <c r="P36" s="3201">
        <f t="shared" si="33"/>
        <v>4.7999999999999996E-3</v>
      </c>
      <c r="Q36" s="3199"/>
      <c r="R36" s="3202"/>
      <c r="S36" s="3202">
        <v>1</v>
      </c>
      <c r="T36" s="3202">
        <v>1</v>
      </c>
      <c r="U36" s="3202">
        <v>1</v>
      </c>
      <c r="V36" s="3202"/>
      <c r="W36" s="3202">
        <f t="shared" si="34"/>
        <v>1</v>
      </c>
      <c r="X36" s="3199"/>
      <c r="Y36" s="3201"/>
      <c r="Z36" s="3214">
        <f t="shared" si="35"/>
        <v>3.5000000000000001E-3</v>
      </c>
      <c r="AA36" s="3215">
        <f t="shared" si="35"/>
        <v>4.7999999999999996E-3</v>
      </c>
      <c r="AB36" s="3201">
        <f t="shared" si="35"/>
        <v>9.7999999999999997E-3</v>
      </c>
      <c r="AC36" s="3216"/>
      <c r="AD36" s="3201">
        <f t="shared" si="35"/>
        <v>4.7999999999999996E-3</v>
      </c>
    </row>
    <row r="37" spans="1:30" ht="14.25" thickTop="1"/>
    <row r="38" spans="1:30">
      <c r="A38" s="3444" t="s">
        <v>3368</v>
      </c>
    </row>
  </sheetData>
  <sheetProtection password="CEE9" sheet="1" objects="1" scenarios="1"/>
  <mergeCells count="4">
    <mergeCell ref="R21:W21"/>
    <mergeCell ref="Y21:AD21"/>
    <mergeCell ref="R1:W1"/>
    <mergeCell ref="Y1:AD1"/>
  </mergeCells>
  <phoneticPr fontId="134" type="noConversion"/>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89"/>
    <col min="2" max="6" width="9" style="2189" customWidth="1"/>
    <col min="7" max="7" width="9" style="2227"/>
    <col min="8" max="8" width="9" style="2189"/>
    <col min="9" max="12" width="9" style="2189" customWidth="1"/>
    <col min="13" max="13" width="2.25" style="2189" customWidth="1"/>
    <col min="14" max="14" width="9" style="2227" customWidth="1"/>
    <col min="15" max="17" width="9" style="2189" customWidth="1"/>
    <col min="18" max="18" width="2.375" style="2189" customWidth="1"/>
    <col min="19" max="19" width="7.125" style="2227" customWidth="1"/>
    <col min="20" max="22" width="7.125" style="2189" customWidth="1"/>
    <col min="23" max="23" width="24.25" style="2189" customWidth="1"/>
    <col min="24" max="25" width="9" style="2189"/>
    <col min="26" max="27" width="11.625" style="2189" customWidth="1"/>
    <col min="28" max="28" width="9" style="2189"/>
    <col min="29" max="29" width="2" style="2189" customWidth="1"/>
    <col min="30" max="16384" width="9" style="2189"/>
  </cols>
  <sheetData>
    <row r="1" spans="1:34" s="2168" customFormat="1">
      <c r="B1" s="3847" t="s">
        <v>452</v>
      </c>
      <c r="C1" s="3847"/>
      <c r="D1" s="3847"/>
      <c r="E1" s="3847"/>
      <c r="F1" s="3847"/>
      <c r="G1" s="3843" t="s">
        <v>453</v>
      </c>
      <c r="H1" s="3843"/>
      <c r="I1" s="3843"/>
      <c r="J1" s="3843"/>
      <c r="K1" s="3843"/>
      <c r="L1" s="3843"/>
      <c r="N1" s="3843" t="s">
        <v>454</v>
      </c>
      <c r="O1" s="3843"/>
      <c r="P1" s="3843"/>
      <c r="Q1" s="3843"/>
      <c r="S1" s="3843" t="s">
        <v>455</v>
      </c>
      <c r="T1" s="3843"/>
      <c r="U1" s="3843"/>
      <c r="V1" s="3843"/>
      <c r="X1" s="3842" t="s">
        <v>456</v>
      </c>
      <c r="Y1" s="3843"/>
      <c r="Z1" s="3843"/>
      <c r="AA1" s="3843"/>
      <c r="AB1" s="3843"/>
      <c r="AD1" s="3842" t="s">
        <v>457</v>
      </c>
      <c r="AE1" s="3843"/>
      <c r="AF1" s="3843"/>
      <c r="AG1" s="3843"/>
      <c r="AH1" s="3843"/>
    </row>
    <row r="2" spans="1:34" s="2169" customFormat="1" ht="14.25" thickBot="1">
      <c r="B2" s="2170" t="s">
        <v>458</v>
      </c>
      <c r="C2" s="2170" t="s">
        <v>459</v>
      </c>
      <c r="D2" s="2171" t="s">
        <v>460</v>
      </c>
      <c r="E2" s="2171" t="s">
        <v>461</v>
      </c>
      <c r="F2" s="2170" t="s">
        <v>462</v>
      </c>
      <c r="G2" s="2172"/>
      <c r="I2" s="2170" t="s">
        <v>458</v>
      </c>
      <c r="J2" s="2171" t="s">
        <v>676</v>
      </c>
      <c r="K2" s="2171" t="s">
        <v>308</v>
      </c>
      <c r="L2" s="2170" t="s">
        <v>462</v>
      </c>
      <c r="N2" s="2170" t="s">
        <v>458</v>
      </c>
      <c r="O2" s="2171" t="s">
        <v>676</v>
      </c>
      <c r="P2" s="2171" t="s">
        <v>308</v>
      </c>
      <c r="Q2" s="2170" t="s">
        <v>462</v>
      </c>
      <c r="S2" s="2170" t="s">
        <v>458</v>
      </c>
      <c r="T2" s="2171" t="s">
        <v>676</v>
      </c>
      <c r="U2" s="2171" t="s">
        <v>308</v>
      </c>
      <c r="V2" s="2170" t="s">
        <v>462</v>
      </c>
      <c r="X2" s="2170" t="s">
        <v>458</v>
      </c>
      <c r="Y2" s="2170" t="s">
        <v>459</v>
      </c>
      <c r="Z2" s="2171" t="s">
        <v>460</v>
      </c>
      <c r="AA2" s="2171" t="s">
        <v>461</v>
      </c>
      <c r="AB2" s="2170" t="s">
        <v>462</v>
      </c>
      <c r="AD2" s="2170" t="s">
        <v>458</v>
      </c>
      <c r="AE2" s="2170" t="s">
        <v>459</v>
      </c>
      <c r="AF2" s="2171" t="s">
        <v>460</v>
      </c>
      <c r="AG2" s="2171" t="s">
        <v>461</v>
      </c>
      <c r="AH2" s="2170" t="s">
        <v>462</v>
      </c>
    </row>
    <row r="3" spans="1:34" s="2179" customFormat="1" ht="14.25">
      <c r="A3" s="2173" t="s">
        <v>2112</v>
      </c>
      <c r="B3" s="2174"/>
      <c r="C3" s="2174"/>
      <c r="D3" s="2175"/>
      <c r="E3" s="2175"/>
      <c r="F3" s="2174"/>
      <c r="G3" s="2176"/>
      <c r="H3" s="2177"/>
      <c r="I3" s="2178">
        <f>ROUND(AVERAGE($I4:$I40),2)</f>
        <v>1.55</v>
      </c>
      <c r="J3" s="2178">
        <f>ROUND(AVERAGE($J4:$J40),2)</f>
        <v>0.97</v>
      </c>
      <c r="K3" s="2178">
        <f>ROUND(AVERAGE($K4:$K40),2)</f>
        <v>1.66</v>
      </c>
      <c r="L3" s="2178">
        <f>ROUND(AVERAGE($L4:$L40),2)</f>
        <v>1.1000000000000001</v>
      </c>
      <c r="N3" s="2176"/>
      <c r="S3" s="2176"/>
      <c r="W3" s="2180"/>
      <c r="X3" s="2181">
        <f>ROUND(SUMPRODUCT(PRODUCT(1+N3:N$39)),4)</f>
        <v>1.6585000000000001</v>
      </c>
      <c r="Y3" s="2181">
        <f>ROUND(SUMPRODUCT(PRODUCT(1+O3:O$39)),4)</f>
        <v>1.3676999999999999</v>
      </c>
      <c r="Z3" s="2181">
        <f t="shared" ref="Z3:Z37" si="0">Y3</f>
        <v>1.3676999999999999</v>
      </c>
      <c r="AA3" s="2181">
        <f>ROUND(SUMPRODUCT(PRODUCT(1+P3:P$39)),4)</f>
        <v>1.7434000000000001</v>
      </c>
      <c r="AB3" s="2181">
        <f>ROUND(SUMPRODUCT(PRODUCT(1+Q3:Q$39)),4)</f>
        <v>1.4609000000000001</v>
      </c>
      <c r="AD3" s="2182">
        <f>ROUND(AVERAGE(I3:I$40)/100,4)</f>
        <v>1.55E-2</v>
      </c>
      <c r="AE3" s="2182">
        <f>ROUND(AVERAGE(J3:J$40)/100,4)</f>
        <v>9.7000000000000003E-3</v>
      </c>
      <c r="AF3" s="2182">
        <f t="shared" ref="AF3:AF38" si="1">AE3</f>
        <v>9.7000000000000003E-3</v>
      </c>
      <c r="AG3" s="2182">
        <f>ROUND(AVERAGE(K3:K$40)/100,4)</f>
        <v>1.66E-2</v>
      </c>
      <c r="AH3" s="2182">
        <f>ROUND(AVERAGE(L3:L$40)/100,4)</f>
        <v>1.0999999999999999E-2</v>
      </c>
    </row>
    <row r="4" spans="1:34" s="2183" customFormat="1" ht="14.25">
      <c r="B4" s="2184"/>
      <c r="C4" s="2184"/>
      <c r="D4" s="2185"/>
      <c r="E4" s="2185"/>
      <c r="F4" s="2184"/>
      <c r="G4" s="2186"/>
      <c r="H4" s="2187"/>
      <c r="I4" s="2188"/>
      <c r="J4" s="2188"/>
      <c r="K4" s="2188"/>
      <c r="L4" s="2188"/>
      <c r="N4" s="2186"/>
      <c r="S4" s="2186"/>
      <c r="X4" s="2189"/>
      <c r="Y4" s="2189"/>
      <c r="Z4" s="2189"/>
      <c r="AA4" s="2189"/>
      <c r="AB4" s="2189"/>
      <c r="AD4" s="2190"/>
      <c r="AE4" s="2190"/>
      <c r="AF4" s="2190"/>
      <c r="AG4" s="2190"/>
      <c r="AH4" s="2190"/>
    </row>
    <row r="5" spans="1:34" s="2209" customFormat="1">
      <c r="A5" s="2202" t="s">
        <v>3364</v>
      </c>
      <c r="B5" s="2203">
        <f t="shared" ref="B5" si="2">B6*(1+N5)</f>
        <v>510.07089659554606</v>
      </c>
      <c r="C5" s="2203">
        <f t="shared" ref="C5" si="3">C6*(1+O5)</f>
        <v>352.55593185737411</v>
      </c>
      <c r="D5" s="2203">
        <f t="shared" ref="D5" si="4">C5</f>
        <v>352.55593185737411</v>
      </c>
      <c r="E5" s="2203">
        <f t="shared" ref="E5" si="5">E6*(1+P5)</f>
        <v>737.27992463403655</v>
      </c>
      <c r="F5" s="2203">
        <f t="shared" ref="F5" si="6">F6*(1+Q5)</f>
        <v>335.88319198297864</v>
      </c>
      <c r="G5" s="3432">
        <v>2022</v>
      </c>
      <c r="H5" s="2204">
        <v>1</v>
      </c>
      <c r="I5" s="2166">
        <v>0</v>
      </c>
      <c r="J5" s="2166">
        <v>0</v>
      </c>
      <c r="K5" s="2166">
        <v>0</v>
      </c>
      <c r="L5" s="2167">
        <v>0</v>
      </c>
      <c r="M5" s="2189"/>
      <c r="N5" s="2205">
        <f t="shared" ref="N5" si="7">I5/100</f>
        <v>0</v>
      </c>
      <c r="O5" s="2190">
        <f t="shared" ref="O5" si="8">J5/100</f>
        <v>0</v>
      </c>
      <c r="P5" s="2190">
        <f t="shared" ref="P5" si="9">K5/100</f>
        <v>0</v>
      </c>
      <c r="Q5" s="2190">
        <f t="shared" ref="Q5" si="10">L5/100</f>
        <v>0</v>
      </c>
      <c r="R5" s="2206"/>
      <c r="S5" s="2205"/>
      <c r="T5" s="2190"/>
      <c r="U5" s="2190"/>
      <c r="V5" s="2190"/>
      <c r="W5" s="2207"/>
      <c r="X5" s="2207" t="e">
        <f>ROUND(IF(项目基本情况!#REF!="出让",SUMPRODUCT(PRODUCT(1+N5:N$40)),SUMPRODUCT(PRODUCT(1+N5:N$39))),4)</f>
        <v>#REF!</v>
      </c>
      <c r="Y5" s="2207" t="e">
        <f>ROUND(IF(项目基本情况!#REF!="出让",SUMPRODUCT(PRODUCT(1+O5:O$40)),SUMPRODUCT(PRODUCT(1+O5:O$39))),4)</f>
        <v>#REF!</v>
      </c>
      <c r="Z5" s="2207" t="e">
        <f t="shared" ref="Z5" si="11">Y5</f>
        <v>#REF!</v>
      </c>
      <c r="AA5" s="2207" t="e">
        <f>ROUND(IF(项目基本情况!#REF!="出让",SUMPRODUCT(PRODUCT(1+P5:P$40)),SUMPRODUCT(PRODUCT(1+P5:P$39))),4)</f>
        <v>#REF!</v>
      </c>
      <c r="AB5" s="2207" t="e">
        <f>ROUND(IF(项目基本情况!#REF!="出让",SUMPRODUCT(PRODUCT(1+Q5:Q$40)),SUMPRODUCT(PRODUCT(1+Q5:Q$39))),4)</f>
        <v>#REF!</v>
      </c>
      <c r="AC5" s="2207"/>
      <c r="AD5" s="2208">
        <f>ROUND(AVERAGE(I5:I$40)/100,4)</f>
        <v>1.55E-2</v>
      </c>
      <c r="AE5" s="2208">
        <f>ROUND(AVERAGE(J5:J$40)/100,4)</f>
        <v>9.7000000000000003E-3</v>
      </c>
      <c r="AF5" s="2208">
        <f t="shared" ref="AF5" si="12">AE5</f>
        <v>9.7000000000000003E-3</v>
      </c>
      <c r="AG5" s="2208">
        <f>ROUND(AVERAGE(K5:K$40)/100,4)</f>
        <v>1.66E-2</v>
      </c>
      <c r="AH5" s="2208">
        <f>ROUND(AVERAGE(L5:L$40)/100,4)</f>
        <v>1.0999999999999999E-2</v>
      </c>
    </row>
    <row r="6" spans="1:34" s="2196" customFormat="1">
      <c r="A6" s="2191" t="s">
        <v>3361</v>
      </c>
      <c r="B6" s="2192">
        <f t="shared" ref="B6" si="13">B7*(1+N6)</f>
        <v>510.07089659554606</v>
      </c>
      <c r="C6" s="2192">
        <f t="shared" ref="C6" si="14">C7*(1+O6)</f>
        <v>352.55593185737411</v>
      </c>
      <c r="D6" s="2192">
        <f t="shared" ref="D6" si="15">C6</f>
        <v>352.55593185737411</v>
      </c>
      <c r="E6" s="2192">
        <f t="shared" ref="E6" si="16">E7*(1+P6)</f>
        <v>737.27992463403655</v>
      </c>
      <c r="F6" s="2192">
        <f t="shared" ref="F6" si="17">F7*(1+Q6)</f>
        <v>335.88319198297864</v>
      </c>
      <c r="G6" s="3432">
        <v>2022</v>
      </c>
      <c r="H6" s="2194">
        <v>1</v>
      </c>
      <c r="I6" s="2195">
        <v>0</v>
      </c>
      <c r="J6" s="2195">
        <v>0</v>
      </c>
      <c r="K6" s="2195">
        <v>0</v>
      </c>
      <c r="L6" s="2195">
        <v>0</v>
      </c>
      <c r="N6" s="2197">
        <f t="shared" ref="N6" si="18">I6/100</f>
        <v>0</v>
      </c>
      <c r="O6" s="2197">
        <f t="shared" ref="O6" si="19">J6/100</f>
        <v>0</v>
      </c>
      <c r="P6" s="2197">
        <f t="shared" ref="P6" si="20">K6/100</f>
        <v>0</v>
      </c>
      <c r="Q6" s="2197">
        <f t="shared" ref="Q6" si="21">L6/100</f>
        <v>0</v>
      </c>
      <c r="S6" s="2198"/>
      <c r="W6" s="2199" t="s">
        <v>2113</v>
      </c>
      <c r="X6" s="2200" t="e">
        <f>ROUND(IF(项目基本情况!#REF!="出让",SUMPRODUCT(PRODUCT(1+N6:N$40)),SUMPRODUCT(PRODUCT(1+N6:N$39))),4)</f>
        <v>#REF!</v>
      </c>
      <c r="Y6" s="2200" t="e">
        <f>ROUND(IF(项目基本情况!#REF!="出让",SUMPRODUCT(PRODUCT(1+O6:O$40)),SUMPRODUCT(PRODUCT(1+O6:O$39))),4)</f>
        <v>#REF!</v>
      </c>
      <c r="Z6" s="2200" t="e">
        <f t="shared" ref="Z6" si="22">Y6</f>
        <v>#REF!</v>
      </c>
      <c r="AA6" s="2200" t="e">
        <f>ROUND(IF(项目基本情况!#REF!="出让",SUMPRODUCT(PRODUCT(1+P6:P$40)),SUMPRODUCT(PRODUCT(1+P6:P$39))),4)</f>
        <v>#REF!</v>
      </c>
      <c r="AB6" s="2200" t="e">
        <f>ROUND(IF(项目基本情况!#REF!="出让",SUMPRODUCT(PRODUCT(1+Q6:Q$40)),SUMPRODUCT(PRODUCT(1+Q6:Q$39))),4)</f>
        <v>#REF!</v>
      </c>
      <c r="AD6" s="2201">
        <f>ROUND(AVERAGE(I6:I$40)/100,4)</f>
        <v>1.6E-2</v>
      </c>
      <c r="AE6" s="2201">
        <f>ROUND(AVERAGE(J6:J$40)/100,4)</f>
        <v>0.01</v>
      </c>
      <c r="AF6" s="2201">
        <f t="shared" ref="AF6" si="23">AE6</f>
        <v>0.01</v>
      </c>
      <c r="AG6" s="2201">
        <f>ROUND(AVERAGE(K6:K$40)/100,4)</f>
        <v>1.7100000000000001E-2</v>
      </c>
      <c r="AH6" s="2201">
        <f>ROUND(AVERAGE(L6:L$40)/100,4)</f>
        <v>1.1299999999999999E-2</v>
      </c>
    </row>
    <row r="7" spans="1:34" s="2209" customFormat="1">
      <c r="A7" s="2202" t="s">
        <v>3362</v>
      </c>
      <c r="B7" s="2203">
        <f t="shared" ref="B7" si="24">B8*(1+N7)</f>
        <v>510.07089659554606</v>
      </c>
      <c r="C7" s="2203">
        <f t="shared" ref="C7" si="25">C8*(1+O7)</f>
        <v>352.55593185737411</v>
      </c>
      <c r="D7" s="2203">
        <f t="shared" ref="D7" si="26">C7</f>
        <v>352.55593185737411</v>
      </c>
      <c r="E7" s="2203">
        <f t="shared" ref="E7" si="27">E8*(1+P7)</f>
        <v>737.27992463403655</v>
      </c>
      <c r="F7" s="2203">
        <f t="shared" ref="F7" si="28">F8*(1+Q7)</f>
        <v>335.88319198297864</v>
      </c>
      <c r="G7" s="3432">
        <v>2022</v>
      </c>
      <c r="H7" s="2204">
        <v>1</v>
      </c>
      <c r="I7" s="2166">
        <v>0</v>
      </c>
      <c r="J7" s="2166">
        <v>0</v>
      </c>
      <c r="K7" s="2166">
        <v>0</v>
      </c>
      <c r="L7" s="2167">
        <v>0</v>
      </c>
      <c r="M7" s="2189"/>
      <c r="N7" s="2205">
        <f t="shared" ref="N7" si="29">I7/100</f>
        <v>0</v>
      </c>
      <c r="O7" s="2190">
        <f t="shared" ref="O7" si="30">J7/100</f>
        <v>0</v>
      </c>
      <c r="P7" s="2190">
        <f t="shared" ref="P7" si="31">K7/100</f>
        <v>0</v>
      </c>
      <c r="Q7" s="2190">
        <f t="shared" ref="Q7" si="32">L7/100</f>
        <v>0</v>
      </c>
      <c r="R7" s="2206"/>
      <c r="S7" s="2205"/>
      <c r="T7" s="2190"/>
      <c r="U7" s="2190"/>
      <c r="V7" s="2190"/>
      <c r="W7" s="2207"/>
      <c r="X7" s="2207" t="e">
        <f>ROUND(IF(项目基本情况!#REF!="出让",SUMPRODUCT(PRODUCT(1+N7:N$40)),SUMPRODUCT(PRODUCT(1+N7:N$39))),4)</f>
        <v>#REF!</v>
      </c>
      <c r="Y7" s="2207" t="e">
        <f>ROUND(IF(项目基本情况!#REF!="出让",SUMPRODUCT(PRODUCT(1+O7:O$40)),SUMPRODUCT(PRODUCT(1+O7:O$39))),4)</f>
        <v>#REF!</v>
      </c>
      <c r="Z7" s="2207" t="e">
        <f t="shared" ref="Z7" si="33">Y7</f>
        <v>#REF!</v>
      </c>
      <c r="AA7" s="2207" t="e">
        <f>ROUND(IF(项目基本情况!#REF!="出让",SUMPRODUCT(PRODUCT(1+P7:P$40)),SUMPRODUCT(PRODUCT(1+P7:P$39))),4)</f>
        <v>#REF!</v>
      </c>
      <c r="AB7" s="2207" t="e">
        <f>ROUND(IF(项目基本情况!#REF!="出让",SUMPRODUCT(PRODUCT(1+Q7:Q$40)),SUMPRODUCT(PRODUCT(1+Q7:Q$39))),4)</f>
        <v>#REF!</v>
      </c>
      <c r="AC7" s="2207"/>
      <c r="AD7" s="2208">
        <f>ROUND(AVERAGE(I7:I$40)/100,4)</f>
        <v>1.6400000000000001E-2</v>
      </c>
      <c r="AE7" s="2208">
        <f>ROUND(AVERAGE(J7:J$40)/100,4)</f>
        <v>1.03E-2</v>
      </c>
      <c r="AF7" s="2208">
        <f t="shared" ref="AF7" si="34">AE7</f>
        <v>1.03E-2</v>
      </c>
      <c r="AG7" s="2208">
        <f>ROUND(AVERAGE(K7:K$40)/100,4)</f>
        <v>1.7600000000000001E-2</v>
      </c>
      <c r="AH7" s="2208">
        <f>ROUND(AVERAGE(L7:L$40)/100,4)</f>
        <v>1.1599999999999999E-2</v>
      </c>
    </row>
    <row r="8" spans="1:34" s="2209" customFormat="1">
      <c r="A8" s="2202" t="s">
        <v>3363</v>
      </c>
      <c r="B8" s="2203">
        <f t="shared" ref="B8" si="35">B9*(1+N8)</f>
        <v>510.07089659554606</v>
      </c>
      <c r="C8" s="2203">
        <f t="shared" ref="C8" si="36">C9*(1+O8)</f>
        <v>352.55593185737411</v>
      </c>
      <c r="D8" s="2203">
        <f t="shared" ref="D8" si="37">C8</f>
        <v>352.55593185737411</v>
      </c>
      <c r="E8" s="2203">
        <f t="shared" ref="E8" si="38">E9*(1+P8)</f>
        <v>737.27992463403655</v>
      </c>
      <c r="F8" s="2203">
        <f t="shared" ref="F8" si="39">F9*(1+Q8)</f>
        <v>335.88319198297864</v>
      </c>
      <c r="G8" s="3432">
        <v>2022</v>
      </c>
      <c r="H8" s="2204">
        <v>1</v>
      </c>
      <c r="I8" s="2166"/>
      <c r="J8" s="2166"/>
      <c r="K8" s="2166">
        <v>0</v>
      </c>
      <c r="L8" s="2167">
        <v>0</v>
      </c>
      <c r="M8" s="2189"/>
      <c r="N8" s="2205">
        <f t="shared" ref="N8" si="40">I8/100</f>
        <v>0</v>
      </c>
      <c r="O8" s="2190">
        <f t="shared" ref="O8" si="41">J8/100</f>
        <v>0</v>
      </c>
      <c r="P8" s="2190">
        <f t="shared" ref="P8" si="42">K8/100</f>
        <v>0</v>
      </c>
      <c r="Q8" s="2190">
        <f t="shared" ref="Q8" si="43">L8/100</f>
        <v>0</v>
      </c>
      <c r="R8" s="2206"/>
      <c r="S8" s="2205"/>
      <c r="T8" s="2190"/>
      <c r="U8" s="2190"/>
      <c r="V8" s="2190"/>
      <c r="W8" s="2207"/>
      <c r="X8" s="2207">
        <f>ROUND(IF(项目基本情况!B1="出让",SUMPRODUCT(PRODUCT(1+N8:N$40)),SUMPRODUCT(PRODUCT(1+N8:N$39))),4)</f>
        <v>1.6585000000000001</v>
      </c>
      <c r="Y8" s="2207">
        <f>ROUND(IF(项目基本情况!B1="出让",SUMPRODUCT(PRODUCT(1+O8:O$40)),SUMPRODUCT(PRODUCT(1+O8:O$39))),4)</f>
        <v>1.3676999999999999</v>
      </c>
      <c r="Z8" s="2207">
        <f t="shared" ref="Z8" si="44">Y8</f>
        <v>1.3676999999999999</v>
      </c>
      <c r="AA8" s="2207">
        <f>ROUND(IF(项目基本情况!B1="出让",SUMPRODUCT(PRODUCT(1+P8:P$40)),SUMPRODUCT(PRODUCT(1+P8:P$39))),4)</f>
        <v>1.7434000000000001</v>
      </c>
      <c r="AB8" s="2207">
        <f>ROUND(IF(项目基本情况!B1="出让",SUMPRODUCT(PRODUCT(1+Q8:Q$40)),SUMPRODUCT(PRODUCT(1+Q8:Q$39))),4)</f>
        <v>1.4609000000000001</v>
      </c>
      <c r="AC8" s="2207"/>
      <c r="AD8" s="2208">
        <f>ROUND(AVERAGE(I8:I$40)/100,4)</f>
        <v>1.6899999999999998E-2</v>
      </c>
      <c r="AE8" s="2208">
        <f>ROUND(AVERAGE(J8:J$40)/100,4)</f>
        <v>1.06E-2</v>
      </c>
      <c r="AF8" s="2208">
        <f t="shared" ref="AF8" si="45">AE8</f>
        <v>1.06E-2</v>
      </c>
      <c r="AG8" s="2208">
        <f>ROUND(AVERAGE(K8:K$40)/100,4)</f>
        <v>1.8100000000000002E-2</v>
      </c>
      <c r="AH8" s="2208">
        <f>ROUND(AVERAGE(L8:L$40)/100,4)</f>
        <v>1.2E-2</v>
      </c>
    </row>
    <row r="9" spans="1:34" s="2209" customFormat="1">
      <c r="A9" s="2202" t="s">
        <v>2437</v>
      </c>
      <c r="B9" s="2203">
        <f t="shared" ref="B9" si="46">B10*(1+N9)</f>
        <v>510.07089659554606</v>
      </c>
      <c r="C9" s="2203">
        <f t="shared" ref="C9" si="47">C10*(1+O9)</f>
        <v>352.55593185737411</v>
      </c>
      <c r="D9" s="2203">
        <f t="shared" ref="D9" si="48">C9</f>
        <v>352.55593185737411</v>
      </c>
      <c r="E9" s="2203">
        <f t="shared" ref="E9" si="49">E10*(1+P9)</f>
        <v>737.27992463403655</v>
      </c>
      <c r="F9" s="2203">
        <f t="shared" ref="F9" si="50">F10*(1+Q9)</f>
        <v>335.88319198297864</v>
      </c>
      <c r="G9" s="3001">
        <v>2021</v>
      </c>
      <c r="H9" s="2204">
        <v>4</v>
      </c>
      <c r="I9" s="2166">
        <v>1.03</v>
      </c>
      <c r="J9" s="2166">
        <v>0.24</v>
      </c>
      <c r="K9" s="2166">
        <v>1.17</v>
      </c>
      <c r="L9" s="2167">
        <v>0.55000000000000004</v>
      </c>
      <c r="M9" s="2189"/>
      <c r="N9" s="2205">
        <f t="shared" ref="N9" si="51">I9/100</f>
        <v>1.03E-2</v>
      </c>
      <c r="O9" s="2190">
        <f t="shared" ref="O9" si="52">J9/100</f>
        <v>2.3999999999999998E-3</v>
      </c>
      <c r="P9" s="2190">
        <f t="shared" ref="P9" si="53">K9/100</f>
        <v>1.1699999999999999E-2</v>
      </c>
      <c r="Q9" s="2190">
        <f t="shared" ref="Q9" si="54">L9/100</f>
        <v>5.5000000000000005E-3</v>
      </c>
      <c r="R9" s="2206"/>
      <c r="S9" s="2205"/>
      <c r="T9" s="2190"/>
      <c r="U9" s="2190"/>
      <c r="V9" s="2190"/>
      <c r="W9" s="2207"/>
      <c r="X9" s="2207">
        <f>ROUND(IF(项目基本情况!B2="出让",SUMPRODUCT(PRODUCT(1+N9:N$40)),SUMPRODUCT(PRODUCT(1+N9:N$39))),4)</f>
        <v>1.6585000000000001</v>
      </c>
      <c r="Y9" s="2207">
        <f>ROUND(IF(项目基本情况!B2="出让",SUMPRODUCT(PRODUCT(1+O9:O$40)),SUMPRODUCT(PRODUCT(1+O9:O$39))),4)</f>
        <v>1.3676999999999999</v>
      </c>
      <c r="Z9" s="2207">
        <f t="shared" ref="Z9" si="55">Y9</f>
        <v>1.3676999999999999</v>
      </c>
      <c r="AA9" s="2207">
        <f>ROUND(IF(项目基本情况!B2="出让",SUMPRODUCT(PRODUCT(1+P9:P$40)),SUMPRODUCT(PRODUCT(1+P9:P$39))),4)</f>
        <v>1.7434000000000001</v>
      </c>
      <c r="AB9" s="2207">
        <f>ROUND(IF(项目基本情况!B2="出让",SUMPRODUCT(PRODUCT(1+Q9:Q$40)),SUMPRODUCT(PRODUCT(1+Q9:Q$39))),4)</f>
        <v>1.4609000000000001</v>
      </c>
      <c r="AC9" s="2207"/>
      <c r="AD9" s="2208">
        <f>ROUND(AVERAGE(I9:I$40)/100,4)</f>
        <v>1.6899999999999998E-2</v>
      </c>
      <c r="AE9" s="2208">
        <f>ROUND(AVERAGE(J9:J$40)/100,4)</f>
        <v>1.06E-2</v>
      </c>
      <c r="AF9" s="2208">
        <f t="shared" ref="AF9" si="56">AE9</f>
        <v>1.06E-2</v>
      </c>
      <c r="AG9" s="2208">
        <f>ROUND(AVERAGE(K9:K$40)/100,4)</f>
        <v>1.8700000000000001E-2</v>
      </c>
      <c r="AH9" s="2208">
        <f>ROUND(AVERAGE(L9:L$40)/100,4)</f>
        <v>1.24E-2</v>
      </c>
    </row>
    <row r="10" spans="1:34" s="2209" customFormat="1">
      <c r="A10" s="2202" t="s">
        <v>2314</v>
      </c>
      <c r="B10" s="2203">
        <f t="shared" ref="B10" si="57">B11*(1+N10)</f>
        <v>504.87072809615569</v>
      </c>
      <c r="C10" s="2203">
        <f t="shared" ref="C10" si="58">C11*(1+O10)</f>
        <v>351.71182348101968</v>
      </c>
      <c r="D10" s="2203">
        <f t="shared" ref="D10" si="59">C10</f>
        <v>351.71182348101968</v>
      </c>
      <c r="E10" s="2203">
        <f t="shared" ref="E10" si="60">E11*(1+P10)</f>
        <v>728.75350858360832</v>
      </c>
      <c r="F10" s="2203">
        <f t="shared" ref="F10" si="61">F11*(1+Q10)</f>
        <v>334.04593931673656</v>
      </c>
      <c r="G10" s="2826">
        <v>2021</v>
      </c>
      <c r="H10" s="2204">
        <v>3</v>
      </c>
      <c r="I10" s="2166">
        <v>0.47</v>
      </c>
      <c r="J10" s="2166">
        <v>0.41</v>
      </c>
      <c r="K10" s="2166">
        <v>0.48</v>
      </c>
      <c r="L10" s="2167">
        <v>0.48</v>
      </c>
      <c r="M10" s="2189"/>
      <c r="N10" s="2205">
        <f t="shared" ref="N10" si="62">I10/100</f>
        <v>4.6999999999999993E-3</v>
      </c>
      <c r="O10" s="2190">
        <f t="shared" ref="O10" si="63">J10/100</f>
        <v>4.0999999999999995E-3</v>
      </c>
      <c r="P10" s="2190">
        <f t="shared" ref="P10" si="64">K10/100</f>
        <v>4.7999999999999996E-3</v>
      </c>
      <c r="Q10" s="2190">
        <f t="shared" ref="Q10" si="65">L10/100</f>
        <v>4.7999999999999996E-3</v>
      </c>
      <c r="R10" s="2206"/>
      <c r="S10" s="2205"/>
      <c r="T10" s="2190"/>
      <c r="U10" s="2190"/>
      <c r="V10" s="2190"/>
      <c r="W10" s="2207"/>
      <c r="X10" s="2207">
        <f>ROUND(IF(项目基本情况!B3="出让",SUMPRODUCT(PRODUCT(1+N10:N$40)),SUMPRODUCT(PRODUCT(1+N10:N$39))),4)</f>
        <v>1.6415999999999999</v>
      </c>
      <c r="Y10" s="2207">
        <f>ROUND(IF(项目基本情况!B3="出让",SUMPRODUCT(PRODUCT(1+O10:O$40)),SUMPRODUCT(PRODUCT(1+O10:O$39))),4)</f>
        <v>1.3644000000000001</v>
      </c>
      <c r="Z10" s="2207">
        <f t="shared" ref="Z10" si="66">Y10</f>
        <v>1.3644000000000001</v>
      </c>
      <c r="AA10" s="2207">
        <f>ROUND(IF(项目基本情况!B3="出让",SUMPRODUCT(PRODUCT(1+P10:P$40)),SUMPRODUCT(PRODUCT(1+P10:P$39))),4)</f>
        <v>1.7232000000000001</v>
      </c>
      <c r="AB10" s="2207">
        <f>ROUND(IF(项目基本情况!B3="出让",SUMPRODUCT(PRODUCT(1+Q10:Q$40)),SUMPRODUCT(PRODUCT(1+Q10:Q$39))),4)</f>
        <v>1.4529000000000001</v>
      </c>
      <c r="AC10" s="2207"/>
      <c r="AD10" s="2208">
        <f>ROUND(AVERAGE(I10:I$40)/100,4)</f>
        <v>1.72E-2</v>
      </c>
      <c r="AE10" s="2208">
        <f>ROUND(AVERAGE(J10:J$40)/100,4)</f>
        <v>1.09E-2</v>
      </c>
      <c r="AF10" s="2208">
        <f t="shared" ref="AF10" si="67">AE10</f>
        <v>1.09E-2</v>
      </c>
      <c r="AG10" s="2208">
        <f>ROUND(AVERAGE(K10:K$40)/100,4)</f>
        <v>1.89E-2</v>
      </c>
      <c r="AH10" s="2208">
        <f>ROUND(AVERAGE(L10:L$40)/100,4)</f>
        <v>1.26E-2</v>
      </c>
    </row>
    <row r="11" spans="1:34" s="2209" customFormat="1">
      <c r="A11" s="2202" t="s">
        <v>2313</v>
      </c>
      <c r="B11" s="2203">
        <f t="shared" ref="B11" si="68">B12*(1+N11)</f>
        <v>502.50893609650217</v>
      </c>
      <c r="C11" s="2203">
        <f t="shared" ref="C11" si="69">C12*(1+O11)</f>
        <v>350.27569313914915</v>
      </c>
      <c r="D11" s="2203">
        <f t="shared" ref="D11" si="70">C11</f>
        <v>350.27569313914915</v>
      </c>
      <c r="E11" s="2203">
        <f t="shared" ref="E11" si="71">E12*(1+P11)</f>
        <v>725.27220201394141</v>
      </c>
      <c r="F11" s="2203">
        <f t="shared" ref="F11" si="72">F12*(1+Q11)</f>
        <v>332.45017846012797</v>
      </c>
      <c r="G11" s="2825">
        <v>2021</v>
      </c>
      <c r="H11" s="2204">
        <v>2</v>
      </c>
      <c r="I11" s="2166">
        <v>0.92</v>
      </c>
      <c r="J11" s="2166">
        <v>0.72</v>
      </c>
      <c r="K11" s="2166">
        <v>0.95</v>
      </c>
      <c r="L11" s="2167">
        <v>1.01</v>
      </c>
      <c r="M11" s="2189"/>
      <c r="N11" s="2205">
        <f t="shared" ref="N11" si="73">I11/100</f>
        <v>9.1999999999999998E-3</v>
      </c>
      <c r="O11" s="2190">
        <f t="shared" ref="O11" si="74">J11/100</f>
        <v>7.1999999999999998E-3</v>
      </c>
      <c r="P11" s="2190">
        <f t="shared" ref="P11" si="75">K11/100</f>
        <v>9.4999999999999998E-3</v>
      </c>
      <c r="Q11" s="2190">
        <f t="shared" ref="Q11" si="76">L11/100</f>
        <v>1.01E-2</v>
      </c>
      <c r="R11" s="2206"/>
      <c r="S11" s="2205"/>
      <c r="T11" s="2190"/>
      <c r="U11" s="2190"/>
      <c r="V11" s="2190"/>
      <c r="W11" s="2207"/>
      <c r="X11" s="2207">
        <f>ROUND(IF(项目基本情况!B4="出让",SUMPRODUCT(PRODUCT(1+N11:N$40)),SUMPRODUCT(PRODUCT(1+N11:N$39))),4)</f>
        <v>1.6338999999999999</v>
      </c>
      <c r="Y11" s="2207">
        <f>ROUND(IF(项目基本情况!B4="出让",SUMPRODUCT(PRODUCT(1+O11:O$40)),SUMPRODUCT(PRODUCT(1+O11:O$39))),4)</f>
        <v>1.3588</v>
      </c>
      <c r="Z11" s="2207">
        <f t="shared" ref="Z11" si="77">Y11</f>
        <v>1.3588</v>
      </c>
      <c r="AA11" s="2207">
        <f>ROUND(IF(项目基本情况!B4="出让",SUMPRODUCT(PRODUCT(1+P11:P$40)),SUMPRODUCT(PRODUCT(1+P11:P$39))),4)</f>
        <v>1.7150000000000001</v>
      </c>
      <c r="AB11" s="2207">
        <f>ROUND(IF(项目基本情况!B4="出让",SUMPRODUCT(PRODUCT(1+Q11:Q$40)),SUMPRODUCT(PRODUCT(1+Q11:Q$39))),4)</f>
        <v>1.446</v>
      </c>
      <c r="AC11" s="2207"/>
      <c r="AD11" s="2208">
        <f>ROUND(AVERAGE(I11:I$40)/100,4)</f>
        <v>1.7600000000000001E-2</v>
      </c>
      <c r="AE11" s="2208">
        <f>ROUND(AVERAGE(J11:J$40)/100,4)</f>
        <v>1.11E-2</v>
      </c>
      <c r="AF11" s="2208">
        <f t="shared" ref="AF11" si="78">AE11</f>
        <v>1.11E-2</v>
      </c>
      <c r="AG11" s="2208">
        <f>ROUND(AVERAGE(K11:K$40)/100,4)</f>
        <v>1.9400000000000001E-2</v>
      </c>
      <c r="AH11" s="2208">
        <f>ROUND(AVERAGE(L11:L$40)/100,4)</f>
        <v>1.2800000000000001E-2</v>
      </c>
    </row>
    <row r="12" spans="1:34" s="2209" customFormat="1">
      <c r="A12" s="2202" t="s">
        <v>2312</v>
      </c>
      <c r="B12" s="2203">
        <f t="shared" ref="B12" si="79">B13*(1+N12)</f>
        <v>497.92799851020823</v>
      </c>
      <c r="C12" s="2203">
        <f t="shared" ref="C12" si="80">C13*(1+O12)</f>
        <v>347.77173663537445</v>
      </c>
      <c r="D12" s="2203">
        <f t="shared" ref="D12" si="81">C12</f>
        <v>347.77173663537445</v>
      </c>
      <c r="E12" s="2203">
        <f t="shared" ref="E12" si="82">E13*(1+P12)</f>
        <v>718.44695593258189</v>
      </c>
      <c r="F12" s="2203">
        <f t="shared" ref="F12" si="83">F13*(1+Q12)</f>
        <v>329.12600580153247</v>
      </c>
      <c r="G12" s="2809">
        <v>2021</v>
      </c>
      <c r="H12" s="2204">
        <v>1</v>
      </c>
      <c r="I12" s="2166">
        <v>0.97</v>
      </c>
      <c r="J12" s="2166">
        <v>0.16</v>
      </c>
      <c r="K12" s="2166">
        <v>1.1100000000000001</v>
      </c>
      <c r="L12" s="2167">
        <v>0.36</v>
      </c>
      <c r="M12" s="2189"/>
      <c r="N12" s="2205">
        <f t="shared" ref="N12" si="84">I12/100</f>
        <v>9.7000000000000003E-3</v>
      </c>
      <c r="O12" s="2190">
        <f t="shared" ref="O12" si="85">J12/100</f>
        <v>1.6000000000000001E-3</v>
      </c>
      <c r="P12" s="2190">
        <f t="shared" ref="P12" si="86">K12/100</f>
        <v>1.11E-2</v>
      </c>
      <c r="Q12" s="2190">
        <f t="shared" ref="Q12" si="87">L12/100</f>
        <v>3.5999999999999999E-3</v>
      </c>
      <c r="R12" s="2206"/>
      <c r="S12" s="2205">
        <f>B12/B13-1</f>
        <v>9.7000000000000419E-3</v>
      </c>
      <c r="T12" s="2190">
        <f t="shared" ref="T12" si="88">C12/C13-1</f>
        <v>1.6000000000000458E-3</v>
      </c>
      <c r="U12" s="2190">
        <f t="shared" ref="U12" si="89">D12/D13-1</f>
        <v>1.6000000000000458E-3</v>
      </c>
      <c r="V12" s="2190">
        <f t="shared" ref="V12" si="90">E12/E13-1</f>
        <v>1.110000000000011E-2</v>
      </c>
      <c r="W12" s="2207"/>
      <c r="X12" s="2207">
        <f>ROUND(IF(项目基本情况!B5="出让",SUMPRODUCT(PRODUCT(1+N12:N$40)),SUMPRODUCT(PRODUCT(1+N12:N$39))),4)</f>
        <v>1.619</v>
      </c>
      <c r="Y12" s="2207">
        <f>ROUND(IF(项目基本情况!B5="出让",SUMPRODUCT(PRODUCT(1+O12:O$40)),SUMPRODUCT(PRODUCT(1+O12:O$39))),4)</f>
        <v>1.3491</v>
      </c>
      <c r="Z12" s="2207">
        <f t="shared" ref="Z12" si="91">Y12</f>
        <v>1.3491</v>
      </c>
      <c r="AA12" s="2207">
        <f>ROUND(IF(项目基本情况!B5="出让",SUMPRODUCT(PRODUCT(1+P12:P$40)),SUMPRODUCT(PRODUCT(1+P12:P$39))),4)</f>
        <v>1.6988000000000001</v>
      </c>
      <c r="AB12" s="2207">
        <f>ROUND(IF(项目基本情况!B5="出让",SUMPRODUCT(PRODUCT(1+Q12:Q$40)),SUMPRODUCT(PRODUCT(1+Q12:Q$39))),4)</f>
        <v>1.4315</v>
      </c>
      <c r="AC12" s="2207"/>
      <c r="AD12" s="2208">
        <f>ROUND(AVERAGE(I12:I$40)/100,4)</f>
        <v>1.7899999999999999E-2</v>
      </c>
      <c r="AE12" s="2208">
        <f>ROUND(AVERAGE(J12:J$40)/100,4)</f>
        <v>1.12E-2</v>
      </c>
      <c r="AF12" s="2208">
        <f t="shared" ref="AF12" si="92">AE12</f>
        <v>1.12E-2</v>
      </c>
      <c r="AG12" s="2208">
        <f>ROUND(AVERAGE(K12:K$40)/100,4)</f>
        <v>1.9699999999999999E-2</v>
      </c>
      <c r="AH12" s="2208">
        <f>ROUND(AVERAGE(L12:L$40)/100,4)</f>
        <v>1.29E-2</v>
      </c>
    </row>
    <row r="13" spans="1:34" s="2209" customFormat="1">
      <c r="A13" s="2202" t="s">
        <v>2310</v>
      </c>
      <c r="B13" s="2203">
        <f t="shared" ref="B13" si="93">B14*(1+N13)</f>
        <v>493.14449689037161</v>
      </c>
      <c r="C13" s="2203">
        <f t="shared" ref="C13" si="94">C14*(1+O13)</f>
        <v>347.21619073020611</v>
      </c>
      <c r="D13" s="2203">
        <f t="shared" ref="D13" si="95">C13</f>
        <v>347.21619073020611</v>
      </c>
      <c r="E13" s="2203">
        <f t="shared" ref="E13" si="96">E14*(1+P13)</f>
        <v>710.55974278763904</v>
      </c>
      <c r="F13" s="2203">
        <f t="shared" ref="F13" si="97">F14*(1+Q13)</f>
        <v>327.94540235306141</v>
      </c>
      <c r="G13" s="2808">
        <v>2020</v>
      </c>
      <c r="H13" s="2204">
        <v>4</v>
      </c>
      <c r="I13" s="2166">
        <v>2.0699999999999998</v>
      </c>
      <c r="J13" s="2166">
        <v>0.37</v>
      </c>
      <c r="K13" s="2166">
        <v>2.35</v>
      </c>
      <c r="L13" s="2167">
        <v>2.69</v>
      </c>
      <c r="M13" s="2189"/>
      <c r="N13" s="2205">
        <f t="shared" ref="N13" si="98">I13/100</f>
        <v>2.07E-2</v>
      </c>
      <c r="O13" s="2190">
        <f t="shared" ref="O13" si="99">J13/100</f>
        <v>3.7000000000000002E-3</v>
      </c>
      <c r="P13" s="2190">
        <f t="shared" ref="P13" si="100">K13/100</f>
        <v>2.35E-2</v>
      </c>
      <c r="Q13" s="2190">
        <f t="shared" ref="Q13" si="101">L13/100</f>
        <v>2.69E-2</v>
      </c>
      <c r="R13" s="2206"/>
      <c r="S13" s="2205"/>
      <c r="T13" s="2190"/>
      <c r="U13" s="2190"/>
      <c r="V13" s="2190"/>
      <c r="W13" s="2207"/>
      <c r="X13" s="2207">
        <f>ROUND(IF(项目基本情况!B6="出让",SUMPRODUCT(PRODUCT(1+N13:N$40)),SUMPRODUCT(PRODUCT(1+N13:N$39))),4)</f>
        <v>1.6034999999999999</v>
      </c>
      <c r="Y13" s="2207">
        <f>ROUND(IF(项目基本情况!B6="出让",SUMPRODUCT(PRODUCT(1+O13:O$40)),SUMPRODUCT(PRODUCT(1+O13:O$39))),4)</f>
        <v>1.3469</v>
      </c>
      <c r="Z13" s="2207">
        <f t="shared" ref="Z13" si="102">Y13</f>
        <v>1.3469</v>
      </c>
      <c r="AA13" s="2207">
        <f>ROUND(IF(项目基本情况!B6="出让",SUMPRODUCT(PRODUCT(1+P13:P$40)),SUMPRODUCT(PRODUCT(1+P13:P$39))),4)</f>
        <v>1.6801999999999999</v>
      </c>
      <c r="AB13" s="2207">
        <f>ROUND(IF(项目基本情况!B6="出让",SUMPRODUCT(PRODUCT(1+Q13:Q$40)),SUMPRODUCT(PRODUCT(1+Q13:Q$39))),4)</f>
        <v>1.4263999999999999</v>
      </c>
      <c r="AC13" s="2207"/>
      <c r="AD13" s="2208">
        <f>ROUND(AVERAGE(I13:I$40)/100,4)</f>
        <v>1.8200000000000001E-2</v>
      </c>
      <c r="AE13" s="2208">
        <f>ROUND(AVERAGE(J13:J$40)/100,4)</f>
        <v>1.1599999999999999E-2</v>
      </c>
      <c r="AF13" s="2208">
        <f t="shared" ref="AF13" si="103">AE13</f>
        <v>1.1599999999999999E-2</v>
      </c>
      <c r="AG13" s="2208">
        <f>ROUND(AVERAGE(K13:K$40)/100,4)</f>
        <v>0.02</v>
      </c>
      <c r="AH13" s="2208">
        <f>ROUND(AVERAGE(L13:L$40)/100,4)</f>
        <v>1.3299999999999999E-2</v>
      </c>
    </row>
    <row r="14" spans="1:34" s="2209" customFormat="1">
      <c r="A14" s="2202" t="s">
        <v>2309</v>
      </c>
      <c r="B14" s="2203">
        <f t="shared" ref="B14" si="104">B15*(1+N14)</f>
        <v>483.1434279321756</v>
      </c>
      <c r="C14" s="2203">
        <f t="shared" ref="C14" si="105">C15*(1+O14)</f>
        <v>345.93622669144776</v>
      </c>
      <c r="D14" s="2203">
        <f t="shared" ref="D14" si="106">C14</f>
        <v>345.93622669144776</v>
      </c>
      <c r="E14" s="2203">
        <f t="shared" ref="E14" si="107">E15*(1+P14)</f>
        <v>694.24498562544113</v>
      </c>
      <c r="F14" s="2203">
        <f t="shared" ref="F14" si="108">F15*(1+Q14)</f>
        <v>319.35475932716082</v>
      </c>
      <c r="G14" s="2805">
        <v>2020</v>
      </c>
      <c r="H14" s="2204">
        <v>3</v>
      </c>
      <c r="I14" s="2166">
        <v>0.36</v>
      </c>
      <c r="J14" s="2166">
        <v>-0.39</v>
      </c>
      <c r="K14" s="2166">
        <v>0.49</v>
      </c>
      <c r="L14" s="2167">
        <v>7.0000000000000007E-2</v>
      </c>
      <c r="M14" s="2189"/>
      <c r="N14" s="2205">
        <f t="shared" ref="N14" si="109">I14/100</f>
        <v>3.5999999999999999E-3</v>
      </c>
      <c r="O14" s="2190">
        <f t="shared" ref="O14" si="110">J14/100</f>
        <v>-3.9000000000000003E-3</v>
      </c>
      <c r="P14" s="2190">
        <f t="shared" ref="P14" si="111">K14/100</f>
        <v>4.8999999999999998E-3</v>
      </c>
      <c r="Q14" s="2190">
        <f t="shared" ref="Q14" si="112">L14/100</f>
        <v>7.000000000000001E-4</v>
      </c>
      <c r="R14" s="2206"/>
      <c r="S14" s="2205"/>
      <c r="T14" s="2190"/>
      <c r="U14" s="2190"/>
      <c r="V14" s="2190"/>
      <c r="W14" s="2207"/>
      <c r="X14" s="2207">
        <f>ROUND(IF(项目基本情况!B7="出让",SUMPRODUCT(PRODUCT(1+N14:N$40)),SUMPRODUCT(PRODUCT(1+N14:N$39))),4)</f>
        <v>1.571</v>
      </c>
      <c r="Y14" s="2207">
        <f>ROUND(IF(项目基本情况!B7="出让",SUMPRODUCT(PRODUCT(1+O14:O$40)),SUMPRODUCT(PRODUCT(1+O14:O$39))),4)</f>
        <v>1.3420000000000001</v>
      </c>
      <c r="Z14" s="2207">
        <f t="shared" ref="Z14" si="113">Y14</f>
        <v>1.3420000000000001</v>
      </c>
      <c r="AA14" s="2207">
        <f>ROUND(IF(项目基本情况!B7="出让",SUMPRODUCT(PRODUCT(1+P14:P$40)),SUMPRODUCT(PRODUCT(1+P14:P$39))),4)</f>
        <v>1.6415999999999999</v>
      </c>
      <c r="AB14" s="2207">
        <f>ROUND(IF(项目基本情况!B7="出让",SUMPRODUCT(PRODUCT(1+Q14:Q$40)),SUMPRODUCT(PRODUCT(1+Q14:Q$39))),4)</f>
        <v>1.389</v>
      </c>
      <c r="AC14" s="2207"/>
      <c r="AD14" s="2208">
        <f>ROUND(AVERAGE(I14:I$40)/100,4)</f>
        <v>1.8100000000000002E-2</v>
      </c>
      <c r="AE14" s="2208">
        <f>ROUND(AVERAGE(J14:J$40)/100,4)</f>
        <v>1.1900000000000001E-2</v>
      </c>
      <c r="AF14" s="2208">
        <f t="shared" ref="AF14" si="114">AE14</f>
        <v>1.1900000000000001E-2</v>
      </c>
      <c r="AG14" s="2208">
        <f>ROUND(AVERAGE(K14:K$40)/100,4)</f>
        <v>1.9900000000000001E-2</v>
      </c>
      <c r="AH14" s="2208">
        <f>ROUND(AVERAGE(L14:L$40)/100,4)</f>
        <v>1.2800000000000001E-2</v>
      </c>
    </row>
    <row r="15" spans="1:34" s="2209" customFormat="1">
      <c r="A15" s="2202" t="s">
        <v>2128</v>
      </c>
      <c r="B15" s="2203">
        <f t="shared" ref="B15" si="115">B16*(1+N15)</f>
        <v>481.4103506697644</v>
      </c>
      <c r="C15" s="2203">
        <f t="shared" ref="C15" si="116">C16*(1+O15)</f>
        <v>347.29066026648707</v>
      </c>
      <c r="D15" s="2203">
        <f t="shared" ref="D15" si="117">C15</f>
        <v>347.29066026648707</v>
      </c>
      <c r="E15" s="2203">
        <f t="shared" ref="E15" si="118">E16*(1+P15)</f>
        <v>690.85977273901995</v>
      </c>
      <c r="F15" s="2203">
        <f t="shared" ref="F15" si="119">F16*(1+Q15)</f>
        <v>319.13136737000184</v>
      </c>
      <c r="G15" s="2193">
        <v>2020</v>
      </c>
      <c r="H15" s="2204">
        <v>2</v>
      </c>
      <c r="I15" s="2166">
        <v>0.31</v>
      </c>
      <c r="J15" s="2166">
        <v>-0.78</v>
      </c>
      <c r="K15" s="2166">
        <v>0.5</v>
      </c>
      <c r="L15" s="2167">
        <v>0.47</v>
      </c>
      <c r="M15" s="2189"/>
      <c r="N15" s="2205">
        <f t="shared" ref="N15" si="120">I15/100</f>
        <v>3.0999999999999999E-3</v>
      </c>
      <c r="O15" s="2190">
        <f t="shared" ref="O15" si="121">J15/100</f>
        <v>-7.8000000000000005E-3</v>
      </c>
      <c r="P15" s="2190">
        <f t="shared" ref="P15" si="122">K15/100</f>
        <v>5.0000000000000001E-3</v>
      </c>
      <c r="Q15" s="2190">
        <f t="shared" ref="Q15" si="123">L15/100</f>
        <v>4.6999999999999993E-3</v>
      </c>
      <c r="R15" s="2206"/>
      <c r="S15" s="2205"/>
      <c r="T15" s="2190"/>
      <c r="U15" s="2190"/>
      <c r="V15" s="2190"/>
      <c r="W15" s="2207"/>
      <c r="X15" s="2207">
        <f>ROUND(IF(项目基本情况!B8="出让",SUMPRODUCT(PRODUCT(1+N15:N$40)),SUMPRODUCT(PRODUCT(1+N15:N$39))),4)</f>
        <v>1.5652999999999999</v>
      </c>
      <c r="Y15" s="2207">
        <f>ROUND(IF(项目基本情况!B8="出让",SUMPRODUCT(PRODUCT(1+O15:O$40)),SUMPRODUCT(PRODUCT(1+O15:O$39))),4)</f>
        <v>1.3472</v>
      </c>
      <c r="Z15" s="2207">
        <f t="shared" ref="Z15" si="124">Y15</f>
        <v>1.3472</v>
      </c>
      <c r="AA15" s="2207">
        <f>ROUND(IF(项目基本情况!B8="出让",SUMPRODUCT(PRODUCT(1+P15:P$40)),SUMPRODUCT(PRODUCT(1+P15:P$39))),4)</f>
        <v>1.6335999999999999</v>
      </c>
      <c r="AB15" s="2207">
        <f>ROUND(IF(项目基本情况!B8="出让",SUMPRODUCT(PRODUCT(1+Q15:Q$40)),SUMPRODUCT(PRODUCT(1+Q15:Q$39))),4)</f>
        <v>1.3880999999999999</v>
      </c>
      <c r="AC15" s="2207"/>
      <c r="AD15" s="2208">
        <f>ROUND(AVERAGE(I15:I$40)/100,4)</f>
        <v>1.8599999999999998E-2</v>
      </c>
      <c r="AE15" s="2208">
        <f>ROUND(AVERAGE(J15:J$40)/100,4)</f>
        <v>1.2500000000000001E-2</v>
      </c>
      <c r="AF15" s="2208">
        <f t="shared" ref="AF15" si="125">AE15</f>
        <v>1.2500000000000001E-2</v>
      </c>
      <c r="AG15" s="2208">
        <f>ROUND(AVERAGE(K15:K$40)/100,4)</f>
        <v>2.0400000000000001E-2</v>
      </c>
      <c r="AH15" s="2208">
        <f>ROUND(AVERAGE(L15:L$40)/100,4)</f>
        <v>1.32E-2</v>
      </c>
    </row>
    <row r="16" spans="1:34" s="2209" customFormat="1">
      <c r="A16" s="2202" t="s">
        <v>2126</v>
      </c>
      <c r="B16" s="2203">
        <f t="shared" ref="B16" si="126">B17*(1+N16)</f>
        <v>479.92259063878413</v>
      </c>
      <c r="C16" s="2203">
        <f t="shared" ref="C16" si="127">C17*(1+O16)</f>
        <v>350.02082268341775</v>
      </c>
      <c r="D16" s="2203">
        <f t="shared" ref="D16" si="128">C16</f>
        <v>350.02082268341775</v>
      </c>
      <c r="E16" s="2203">
        <f t="shared" ref="E16" si="129">E17*(1+P16)</f>
        <v>687.42265944181099</v>
      </c>
      <c r="F16" s="2203">
        <f t="shared" ref="F16" si="130">F17*(1+Q16)</f>
        <v>317.63846657708956</v>
      </c>
      <c r="G16" s="2193">
        <v>2020</v>
      </c>
      <c r="H16" s="2204">
        <v>1</v>
      </c>
      <c r="I16" s="2166">
        <v>0.12</v>
      </c>
      <c r="J16" s="2166">
        <v>-0.4</v>
      </c>
      <c r="K16" s="2166">
        <v>0.21</v>
      </c>
      <c r="L16" s="2167">
        <v>0.27</v>
      </c>
      <c r="M16" s="2189"/>
      <c r="N16" s="2205">
        <f t="shared" ref="N16" si="131">I16/100</f>
        <v>1.1999999999999999E-3</v>
      </c>
      <c r="O16" s="2190">
        <f t="shared" ref="O16" si="132">J16/100</f>
        <v>-4.0000000000000001E-3</v>
      </c>
      <c r="P16" s="2190">
        <f t="shared" ref="P16" si="133">K16/100</f>
        <v>2.0999999999999999E-3</v>
      </c>
      <c r="Q16" s="2190">
        <f t="shared" ref="Q16" si="134">L16/100</f>
        <v>2.7000000000000001E-3</v>
      </c>
      <c r="R16" s="2206"/>
      <c r="S16" s="2205">
        <f>B16/B17-1</f>
        <v>1.2000000000000899E-3</v>
      </c>
      <c r="T16" s="2190">
        <f t="shared" ref="T16" si="135">C16/C17-1</f>
        <v>-4.0000000000000036E-3</v>
      </c>
      <c r="U16" s="2190">
        <f t="shared" ref="U16" si="136">D16/D17-1</f>
        <v>-4.0000000000000036E-3</v>
      </c>
      <c r="V16" s="2190">
        <f t="shared" ref="V16" si="137">E16/E17-1</f>
        <v>2.0999999999999908E-3</v>
      </c>
      <c r="W16" s="2207"/>
      <c r="X16" s="2207">
        <f>ROUND(IF(项目基本情况!B8="出让",SUMPRODUCT(PRODUCT(1+N16:N$40)),SUMPRODUCT(PRODUCT(1+N16:N$39))),4)</f>
        <v>1.5605</v>
      </c>
      <c r="Y16" s="2207">
        <f>ROUND(IF(项目基本情况!B8="出让",SUMPRODUCT(PRODUCT(1+O16:O$40)),SUMPRODUCT(PRODUCT(1+O16:O$39))),4)</f>
        <v>1.3577999999999999</v>
      </c>
      <c r="Z16" s="2207">
        <f t="shared" ref="Z16" si="138">Y16</f>
        <v>1.3577999999999999</v>
      </c>
      <c r="AA16" s="2207">
        <f>ROUND(IF(项目基本情况!B8="出让",SUMPRODUCT(PRODUCT(1+P16:P$40)),SUMPRODUCT(PRODUCT(1+P16:P$39))),4)</f>
        <v>1.6254999999999999</v>
      </c>
      <c r="AB16" s="2207">
        <f>ROUND(IF(项目基本情况!B8="出让",SUMPRODUCT(PRODUCT(1+Q16:Q$40)),SUMPRODUCT(PRODUCT(1+Q16:Q$39))),4)</f>
        <v>1.3815999999999999</v>
      </c>
      <c r="AC16" s="2207"/>
      <c r="AD16" s="2208">
        <f>ROUND(AVERAGE(I16:I$40)/100,4)</f>
        <v>1.9199999999999998E-2</v>
      </c>
      <c r="AE16" s="2208">
        <f>ROUND(AVERAGE(J16:J$40)/100,4)</f>
        <v>1.3299999999999999E-2</v>
      </c>
      <c r="AF16" s="2208">
        <f t="shared" ref="AF16" si="139">AE16</f>
        <v>1.3299999999999999E-2</v>
      </c>
      <c r="AG16" s="2208">
        <f>ROUND(AVERAGE(K16:K$40)/100,4)</f>
        <v>2.1100000000000001E-2</v>
      </c>
      <c r="AH16" s="2208">
        <f>ROUND(AVERAGE(L16:L$40)/100,4)</f>
        <v>1.3599999999999999E-2</v>
      </c>
    </row>
    <row r="17" spans="1:34" s="2209" customFormat="1">
      <c r="A17" s="2202" t="s">
        <v>2125</v>
      </c>
      <c r="B17" s="2203">
        <f t="shared" ref="B17" si="140">B18*(1+N17)</f>
        <v>479.34737379023579</v>
      </c>
      <c r="C17" s="2203">
        <f t="shared" ref="C17" si="141">C18*(1+O17)</f>
        <v>351.4265287986122</v>
      </c>
      <c r="D17" s="2203">
        <f t="shared" ref="D17" si="142">C17</f>
        <v>351.4265287986122</v>
      </c>
      <c r="E17" s="2203">
        <f t="shared" ref="E17" si="143">E18*(1+P17)</f>
        <v>685.98209703803116</v>
      </c>
      <c r="F17" s="2203">
        <f t="shared" ref="F17" si="144">F18*(1+Q17)</f>
        <v>316.78315206651001</v>
      </c>
      <c r="G17" s="2193">
        <v>2019</v>
      </c>
      <c r="H17" s="2204">
        <v>4</v>
      </c>
      <c r="I17" s="2204">
        <v>0.45</v>
      </c>
      <c r="J17" s="2204">
        <v>-0.12</v>
      </c>
      <c r="K17" s="2204">
        <v>0.54</v>
      </c>
      <c r="L17" s="2210">
        <v>0.48</v>
      </c>
      <c r="M17" s="2189"/>
      <c r="N17" s="2205">
        <f t="shared" ref="N17:N22" si="145">I17/100</f>
        <v>4.5000000000000005E-3</v>
      </c>
      <c r="O17" s="2190">
        <f t="shared" ref="O17" si="146">J17/100</f>
        <v>-1.1999999999999999E-3</v>
      </c>
      <c r="P17" s="2190">
        <f t="shared" ref="P17" si="147">K17/100</f>
        <v>5.4000000000000003E-3</v>
      </c>
      <c r="Q17" s="2190">
        <f t="shared" ref="Q17" si="148">L17/100</f>
        <v>4.7999999999999996E-3</v>
      </c>
      <c r="R17" s="2206"/>
      <c r="S17" s="2205"/>
      <c r="T17" s="2190"/>
      <c r="U17" s="2190"/>
      <c r="V17" s="2190"/>
      <c r="W17" s="2207"/>
      <c r="X17" s="2207">
        <f>ROUND(IF(项目基本情况!B8="出让",SUMPRODUCT(PRODUCT(1+N17:N$40)),SUMPRODUCT(PRODUCT(1+N17:N$39))),4)</f>
        <v>1.5586</v>
      </c>
      <c r="Y17" s="2207">
        <f>ROUND(IF(项目基本情况!B8="出让",SUMPRODUCT(PRODUCT(1+O17:O$40)),SUMPRODUCT(PRODUCT(1+O17:O$39))),4)</f>
        <v>1.3633</v>
      </c>
      <c r="Z17" s="2207">
        <f t="shared" ref="Z17" si="149">Y17</f>
        <v>1.3633</v>
      </c>
      <c r="AA17" s="2207">
        <f>ROUND(IF(项目基本情况!B8="出让",SUMPRODUCT(PRODUCT(1+P17:P$40)),SUMPRODUCT(PRODUCT(1+P17:P$39))),4)</f>
        <v>1.6221000000000001</v>
      </c>
      <c r="AB17" s="2207">
        <f>ROUND(IF(项目基本情况!B8="出让",SUMPRODUCT(PRODUCT(1+Q17:Q$40)),SUMPRODUCT(PRODUCT(1+Q17:Q$39))),4)</f>
        <v>1.3777999999999999</v>
      </c>
      <c r="AC17" s="2207"/>
      <c r="AD17" s="2208">
        <f>ROUND(AVERAGE(I17:I$40)/100,4)</f>
        <v>0.02</v>
      </c>
      <c r="AE17" s="2208">
        <f>ROUND(AVERAGE(J17:J$40)/100,4)</f>
        <v>1.4E-2</v>
      </c>
      <c r="AF17" s="2208">
        <f t="shared" ref="AF17" si="150">AE17</f>
        <v>1.4E-2</v>
      </c>
      <c r="AG17" s="2208">
        <f>ROUND(AVERAGE(K17:K$40)/100,4)</f>
        <v>2.1899999999999999E-2</v>
      </c>
      <c r="AH17" s="2208">
        <f>ROUND(AVERAGE(L17:L$40)/100,4)</f>
        <v>1.4E-2</v>
      </c>
    </row>
    <row r="18" spans="1:34" s="2209" customFormat="1" ht="13.5" thickBot="1">
      <c r="A18" s="2202" t="s">
        <v>2124</v>
      </c>
      <c r="B18" s="2203">
        <f t="shared" ref="B18" si="151">B19*(1+N18)</f>
        <v>477.19997390765138</v>
      </c>
      <c r="C18" s="2203">
        <f t="shared" ref="C18" si="152">C19*(1+O18)</f>
        <v>351.84874729536665</v>
      </c>
      <c r="D18" s="2203">
        <f t="shared" ref="D18" si="153">C18</f>
        <v>351.84874729536665</v>
      </c>
      <c r="E18" s="2203">
        <f t="shared" ref="E18" si="154">E19*(1+P18)</f>
        <v>682.29768951465201</v>
      </c>
      <c r="F18" s="2203">
        <f t="shared" ref="F18" si="155">F19*(1+Q18)</f>
        <v>315.26985675409043</v>
      </c>
      <c r="G18" s="2193">
        <v>2019</v>
      </c>
      <c r="H18" s="2204">
        <v>3</v>
      </c>
      <c r="I18" s="2204">
        <v>0.61</v>
      </c>
      <c r="J18" s="2204">
        <v>0.67</v>
      </c>
      <c r="K18" s="2204">
        <v>0.6</v>
      </c>
      <c r="L18" s="2210">
        <v>1.03</v>
      </c>
      <c r="M18" s="2189"/>
      <c r="N18" s="2205">
        <f t="shared" si="145"/>
        <v>6.0999999999999995E-3</v>
      </c>
      <c r="O18" s="2190">
        <f t="shared" ref="O18" si="156">J18/100</f>
        <v>6.7000000000000002E-3</v>
      </c>
      <c r="P18" s="2190">
        <f t="shared" ref="P18" si="157">K18/100</f>
        <v>6.0000000000000001E-3</v>
      </c>
      <c r="Q18" s="2190">
        <f t="shared" ref="Q18" si="158">L18/100</f>
        <v>1.03E-2</v>
      </c>
      <c r="R18" s="2206"/>
      <c r="S18" s="2205"/>
      <c r="T18" s="2190"/>
      <c r="U18" s="2190"/>
      <c r="V18" s="2190"/>
      <c r="W18" s="2207"/>
      <c r="X18" s="2207">
        <f>ROUND(IF(项目基本情况!B8="出让",SUMPRODUCT(PRODUCT(1+N18:N$40)),SUMPRODUCT(PRODUCT(1+N18:N$39))),4)</f>
        <v>1.5516000000000001</v>
      </c>
      <c r="Y18" s="2207">
        <f>ROUND(IF(项目基本情况!B8="出让",SUMPRODUCT(PRODUCT(1+O18:O$40)),SUMPRODUCT(PRODUCT(1+O18:O$39))),4)</f>
        <v>1.3649</v>
      </c>
      <c r="Z18" s="2207">
        <f t="shared" ref="Z18" si="159">Y18</f>
        <v>1.3649</v>
      </c>
      <c r="AA18" s="2207">
        <f>ROUND(IF(项目基本情况!B8="出让",SUMPRODUCT(PRODUCT(1+P18:P$40)),SUMPRODUCT(PRODUCT(1+P18:P$39))),4)</f>
        <v>1.6133999999999999</v>
      </c>
      <c r="AB18" s="2207">
        <f>ROUND(IF(项目基本情况!B8="出让",SUMPRODUCT(PRODUCT(1+Q18:Q$40)),SUMPRODUCT(PRODUCT(1+Q18:Q$39))),4)</f>
        <v>1.3713</v>
      </c>
      <c r="AC18" s="2207"/>
      <c r="AD18" s="2208">
        <f>ROUND(AVERAGE(I18:I$40)/100,4)</f>
        <v>2.07E-2</v>
      </c>
      <c r="AE18" s="2208">
        <f>ROUND(AVERAGE(J18:J$40)/100,4)</f>
        <v>1.47E-2</v>
      </c>
      <c r="AF18" s="2208">
        <f t="shared" ref="AF18" si="160">AE18</f>
        <v>1.47E-2</v>
      </c>
      <c r="AG18" s="2208">
        <f>ROUND(AVERAGE(K18:K$40)/100,4)</f>
        <v>2.2599999999999999E-2</v>
      </c>
      <c r="AH18" s="2208">
        <f>ROUND(AVERAGE(L18:L$40)/100,4)</f>
        <v>1.44E-2</v>
      </c>
    </row>
    <row r="19" spans="1:34" s="2209" customFormat="1">
      <c r="A19" s="2202" t="s">
        <v>2122</v>
      </c>
      <c r="B19" s="2203">
        <f t="shared" ref="B19" si="161">B20*(1+N19)</f>
        <v>474.30670301923408</v>
      </c>
      <c r="C19" s="2203">
        <f t="shared" ref="C19" si="162">C20*(1+O19)</f>
        <v>349.50705005996491</v>
      </c>
      <c r="D19" s="2203">
        <f t="shared" ref="D19" si="163">C19</f>
        <v>349.50705005996491</v>
      </c>
      <c r="E19" s="2203">
        <f t="shared" ref="E19" si="164">E20*(1+P19)</f>
        <v>678.22831959706957</v>
      </c>
      <c r="F19" s="2203">
        <f t="shared" ref="F19" si="165">F20*(1+Q19)</f>
        <v>312.0556832169558</v>
      </c>
      <c r="G19" s="2193">
        <v>2019</v>
      </c>
      <c r="H19" s="2211">
        <v>2</v>
      </c>
      <c r="I19" s="2211">
        <v>1.53</v>
      </c>
      <c r="J19" s="2211">
        <v>1.01</v>
      </c>
      <c r="K19" s="2211">
        <v>1.62</v>
      </c>
      <c r="L19" s="2212">
        <v>1.25</v>
      </c>
      <c r="M19" s="2189"/>
      <c r="N19" s="2205">
        <f t="shared" si="145"/>
        <v>1.5300000000000001E-2</v>
      </c>
      <c r="O19" s="2190">
        <f t="shared" ref="O19" si="166">J19/100</f>
        <v>1.01E-2</v>
      </c>
      <c r="P19" s="2190">
        <f t="shared" ref="P19" si="167">K19/100</f>
        <v>1.6200000000000003E-2</v>
      </c>
      <c r="Q19" s="2190">
        <f t="shared" ref="Q19" si="168">L19/100</f>
        <v>1.2500000000000001E-2</v>
      </c>
      <c r="R19" s="2206"/>
      <c r="S19" s="2205"/>
      <c r="T19" s="2190"/>
      <c r="U19" s="2190"/>
      <c r="V19" s="2190"/>
      <c r="W19" s="2207"/>
      <c r="X19" s="2207">
        <f>ROUND(IF(项目基本情况!B8="出让",SUMPRODUCT(PRODUCT(1+N19:N$40)),SUMPRODUCT(PRODUCT(1+N19:N$39))),4)</f>
        <v>1.5422</v>
      </c>
      <c r="Y19" s="2207">
        <f>ROUND(IF(项目基本情况!B8="出让",SUMPRODUCT(PRODUCT(1+O19:O$40)),SUMPRODUCT(PRODUCT(1+O19:O$39))),4)</f>
        <v>1.3557999999999999</v>
      </c>
      <c r="Z19" s="2207">
        <f t="shared" ref="Z19" si="169">Y19</f>
        <v>1.3557999999999999</v>
      </c>
      <c r="AA19" s="2207">
        <f>ROUND(IF(项目基本情况!B8="出让",SUMPRODUCT(PRODUCT(1+P19:P$40)),SUMPRODUCT(PRODUCT(1+P19:P$39))),4)</f>
        <v>1.6036999999999999</v>
      </c>
      <c r="AB19" s="2207">
        <f>ROUND(IF(项目基本情况!B8="出让",SUMPRODUCT(PRODUCT(1+Q19:Q$40)),SUMPRODUCT(PRODUCT(1+Q19:Q$39))),4)</f>
        <v>1.3573</v>
      </c>
      <c r="AC19" s="2207"/>
      <c r="AD19" s="2208">
        <f>ROUND(AVERAGE(I19:I$40)/100,4)</f>
        <v>2.1299999999999999E-2</v>
      </c>
      <c r="AE19" s="2208">
        <f>ROUND(AVERAGE(J19:J$40)/100,4)</f>
        <v>1.4999999999999999E-2</v>
      </c>
      <c r="AF19" s="2208">
        <f t="shared" ref="AF19" si="170">AE19</f>
        <v>1.4999999999999999E-2</v>
      </c>
      <c r="AG19" s="2208">
        <f>ROUND(AVERAGE(K19:K$40)/100,4)</f>
        <v>2.3300000000000001E-2</v>
      </c>
      <c r="AH19" s="2208">
        <f>ROUND(AVERAGE(L19:L$40)/100,4)</f>
        <v>1.46E-2</v>
      </c>
    </row>
    <row r="20" spans="1:34" s="2209" customFormat="1" ht="13.5" thickBot="1">
      <c r="A20" s="2202" t="s">
        <v>2121</v>
      </c>
      <c r="B20" s="2203">
        <f t="shared" ref="B20" si="171">B21*(1+N20)</f>
        <v>467.15916775261894</v>
      </c>
      <c r="C20" s="2203">
        <f t="shared" ref="C20" si="172">C21*(1+O20)</f>
        <v>346.01232557169084</v>
      </c>
      <c r="D20" s="2203">
        <f t="shared" ref="D20" si="173">C20</f>
        <v>346.01232557169084</v>
      </c>
      <c r="E20" s="2203">
        <f t="shared" ref="E20" si="174">E21*(1+P20)</f>
        <v>667.41617752122568</v>
      </c>
      <c r="F20" s="2203">
        <f t="shared" ref="F20" si="175">F21*(1+Q20)</f>
        <v>308.20314391798104</v>
      </c>
      <c r="G20" s="2193">
        <v>2019</v>
      </c>
      <c r="H20" s="2204">
        <v>1</v>
      </c>
      <c r="I20" s="2204">
        <v>0.6</v>
      </c>
      <c r="J20" s="2204">
        <v>0.37</v>
      </c>
      <c r="K20" s="2204">
        <v>0.63</v>
      </c>
      <c r="L20" s="2210">
        <v>1.1299999999999999</v>
      </c>
      <c r="M20" s="2189"/>
      <c r="N20" s="2205">
        <f t="shared" si="145"/>
        <v>6.0000000000000001E-3</v>
      </c>
      <c r="O20" s="2190">
        <f t="shared" ref="O20" si="176">J20/100</f>
        <v>3.7000000000000002E-3</v>
      </c>
      <c r="P20" s="2190">
        <f t="shared" ref="P20" si="177">K20/100</f>
        <v>6.3E-3</v>
      </c>
      <c r="Q20" s="2190">
        <f t="shared" ref="Q20" si="178">L20/100</f>
        <v>1.1299999999999999E-2</v>
      </c>
      <c r="R20" s="2206"/>
      <c r="S20" s="2205">
        <f>B20/B21-1</f>
        <v>6.0000000000000053E-3</v>
      </c>
      <c r="T20" s="2190">
        <f t="shared" ref="T20" si="179">C20/C21-1</f>
        <v>3.7000000000000366E-3</v>
      </c>
      <c r="U20" s="2190">
        <f t="shared" ref="U20" si="180">D20/D21-1</f>
        <v>3.7000000000000366E-3</v>
      </c>
      <c r="V20" s="2190">
        <f t="shared" ref="V20" si="181">E20/E21-1</f>
        <v>6.2999999999999723E-3</v>
      </c>
      <c r="W20" s="2207"/>
      <c r="X20" s="2207">
        <f>ROUND(IF(项目基本情况!B8="出让",SUMPRODUCT(PRODUCT(1+N20:N$40)),SUMPRODUCT(PRODUCT(1+N20:N$39))),4)</f>
        <v>1.5189999999999999</v>
      </c>
      <c r="Y20" s="2207">
        <f>ROUND(IF(项目基本情况!B8="出让",SUMPRODUCT(PRODUCT(1+O20:O$40)),SUMPRODUCT(PRODUCT(1+O20:O$39))),4)</f>
        <v>1.3423</v>
      </c>
      <c r="Z20" s="2207">
        <f t="shared" ref="Z20" si="182">Y20</f>
        <v>1.3423</v>
      </c>
      <c r="AA20" s="2207">
        <f>ROUND(IF(项目基本情况!B8="出让",SUMPRODUCT(PRODUCT(1+P20:P$40)),SUMPRODUCT(PRODUCT(1+P20:P$39))),4)</f>
        <v>1.5782</v>
      </c>
      <c r="AB20" s="2207">
        <f>ROUND(IF(项目基本情况!B8="出让",SUMPRODUCT(PRODUCT(1+Q20:Q$40)),SUMPRODUCT(PRODUCT(1+Q20:Q$39))),4)</f>
        <v>1.3405</v>
      </c>
      <c r="AC20" s="2207"/>
      <c r="AD20" s="2208">
        <f>ROUND(AVERAGE(I20:I$40)/100,4)</f>
        <v>2.1600000000000001E-2</v>
      </c>
      <c r="AE20" s="2208">
        <f>ROUND(AVERAGE(J20:J$40)/100,4)</f>
        <v>1.5299999999999999E-2</v>
      </c>
      <c r="AF20" s="2208">
        <f t="shared" ref="AF20" si="183">AE20</f>
        <v>1.5299999999999999E-2</v>
      </c>
      <c r="AG20" s="2208">
        <f>ROUND(AVERAGE(K20:K$40)/100,4)</f>
        <v>2.3699999999999999E-2</v>
      </c>
      <c r="AH20" s="2208">
        <f>ROUND(AVERAGE(L20:L$40)/100,4)</f>
        <v>1.47E-2</v>
      </c>
    </row>
    <row r="21" spans="1:34" s="2209" customFormat="1">
      <c r="A21" s="2202" t="s">
        <v>2123</v>
      </c>
      <c r="B21" s="2213">
        <f t="shared" ref="B21" si="184">B22*(1+N21)</f>
        <v>464.37293017158942</v>
      </c>
      <c r="C21" s="2213">
        <f t="shared" ref="C21" si="185">C22*(1+O21)</f>
        <v>344.73679941385956</v>
      </c>
      <c r="D21" s="2213">
        <f t="shared" ref="D21" si="186">C21</f>
        <v>344.73679941385956</v>
      </c>
      <c r="E21" s="2213">
        <f t="shared" ref="E21" si="187">E22*(1+P21)</f>
        <v>663.2377795103107</v>
      </c>
      <c r="F21" s="2214">
        <f t="shared" ref="F21" si="188">F22*(1+Q21)</f>
        <v>304.75936311478398</v>
      </c>
      <c r="G21" s="3845">
        <v>2018</v>
      </c>
      <c r="H21" s="2211">
        <v>4</v>
      </c>
      <c r="I21" s="2211">
        <v>0.96</v>
      </c>
      <c r="J21" s="2211">
        <v>1.03</v>
      </c>
      <c r="K21" s="2211">
        <v>0.92</v>
      </c>
      <c r="L21" s="2212">
        <v>1.29</v>
      </c>
      <c r="M21" s="2189"/>
      <c r="N21" s="2205">
        <f t="shared" si="145"/>
        <v>9.5999999999999992E-3</v>
      </c>
      <c r="O21" s="2190">
        <f t="shared" ref="O21" si="189">J21/100</f>
        <v>1.03E-2</v>
      </c>
      <c r="P21" s="2190">
        <f t="shared" ref="P21" si="190">K21/100</f>
        <v>9.1999999999999998E-3</v>
      </c>
      <c r="Q21" s="2190">
        <f t="shared" ref="Q21" si="191">L21/100</f>
        <v>1.29E-2</v>
      </c>
      <c r="R21" s="2206"/>
      <c r="S21" s="2205"/>
      <c r="T21" s="2190"/>
      <c r="U21" s="2190"/>
      <c r="V21" s="2190"/>
      <c r="W21" s="2207"/>
      <c r="X21" s="2207">
        <f>ROUND(SUMPRODUCT(PRODUCT(1+N21:N$39)),4)</f>
        <v>1.5099</v>
      </c>
      <c r="Y21" s="2207">
        <f>ROUND(SUMPRODUCT(PRODUCT(1+O21:O$39)),4)</f>
        <v>1.3372999999999999</v>
      </c>
      <c r="Z21" s="2207">
        <f t="shared" ref="Z21" si="192">Y21</f>
        <v>1.3372999999999999</v>
      </c>
      <c r="AA21" s="2207">
        <f>ROUND(SUMPRODUCT(PRODUCT(1+P21:P$39)),4)</f>
        <v>1.5683</v>
      </c>
      <c r="AB21" s="2207">
        <f>ROUND(SUMPRODUCT(PRODUCT(1+Q21:Q$39)),4)</f>
        <v>1.3255999999999999</v>
      </c>
      <c r="AC21" s="2207"/>
      <c r="AD21" s="2208">
        <f>ROUND(AVERAGE(I21:I$40)/100,4)</f>
        <v>2.24E-2</v>
      </c>
      <c r="AE21" s="2208">
        <f>ROUND(AVERAGE(J21:J$40)/100,4)</f>
        <v>1.5800000000000002E-2</v>
      </c>
      <c r="AF21" s="2208">
        <f t="shared" ref="AF21" si="193">AE21</f>
        <v>1.5800000000000002E-2</v>
      </c>
      <c r="AG21" s="2208">
        <f>ROUND(AVERAGE(K21:K$40)/100,4)</f>
        <v>2.4500000000000001E-2</v>
      </c>
      <c r="AH21" s="2208">
        <f>ROUND(AVERAGE(L21:L$40)/100,4)</f>
        <v>1.49E-2</v>
      </c>
    </row>
    <row r="22" spans="1:34" s="2209" customFormat="1" ht="14.45" customHeight="1">
      <c r="A22" s="2202" t="s">
        <v>2119</v>
      </c>
      <c r="B22" s="2203">
        <f t="shared" ref="B22" si="194">B23*(1+N22)</f>
        <v>459.95733971036987</v>
      </c>
      <c r="C22" s="2203">
        <f t="shared" ref="C22" si="195">C23*(1+O22)</f>
        <v>341.22221064422405</v>
      </c>
      <c r="D22" s="2203">
        <f t="shared" ref="D22" si="196">C22</f>
        <v>341.22221064422405</v>
      </c>
      <c r="E22" s="2203">
        <f t="shared" ref="E22" si="197">E23*(1+P22)</f>
        <v>657.19161663724799</v>
      </c>
      <c r="F22" s="2203">
        <f t="shared" ref="F22" si="198">F23*(1+Q22)</f>
        <v>300.87803644464805</v>
      </c>
      <c r="G22" s="3845"/>
      <c r="H22" s="2204">
        <v>3</v>
      </c>
      <c r="I22" s="2204">
        <v>1.51</v>
      </c>
      <c r="J22" s="2204">
        <v>1.41</v>
      </c>
      <c r="K22" s="2204">
        <v>1.52</v>
      </c>
      <c r="L22" s="2210">
        <v>1.74</v>
      </c>
      <c r="M22" s="2189"/>
      <c r="N22" s="2205">
        <f t="shared" si="145"/>
        <v>1.5100000000000001E-2</v>
      </c>
      <c r="O22" s="2190">
        <f t="shared" ref="O22" si="199">J22/100</f>
        <v>1.41E-2</v>
      </c>
      <c r="P22" s="2190">
        <f t="shared" ref="P22" si="200">K22/100</f>
        <v>1.52E-2</v>
      </c>
      <c r="Q22" s="2190">
        <f t="shared" ref="Q22" si="201">L22/100</f>
        <v>1.7399999999999999E-2</v>
      </c>
      <c r="R22" s="2206"/>
      <c r="S22" s="2205"/>
      <c r="T22" s="2190"/>
      <c r="U22" s="2190"/>
      <c r="V22" s="2190"/>
      <c r="W22" s="2207"/>
      <c r="X22" s="2207">
        <f>ROUND(SUMPRODUCT(PRODUCT(1+N22:N$39)),4)</f>
        <v>1.4956</v>
      </c>
      <c r="Y22" s="2207">
        <f>ROUND(SUMPRODUCT(PRODUCT(1+O22:O$39)),4)</f>
        <v>1.3237000000000001</v>
      </c>
      <c r="Z22" s="2207">
        <f t="shared" ref="Z22" si="202">Y22</f>
        <v>1.3237000000000001</v>
      </c>
      <c r="AA22" s="2207">
        <f>ROUND(SUMPRODUCT(PRODUCT(1+P22:P$39)),4)</f>
        <v>1.554</v>
      </c>
      <c r="AB22" s="2207">
        <f>ROUND(SUMPRODUCT(PRODUCT(1+Q22:Q$39)),4)</f>
        <v>1.3087</v>
      </c>
      <c r="AC22" s="2207"/>
      <c r="AD22" s="2208">
        <f>ROUND(AVERAGE(I22:I$40)/100,4)</f>
        <v>2.3099999999999999E-2</v>
      </c>
      <c r="AE22" s="2208">
        <f>ROUND(AVERAGE(J22:J$40)/100,4)</f>
        <v>1.61E-2</v>
      </c>
      <c r="AF22" s="2208">
        <f t="shared" ref="AF22" si="203">AE22</f>
        <v>1.61E-2</v>
      </c>
      <c r="AG22" s="2208">
        <f>ROUND(AVERAGE(K22:K$40)/100,4)</f>
        <v>2.53E-2</v>
      </c>
      <c r="AH22" s="2208">
        <f>ROUND(AVERAGE(L22:L$40)/100,4)</f>
        <v>1.4999999999999999E-2</v>
      </c>
    </row>
    <row r="23" spans="1:34" s="2209" customFormat="1" ht="14.45" customHeight="1">
      <c r="A23" s="2202" t="s">
        <v>2118</v>
      </c>
      <c r="B23" s="2203">
        <f t="shared" ref="B23" si="204">B24*(1+N23)</f>
        <v>453.11529869999993</v>
      </c>
      <c r="C23" s="2203">
        <f t="shared" ref="C23" si="205">C24*(1+O23)</f>
        <v>336.47787264000004</v>
      </c>
      <c r="D23" s="2203">
        <f t="shared" ref="D23" si="206">C23</f>
        <v>336.47787264000004</v>
      </c>
      <c r="E23" s="2203">
        <f t="shared" ref="E23" si="207">E24*(1+P23)</f>
        <v>647.35186823999993</v>
      </c>
      <c r="F23" s="2203">
        <f t="shared" ref="F23" si="208">F24*(1+Q23)</f>
        <v>295.73229452000004</v>
      </c>
      <c r="G23" s="3845"/>
      <c r="H23" s="2215">
        <v>2</v>
      </c>
      <c r="I23" s="2215">
        <v>1.49</v>
      </c>
      <c r="J23" s="2215">
        <v>0.96</v>
      </c>
      <c r="K23" s="2215">
        <v>1.58</v>
      </c>
      <c r="L23" s="2216">
        <v>2.44</v>
      </c>
      <c r="M23" s="2189"/>
      <c r="N23" s="2205">
        <f t="shared" ref="N23" si="209">I23/100</f>
        <v>1.49E-2</v>
      </c>
      <c r="O23" s="2190">
        <f t="shared" ref="O23" si="210">J23/100</f>
        <v>9.5999999999999992E-3</v>
      </c>
      <c r="P23" s="2190">
        <f t="shared" ref="P23" si="211">K23/100</f>
        <v>1.5800000000000002E-2</v>
      </c>
      <c r="Q23" s="2190">
        <f t="shared" ref="Q23" si="212">L23/100</f>
        <v>2.4399999999999998E-2</v>
      </c>
      <c r="R23" s="2206"/>
      <c r="S23" s="2205"/>
      <c r="T23" s="2190"/>
      <c r="U23" s="2190"/>
      <c r="V23" s="2190"/>
      <c r="W23" s="2207"/>
      <c r="X23" s="2207">
        <f>ROUND(SUMPRODUCT(PRODUCT(1+N23:N$39)),4)</f>
        <v>1.4733000000000001</v>
      </c>
      <c r="Y23" s="2207">
        <f>ROUND(SUMPRODUCT(PRODUCT(1+O23:O$39)),4)</f>
        <v>1.3052999999999999</v>
      </c>
      <c r="Z23" s="2207">
        <f t="shared" ref="Z23" si="213">Y23</f>
        <v>1.3052999999999999</v>
      </c>
      <c r="AA23" s="2207">
        <f>ROUND(SUMPRODUCT(PRODUCT(1+P23:P$39)),4)</f>
        <v>1.5306999999999999</v>
      </c>
      <c r="AB23" s="2207">
        <f>ROUND(SUMPRODUCT(PRODUCT(1+Q23:Q$39)),4)</f>
        <v>1.2863</v>
      </c>
      <c r="AC23" s="2207"/>
      <c r="AD23" s="2208">
        <f>ROUND(AVERAGE(I23:I$40)/100,4)</f>
        <v>2.35E-2</v>
      </c>
      <c r="AE23" s="2208">
        <f>ROUND(AVERAGE(J23:J$40)/100,4)</f>
        <v>1.6199999999999999E-2</v>
      </c>
      <c r="AF23" s="2208">
        <f t="shared" ref="AF23" si="214">AE23</f>
        <v>1.6199999999999999E-2</v>
      </c>
      <c r="AG23" s="2208">
        <f>ROUND(AVERAGE(K23:K$40)/100,4)</f>
        <v>2.5899999999999999E-2</v>
      </c>
      <c r="AH23" s="2208">
        <f>ROUND(AVERAGE(L23:L$40)/100,4)</f>
        <v>1.49E-2</v>
      </c>
    </row>
    <row r="24" spans="1:34" s="2209" customFormat="1" ht="15" customHeight="1" thickBot="1">
      <c r="A24" s="2202" t="s">
        <v>2111</v>
      </c>
      <c r="B24" s="2203">
        <f t="shared" ref="B24" si="215">B25*(1+N24)</f>
        <v>446.46299999999997</v>
      </c>
      <c r="C24" s="2203">
        <f t="shared" ref="C24" si="216">C25*(1+O24)</f>
        <v>333.27840000000003</v>
      </c>
      <c r="D24" s="2203">
        <f t="shared" ref="D24" si="217">C24</f>
        <v>333.27840000000003</v>
      </c>
      <c r="E24" s="2203">
        <f t="shared" ref="E24" si="218">E25*(1+P24)</f>
        <v>637.28279999999995</v>
      </c>
      <c r="F24" s="2203">
        <f t="shared" ref="F24" si="219">F25*(1+Q24)</f>
        <v>288.68830000000003</v>
      </c>
      <c r="G24" s="3852"/>
      <c r="H24" s="2204">
        <v>1</v>
      </c>
      <c r="I24" s="2204">
        <v>1.7</v>
      </c>
      <c r="J24" s="2204">
        <v>1.92</v>
      </c>
      <c r="K24" s="2204">
        <v>1.64</v>
      </c>
      <c r="L24" s="2210">
        <v>2.0099999999999998</v>
      </c>
      <c r="M24" s="2189"/>
      <c r="N24" s="2205">
        <f t="shared" ref="N24:N29" si="220">I24/100</f>
        <v>1.7000000000000001E-2</v>
      </c>
      <c r="O24" s="2190">
        <f t="shared" ref="O24" si="221">J24/100</f>
        <v>1.9199999999999998E-2</v>
      </c>
      <c r="P24" s="2190">
        <f t="shared" ref="P24" si="222">K24/100</f>
        <v>1.6399999999999998E-2</v>
      </c>
      <c r="Q24" s="2190">
        <f t="shared" ref="Q24" si="223">L24/100</f>
        <v>2.0099999999999996E-2</v>
      </c>
      <c r="R24" s="2206"/>
      <c r="S24" s="2205">
        <f>B24/B25-1</f>
        <v>1.6999999999999904E-2</v>
      </c>
      <c r="T24" s="2190">
        <f t="shared" ref="T24" si="224">C24/C25-1</f>
        <v>1.9200000000000106E-2</v>
      </c>
      <c r="U24" s="2190">
        <f t="shared" ref="U24" si="225">D24/D25-1</f>
        <v>1.9200000000000106E-2</v>
      </c>
      <c r="V24" s="2190">
        <f t="shared" ref="V24" si="226">E24/E25-1</f>
        <v>1.639999999999997E-2</v>
      </c>
      <c r="W24" s="2207"/>
      <c r="X24" s="2207">
        <f>ROUND(SUMPRODUCT(PRODUCT(1+N24:N$39)),4)</f>
        <v>1.4517</v>
      </c>
      <c r="Y24" s="2207">
        <f>ROUND(SUMPRODUCT(PRODUCT(1+O24:O$39)),4)</f>
        <v>1.2928999999999999</v>
      </c>
      <c r="Z24" s="2207">
        <f t="shared" ref="Z24" si="227">Y24</f>
        <v>1.2928999999999999</v>
      </c>
      <c r="AA24" s="2207">
        <f>ROUND(SUMPRODUCT(PRODUCT(1+P24:P$39)),4)</f>
        <v>1.5068999999999999</v>
      </c>
      <c r="AB24" s="2207">
        <f>ROUND(SUMPRODUCT(PRODUCT(1+Q24:Q$39)),4)</f>
        <v>1.2557</v>
      </c>
      <c r="AC24" s="2207"/>
      <c r="AD24" s="2208">
        <f>ROUND(AVERAGE(I24:I$40)/100,4)</f>
        <v>2.4E-2</v>
      </c>
      <c r="AE24" s="2208">
        <f>ROUND(AVERAGE(J24:J$40)/100,4)</f>
        <v>1.66E-2</v>
      </c>
      <c r="AF24" s="2208">
        <f t="shared" ref="AF24" si="228">AE24</f>
        <v>1.66E-2</v>
      </c>
      <c r="AG24" s="2208">
        <f>ROUND(AVERAGE(K24:K$40)/100,4)</f>
        <v>2.6499999999999999E-2</v>
      </c>
      <c r="AH24" s="2208">
        <f>ROUND(AVERAGE(L24:L$40)/100,4)</f>
        <v>1.43E-2</v>
      </c>
    </row>
    <row r="25" spans="1:34">
      <c r="A25" s="2202" t="s">
        <v>2109</v>
      </c>
      <c r="B25" s="2217">
        <v>439</v>
      </c>
      <c r="C25" s="2217">
        <v>327</v>
      </c>
      <c r="D25" s="2217">
        <f>C25</f>
        <v>327</v>
      </c>
      <c r="E25" s="2217">
        <v>627</v>
      </c>
      <c r="F25" s="2218">
        <v>283</v>
      </c>
      <c r="G25" s="3848">
        <v>2017</v>
      </c>
      <c r="H25" s="2211">
        <v>4</v>
      </c>
      <c r="I25" s="2211">
        <v>1.71</v>
      </c>
      <c r="J25" s="2211">
        <v>1.78</v>
      </c>
      <c r="K25" s="2211">
        <v>1.71</v>
      </c>
      <c r="L25" s="2212">
        <v>1.43</v>
      </c>
      <c r="N25" s="2205">
        <f t="shared" si="220"/>
        <v>1.7100000000000001E-2</v>
      </c>
      <c r="O25" s="2190">
        <f t="shared" ref="O25" si="229">J25/100</f>
        <v>1.78E-2</v>
      </c>
      <c r="P25" s="2190">
        <f t="shared" ref="P25" si="230">K25/100</f>
        <v>1.7100000000000001E-2</v>
      </c>
      <c r="Q25" s="2190">
        <f t="shared" ref="Q25" si="231">L25/100</f>
        <v>1.43E-2</v>
      </c>
      <c r="R25" s="2206"/>
      <c r="S25" s="2219"/>
      <c r="T25" s="2220"/>
      <c r="U25" s="2220"/>
      <c r="V25" s="2220"/>
      <c r="X25" s="2189">
        <f>ROUND(SUMPRODUCT(PRODUCT(1+N25:N$39)),4)</f>
        <v>1.4274</v>
      </c>
      <c r="Y25" s="2189">
        <f>ROUND(SUMPRODUCT(PRODUCT(1+O25:O$39)),4)</f>
        <v>1.2685</v>
      </c>
      <c r="Z25" s="2189">
        <f t="shared" si="0"/>
        <v>1.2685</v>
      </c>
      <c r="AA25" s="2189">
        <f>ROUND(SUMPRODUCT(PRODUCT(1+P25:P$39)),4)</f>
        <v>1.4825999999999999</v>
      </c>
      <c r="AB25" s="2189">
        <f>ROUND(SUMPRODUCT(PRODUCT(1+Q25:Q$39)),4)</f>
        <v>1.2309000000000001</v>
      </c>
      <c r="AD25" s="2190">
        <f>ROUND(AVERAGE(I25:I$40)/100,4)</f>
        <v>2.4500000000000001E-2</v>
      </c>
      <c r="AE25" s="2190">
        <f>ROUND(AVERAGE(J25:J$40)/100,4)</f>
        <v>1.6500000000000001E-2</v>
      </c>
      <c r="AF25" s="2190">
        <f t="shared" si="1"/>
        <v>1.6500000000000001E-2</v>
      </c>
      <c r="AG25" s="2190">
        <f>ROUND(AVERAGE(K25:K$40)/100,4)</f>
        <v>2.7099999999999999E-2</v>
      </c>
      <c r="AH25" s="2190">
        <f>ROUND(AVERAGE(L25:L$40)/100,4)</f>
        <v>1.3899999999999999E-2</v>
      </c>
    </row>
    <row r="26" spans="1:34" s="2209" customFormat="1" ht="14.45" customHeight="1">
      <c r="A26" s="2202" t="s">
        <v>2110</v>
      </c>
      <c r="B26" s="2203">
        <f t="shared" ref="B26:B27" si="232">B27*(1+N26)</f>
        <v>431.80730811680002</v>
      </c>
      <c r="C26" s="2203">
        <f t="shared" ref="C26:C27" si="233">C27*(1+O26)</f>
        <v>320.57880516480003</v>
      </c>
      <c r="D26" s="2203">
        <f t="shared" ref="D26:D27" si="234">C26</f>
        <v>320.57880516480003</v>
      </c>
      <c r="E26" s="2203">
        <f t="shared" ref="E26:E27" si="235">E27*(1+P26)</f>
        <v>615.96110553196797</v>
      </c>
      <c r="F26" s="2203">
        <f t="shared" ref="F26:F27" si="236">F27*(1+Q26)</f>
        <v>279.46777300108801</v>
      </c>
      <c r="G26" s="3845"/>
      <c r="H26" s="2204">
        <v>3</v>
      </c>
      <c r="I26" s="2204">
        <v>2.98</v>
      </c>
      <c r="J26" s="2204">
        <v>2.11</v>
      </c>
      <c r="K26" s="2204">
        <v>3.24</v>
      </c>
      <c r="L26" s="2210">
        <v>1.72</v>
      </c>
      <c r="M26" s="2189"/>
      <c r="N26" s="2205">
        <f t="shared" si="220"/>
        <v>2.98E-2</v>
      </c>
      <c r="O26" s="2190">
        <f t="shared" ref="O26" si="237">J26/100</f>
        <v>2.1099999999999997E-2</v>
      </c>
      <c r="P26" s="2190">
        <f t="shared" ref="P26" si="238">K26/100</f>
        <v>3.2400000000000005E-2</v>
      </c>
      <c r="Q26" s="2190">
        <f t="shared" ref="Q26" si="239">L26/100</f>
        <v>1.72E-2</v>
      </c>
      <c r="R26" s="2206"/>
      <c r="S26" s="2205"/>
      <c r="T26" s="2190"/>
      <c r="U26" s="2190"/>
      <c r="V26" s="2190"/>
      <c r="W26" s="2207"/>
      <c r="X26" s="2207">
        <f>ROUND(SUMPRODUCT(PRODUCT(1+N26:N$39)),4)</f>
        <v>1.4034</v>
      </c>
      <c r="Y26" s="2207">
        <f>ROUND(SUMPRODUCT(PRODUCT(1+O26:O$39)),4)</f>
        <v>1.2463</v>
      </c>
      <c r="Z26" s="2207">
        <f t="shared" si="0"/>
        <v>1.2463</v>
      </c>
      <c r="AA26" s="2207">
        <f>ROUND(SUMPRODUCT(PRODUCT(1+P26:P$39)),4)</f>
        <v>1.4577</v>
      </c>
      <c r="AB26" s="2207">
        <f>ROUND(SUMPRODUCT(PRODUCT(1+Q26:Q$39)),4)</f>
        <v>1.2136</v>
      </c>
      <c r="AC26" s="2207"/>
      <c r="AD26" s="2208">
        <f>ROUND(AVERAGE(I26:I$40)/100,4)</f>
        <v>2.4899999999999999E-2</v>
      </c>
      <c r="AE26" s="2208">
        <f>ROUND(AVERAGE(J26:J$40)/100,4)</f>
        <v>1.6400000000000001E-2</v>
      </c>
      <c r="AF26" s="2208">
        <f t="shared" si="1"/>
        <v>1.6400000000000001E-2</v>
      </c>
      <c r="AG26" s="2208">
        <f>ROUND(AVERAGE(K26:K$40)/100,4)</f>
        <v>2.7799999999999998E-2</v>
      </c>
      <c r="AH26" s="2208">
        <f>ROUND(AVERAGE(L26:L$40)/100,4)</f>
        <v>1.3899999999999999E-2</v>
      </c>
    </row>
    <row r="27" spans="1:34" s="2196" customFormat="1" ht="14.45" customHeight="1">
      <c r="A27" s="2202" t="s">
        <v>677</v>
      </c>
      <c r="B27" s="2203">
        <f t="shared" si="232"/>
        <v>419.31181600000002</v>
      </c>
      <c r="C27" s="2203">
        <f t="shared" si="233"/>
        <v>313.95436800000004</v>
      </c>
      <c r="D27" s="2203">
        <f t="shared" si="234"/>
        <v>313.95436800000004</v>
      </c>
      <c r="E27" s="2203">
        <f t="shared" si="235"/>
        <v>596.63028431999999</v>
      </c>
      <c r="F27" s="2203">
        <f t="shared" si="236"/>
        <v>274.74220703999998</v>
      </c>
      <c r="G27" s="3845"/>
      <c r="H27" s="2215">
        <v>2</v>
      </c>
      <c r="I27" s="2215">
        <v>3.4</v>
      </c>
      <c r="J27" s="2215">
        <v>2</v>
      </c>
      <c r="K27" s="2215">
        <v>3.82</v>
      </c>
      <c r="L27" s="2216">
        <v>1.68</v>
      </c>
      <c r="M27" s="2189"/>
      <c r="N27" s="2205">
        <f t="shared" si="220"/>
        <v>3.4000000000000002E-2</v>
      </c>
      <c r="O27" s="2190">
        <f t="shared" ref="O27" si="240">J27/100</f>
        <v>0.02</v>
      </c>
      <c r="P27" s="2190">
        <f t="shared" ref="P27" si="241">K27/100</f>
        <v>3.8199999999999998E-2</v>
      </c>
      <c r="Q27" s="2190">
        <f t="shared" ref="Q27" si="242">L27/100</f>
        <v>1.6799999999999999E-2</v>
      </c>
      <c r="R27" s="2206"/>
      <c r="S27" s="2219"/>
      <c r="T27" s="2220"/>
      <c r="U27" s="2220"/>
      <c r="V27" s="2220"/>
      <c r="W27" s="2183"/>
      <c r="X27" s="2207">
        <f>ROUND(SUMPRODUCT(PRODUCT(1+N27:N$39)),4)</f>
        <v>1.3628</v>
      </c>
      <c r="Y27" s="2207">
        <f>ROUND(SUMPRODUCT(PRODUCT(1+O27:O$39)),4)</f>
        <v>1.2205999999999999</v>
      </c>
      <c r="Z27" s="2207">
        <f t="shared" si="0"/>
        <v>1.2205999999999999</v>
      </c>
      <c r="AA27" s="2207">
        <f>ROUND(SUMPRODUCT(PRODUCT(1+P27:P$39)),4)</f>
        <v>1.4118999999999999</v>
      </c>
      <c r="AB27" s="2207">
        <f>ROUND(SUMPRODUCT(PRODUCT(1+Q27:Q$39)),4)</f>
        <v>1.1930000000000001</v>
      </c>
      <c r="AC27" s="2183"/>
      <c r="AD27" s="2208">
        <f>ROUND(AVERAGE(I27:I$40)/100,4)</f>
        <v>2.46E-2</v>
      </c>
      <c r="AE27" s="2208">
        <f>ROUND(AVERAGE(J27:J$40)/100,4)</f>
        <v>1.6E-2</v>
      </c>
      <c r="AF27" s="2208">
        <f t="shared" si="1"/>
        <v>1.6E-2</v>
      </c>
      <c r="AG27" s="2208">
        <f>ROUND(AVERAGE(K27:K$40)/100,4)</f>
        <v>2.75E-2</v>
      </c>
      <c r="AH27" s="2208">
        <f>ROUND(AVERAGE(L27:L$40)/100,4)</f>
        <v>1.37E-2</v>
      </c>
    </row>
    <row r="28" spans="1:34" s="2209" customFormat="1" ht="15" customHeight="1" thickBot="1">
      <c r="A28" s="2202" t="s">
        <v>463</v>
      </c>
      <c r="B28" s="2203">
        <f>B29*(1+N28)</f>
        <v>405.524</v>
      </c>
      <c r="C28" s="2203">
        <f>C29*(1+O28)</f>
        <v>307.79840000000002</v>
      </c>
      <c r="D28" s="2203">
        <f>C28</f>
        <v>307.79840000000002</v>
      </c>
      <c r="E28" s="2203">
        <f>E29*(1+P28)</f>
        <v>574.67759999999998</v>
      </c>
      <c r="F28" s="2203">
        <f>F29*(1+Q28)</f>
        <v>270.20280000000002</v>
      </c>
      <c r="G28" s="3852"/>
      <c r="H28" s="2204">
        <v>1</v>
      </c>
      <c r="I28" s="2204">
        <v>3.45</v>
      </c>
      <c r="J28" s="2204">
        <v>1.92</v>
      </c>
      <c r="K28" s="2204">
        <v>3.92</v>
      </c>
      <c r="L28" s="2210">
        <v>1.58</v>
      </c>
      <c r="M28" s="2189"/>
      <c r="N28" s="2205">
        <f t="shared" si="220"/>
        <v>3.4500000000000003E-2</v>
      </c>
      <c r="O28" s="2190">
        <f t="shared" ref="O28:Q43" si="243">J28/100</f>
        <v>1.9199999999999998E-2</v>
      </c>
      <c r="P28" s="2190">
        <f t="shared" si="243"/>
        <v>3.9199999999999999E-2</v>
      </c>
      <c r="Q28" s="2190">
        <f t="shared" si="243"/>
        <v>1.5800000000000002E-2</v>
      </c>
      <c r="R28" s="2206"/>
      <c r="S28" s="2205">
        <f>B28/B29-1</f>
        <v>3.4499999999999975E-2</v>
      </c>
      <c r="T28" s="2190">
        <f t="shared" ref="T28:V28" si="244">C28/C29-1</f>
        <v>1.9200000000000106E-2</v>
      </c>
      <c r="U28" s="2190">
        <f t="shared" si="244"/>
        <v>1.9200000000000106E-2</v>
      </c>
      <c r="V28" s="2190">
        <f t="shared" si="244"/>
        <v>3.9199999999999902E-2</v>
      </c>
      <c r="W28" s="2207"/>
      <c r="X28" s="2207">
        <f>ROUND(SUMPRODUCT(PRODUCT(1+N28:N$39)),4)</f>
        <v>1.3180000000000001</v>
      </c>
      <c r="Y28" s="2207">
        <f>ROUND(SUMPRODUCT(PRODUCT(1+O28:O$39)),4)</f>
        <v>1.1966000000000001</v>
      </c>
      <c r="Z28" s="2207">
        <f t="shared" si="0"/>
        <v>1.1966000000000001</v>
      </c>
      <c r="AA28" s="2207">
        <f>ROUND(SUMPRODUCT(PRODUCT(1+P28:P$39)),4)</f>
        <v>1.36</v>
      </c>
      <c r="AB28" s="2207">
        <f>ROUND(SUMPRODUCT(PRODUCT(1+Q28:Q$39)),4)</f>
        <v>1.1733</v>
      </c>
      <c r="AC28" s="2207"/>
      <c r="AD28" s="2208">
        <f>ROUND(AVERAGE(I28:I$40)/100,4)</f>
        <v>2.3900000000000001E-2</v>
      </c>
      <c r="AE28" s="2208">
        <f>ROUND(AVERAGE(J28:J$40)/100,4)</f>
        <v>1.5699999999999999E-2</v>
      </c>
      <c r="AF28" s="2208">
        <f t="shared" si="1"/>
        <v>1.5699999999999999E-2</v>
      </c>
      <c r="AG28" s="2208">
        <f>ROUND(AVERAGE(K28:K$40)/100,4)</f>
        <v>2.6599999999999999E-2</v>
      </c>
      <c r="AH28" s="2208">
        <f>ROUND(AVERAGE(L28:L$40)/100,4)</f>
        <v>1.34E-2</v>
      </c>
    </row>
    <row r="29" spans="1:34">
      <c r="A29" s="2202" t="s">
        <v>127</v>
      </c>
      <c r="B29" s="2217">
        <v>392</v>
      </c>
      <c r="C29" s="2217">
        <v>302</v>
      </c>
      <c r="D29" s="2217">
        <f>C29</f>
        <v>302</v>
      </c>
      <c r="E29" s="2217">
        <v>553</v>
      </c>
      <c r="F29" s="2218">
        <v>266</v>
      </c>
      <c r="G29" s="3848">
        <v>2016</v>
      </c>
      <c r="H29" s="2211">
        <v>4</v>
      </c>
      <c r="I29" s="2211">
        <v>4.5599999999999996</v>
      </c>
      <c r="J29" s="2211">
        <v>2.15</v>
      </c>
      <c r="K29" s="2211">
        <v>5.32</v>
      </c>
      <c r="L29" s="2212">
        <v>1.57</v>
      </c>
      <c r="N29" s="2205">
        <f t="shared" si="220"/>
        <v>4.5599999999999995E-2</v>
      </c>
      <c r="O29" s="2190">
        <f t="shared" si="243"/>
        <v>2.1499999999999998E-2</v>
      </c>
      <c r="P29" s="2190">
        <f t="shared" si="243"/>
        <v>5.3200000000000004E-2</v>
      </c>
      <c r="Q29" s="2190">
        <f t="shared" si="243"/>
        <v>1.5700000000000002E-2</v>
      </c>
      <c r="R29" s="2206"/>
      <c r="S29" s="2219"/>
      <c r="T29" s="2220"/>
      <c r="U29" s="2220"/>
      <c r="V29" s="2220"/>
      <c r="X29" s="2189">
        <f>ROUND(SUMPRODUCT(PRODUCT(1+N29:N$39)),4)</f>
        <v>1.274</v>
      </c>
      <c r="Y29" s="2189">
        <f>ROUND(SUMPRODUCT(PRODUCT(1+O29:O$39)),4)</f>
        <v>1.1740999999999999</v>
      </c>
      <c r="Z29" s="2189">
        <f t="shared" si="0"/>
        <v>1.1740999999999999</v>
      </c>
      <c r="AA29" s="2189">
        <f>ROUND(SUMPRODUCT(PRODUCT(1+P29:P$39)),4)</f>
        <v>1.3087</v>
      </c>
      <c r="AB29" s="2189">
        <f>ROUND(SUMPRODUCT(PRODUCT(1+Q29:Q$39)),4)</f>
        <v>1.1551</v>
      </c>
      <c r="AD29" s="2190">
        <f>ROUND(AVERAGE(I29:I$40)/100,4)</f>
        <v>2.3E-2</v>
      </c>
      <c r="AE29" s="2190">
        <f>ROUND(AVERAGE(J29:J$40)/100,4)</f>
        <v>1.55E-2</v>
      </c>
      <c r="AF29" s="2190">
        <f t="shared" si="1"/>
        <v>1.55E-2</v>
      </c>
      <c r="AG29" s="2190">
        <f>ROUND(AVERAGE(K29:K$40)/100,4)</f>
        <v>2.5600000000000001E-2</v>
      </c>
      <c r="AH29" s="2190">
        <f>ROUND(AVERAGE(L29:L$40)/100,4)</f>
        <v>1.32E-2</v>
      </c>
    </row>
    <row r="30" spans="1:34">
      <c r="A30" s="2202" t="s">
        <v>126</v>
      </c>
      <c r="B30" s="2203">
        <f t="shared" ref="B30:C32" si="245">B29/(1+N29)</f>
        <v>374.90436113236416</v>
      </c>
      <c r="C30" s="2203">
        <f t="shared" si="245"/>
        <v>295.64366128242779</v>
      </c>
      <c r="D30" s="2203">
        <f t="shared" ref="D30:D89" si="246">C30</f>
        <v>295.64366128242779</v>
      </c>
      <c r="E30" s="2203">
        <f t="shared" ref="E30:F32" si="247">E29/(1+P29)</f>
        <v>525.06646410938095</v>
      </c>
      <c r="F30" s="2203">
        <f t="shared" si="247"/>
        <v>261.88835286009646</v>
      </c>
      <c r="G30" s="3845"/>
      <c r="H30" s="2204">
        <v>3</v>
      </c>
      <c r="I30" s="2204">
        <v>4.12</v>
      </c>
      <c r="J30" s="2204">
        <v>2</v>
      </c>
      <c r="K30" s="2204">
        <v>4.79</v>
      </c>
      <c r="L30" s="2210">
        <v>1.97</v>
      </c>
      <c r="N30" s="2205">
        <f t="shared" ref="N30:Q64" si="248">I30/100</f>
        <v>4.1200000000000001E-2</v>
      </c>
      <c r="O30" s="2190">
        <f t="shared" si="243"/>
        <v>0.02</v>
      </c>
      <c r="P30" s="2190">
        <f t="shared" si="243"/>
        <v>4.7899999999999998E-2</v>
      </c>
      <c r="Q30" s="2190">
        <f t="shared" si="243"/>
        <v>1.9699999999999999E-2</v>
      </c>
      <c r="R30" s="2206"/>
      <c r="S30" s="2205"/>
      <c r="T30" s="2190"/>
      <c r="U30" s="2190"/>
      <c r="V30" s="2190"/>
      <c r="X30" s="2189">
        <f>ROUND(SUMPRODUCT(PRODUCT(1+N30:N$39)),4)</f>
        <v>1.2184999999999999</v>
      </c>
      <c r="Y30" s="2189">
        <f>ROUND(SUMPRODUCT(PRODUCT(1+O30:O$39)),4)</f>
        <v>1.1494</v>
      </c>
      <c r="Z30" s="2189">
        <f t="shared" si="0"/>
        <v>1.1494</v>
      </c>
      <c r="AA30" s="2189">
        <f>ROUND(SUMPRODUCT(PRODUCT(1+P30:P$39)),4)</f>
        <v>1.2425999999999999</v>
      </c>
      <c r="AB30" s="2189">
        <f>ROUND(SUMPRODUCT(PRODUCT(1+Q30:Q$39)),4)</f>
        <v>1.1372</v>
      </c>
      <c r="AD30" s="2190">
        <f>ROUND(AVERAGE(I30:I$40)/100,4)</f>
        <v>2.0899999999999998E-2</v>
      </c>
      <c r="AE30" s="2190">
        <f>ROUND(AVERAGE(J30:J$40)/100,4)</f>
        <v>1.49E-2</v>
      </c>
      <c r="AF30" s="2190">
        <f t="shared" si="1"/>
        <v>1.49E-2</v>
      </c>
      <c r="AG30" s="2190">
        <f>ROUND(AVERAGE(K30:K$40)/100,4)</f>
        <v>2.3099999999999999E-2</v>
      </c>
      <c r="AH30" s="2190">
        <f>ROUND(AVERAGE(L30:L$40)/100,4)</f>
        <v>1.2999999999999999E-2</v>
      </c>
    </row>
    <row r="31" spans="1:34">
      <c r="A31" s="2202" t="s">
        <v>116</v>
      </c>
      <c r="B31" s="2203">
        <f t="shared" si="245"/>
        <v>360.06949782209392</v>
      </c>
      <c r="C31" s="2203">
        <f t="shared" si="245"/>
        <v>289.84672674747821</v>
      </c>
      <c r="D31" s="2203">
        <f t="shared" si="246"/>
        <v>289.84672674747821</v>
      </c>
      <c r="E31" s="2203">
        <f t="shared" si="247"/>
        <v>501.06543001181495</v>
      </c>
      <c r="F31" s="2203">
        <f t="shared" si="247"/>
        <v>256.82882500744967</v>
      </c>
      <c r="G31" s="3845"/>
      <c r="H31" s="2215">
        <v>2</v>
      </c>
      <c r="I31" s="2215">
        <v>3.85</v>
      </c>
      <c r="J31" s="2215">
        <v>1.95</v>
      </c>
      <c r="K31" s="2215">
        <v>4.4800000000000004</v>
      </c>
      <c r="L31" s="2216">
        <v>1.41</v>
      </c>
      <c r="N31" s="2205">
        <f t="shared" si="248"/>
        <v>3.85E-2</v>
      </c>
      <c r="O31" s="2190">
        <f t="shared" si="243"/>
        <v>1.95E-2</v>
      </c>
      <c r="P31" s="2190">
        <f t="shared" si="243"/>
        <v>4.4800000000000006E-2</v>
      </c>
      <c r="Q31" s="2190">
        <f t="shared" si="243"/>
        <v>1.41E-2</v>
      </c>
      <c r="R31" s="2206"/>
      <c r="S31" s="2205"/>
      <c r="T31" s="2190"/>
      <c r="U31" s="2190"/>
      <c r="V31" s="2190"/>
      <c r="X31" s="2189">
        <f>ROUND(SUMPRODUCT(PRODUCT(1+N31:N$39)),4)</f>
        <v>1.1702999999999999</v>
      </c>
      <c r="Y31" s="2189">
        <f>ROUND(SUMPRODUCT(PRODUCT(1+O31:O$39)),4)</f>
        <v>1.1269</v>
      </c>
      <c r="Z31" s="2189">
        <f t="shared" si="0"/>
        <v>1.1269</v>
      </c>
      <c r="AA31" s="2189">
        <f>ROUND(SUMPRODUCT(PRODUCT(1+P31:P$39)),4)</f>
        <v>1.1858</v>
      </c>
      <c r="AB31" s="2189">
        <f>ROUND(SUMPRODUCT(PRODUCT(1+Q31:Q$39)),4)</f>
        <v>1.1152</v>
      </c>
      <c r="AD31" s="2190">
        <f>ROUND(AVERAGE(I31:I$40)/100,4)</f>
        <v>1.89E-2</v>
      </c>
      <c r="AE31" s="2190">
        <f>ROUND(AVERAGE(J31:J$40)/100,4)</f>
        <v>1.44E-2</v>
      </c>
      <c r="AF31" s="2190">
        <f t="shared" si="1"/>
        <v>1.44E-2</v>
      </c>
      <c r="AG31" s="2190">
        <f>ROUND(AVERAGE(K31:K$40)/100,4)</f>
        <v>2.06E-2</v>
      </c>
      <c r="AH31" s="2190">
        <f>ROUND(AVERAGE(L31:L$40)/100,4)</f>
        <v>1.23E-2</v>
      </c>
    </row>
    <row r="32" spans="1:34" ht="13.5" thickBot="1">
      <c r="A32" s="2202" t="s">
        <v>125</v>
      </c>
      <c r="B32" s="2203">
        <f t="shared" si="245"/>
        <v>346.720748986128</v>
      </c>
      <c r="C32" s="2203">
        <f t="shared" si="245"/>
        <v>284.30282172386285</v>
      </c>
      <c r="D32" s="2203">
        <f t="shared" si="246"/>
        <v>284.30282172386285</v>
      </c>
      <c r="E32" s="2203">
        <f t="shared" si="247"/>
        <v>479.58023546306947</v>
      </c>
      <c r="F32" s="2203">
        <f t="shared" si="247"/>
        <v>253.25788877571213</v>
      </c>
      <c r="G32" s="3846"/>
      <c r="H32" s="2204">
        <v>1</v>
      </c>
      <c r="I32" s="2204">
        <v>4.09</v>
      </c>
      <c r="J32" s="2204">
        <v>2.93</v>
      </c>
      <c r="K32" s="2204">
        <v>4.54</v>
      </c>
      <c r="L32" s="2210">
        <v>1.48</v>
      </c>
      <c r="N32" s="2205">
        <f t="shared" si="248"/>
        <v>4.0899999999999999E-2</v>
      </c>
      <c r="O32" s="2190">
        <f t="shared" si="243"/>
        <v>2.9300000000000003E-2</v>
      </c>
      <c r="P32" s="2190">
        <f t="shared" si="243"/>
        <v>4.5400000000000003E-2</v>
      </c>
      <c r="Q32" s="2190">
        <f t="shared" si="243"/>
        <v>1.4800000000000001E-2</v>
      </c>
      <c r="R32" s="2206"/>
      <c r="S32" s="2221">
        <f>B32/B33-1</f>
        <v>4.1203450408792808E-2</v>
      </c>
      <c r="T32" s="2222">
        <f>C32/C33-1</f>
        <v>2.6363977342465095E-2</v>
      </c>
      <c r="U32" s="2222">
        <f>E32/E33-1</f>
        <v>4.4837114298626357E-2</v>
      </c>
      <c r="V32" s="2222">
        <f>F32/F33-1</f>
        <v>1.7099954922538574E-2</v>
      </c>
      <c r="X32" s="2189">
        <f>ROUND(SUMPRODUCT(PRODUCT(1+N32:N$39)),4)</f>
        <v>1.1269</v>
      </c>
      <c r="Y32" s="2189">
        <f>ROUND(SUMPRODUCT(PRODUCT(1+O32:O$39)),4)</f>
        <v>1.1052999999999999</v>
      </c>
      <c r="Z32" s="2189">
        <f t="shared" si="0"/>
        <v>1.1052999999999999</v>
      </c>
      <c r="AA32" s="2189">
        <f>ROUND(SUMPRODUCT(PRODUCT(1+P32:P$39)),4)</f>
        <v>1.1349</v>
      </c>
      <c r="AB32" s="2189">
        <f>ROUND(SUMPRODUCT(PRODUCT(1+Q32:Q$39)),4)</f>
        <v>1.0996999999999999</v>
      </c>
      <c r="AD32" s="2190">
        <f>ROUND(AVERAGE(I32:I$40)/100,4)</f>
        <v>1.67E-2</v>
      </c>
      <c r="AE32" s="2190">
        <f>ROUND(AVERAGE(J32:J$40)/100,4)</f>
        <v>1.38E-2</v>
      </c>
      <c r="AF32" s="2190">
        <f t="shared" si="1"/>
        <v>1.38E-2</v>
      </c>
      <c r="AG32" s="2190">
        <f>ROUND(AVERAGE(K32:K$40)/100,4)</f>
        <v>1.7899999999999999E-2</v>
      </c>
      <c r="AH32" s="2190">
        <f>ROUND(AVERAGE(L32:L$40)/100,4)</f>
        <v>1.21E-2</v>
      </c>
    </row>
    <row r="33" spans="1:34" ht="13.5" thickBot="1">
      <c r="A33" s="2202" t="s">
        <v>124</v>
      </c>
      <c r="B33" s="2217">
        <v>333</v>
      </c>
      <c r="C33" s="2217">
        <v>277</v>
      </c>
      <c r="D33" s="2217">
        <f t="shared" si="246"/>
        <v>277</v>
      </c>
      <c r="E33" s="2217">
        <v>459</v>
      </c>
      <c r="F33" s="2218">
        <v>249</v>
      </c>
      <c r="G33" s="3844">
        <v>2015</v>
      </c>
      <c r="H33" s="2223">
        <v>4</v>
      </c>
      <c r="I33" s="2223">
        <v>1.63</v>
      </c>
      <c r="J33" s="2223">
        <v>1.1100000000000001</v>
      </c>
      <c r="K33" s="2223">
        <v>1.77</v>
      </c>
      <c r="L33" s="2224">
        <v>1.89</v>
      </c>
      <c r="N33" s="2225">
        <f t="shared" si="248"/>
        <v>1.6299999999999999E-2</v>
      </c>
      <c r="O33" s="2226">
        <f t="shared" si="243"/>
        <v>1.11E-2</v>
      </c>
      <c r="P33" s="2226">
        <f t="shared" si="243"/>
        <v>1.77E-2</v>
      </c>
      <c r="Q33" s="2226">
        <f t="shared" si="243"/>
        <v>1.89E-2</v>
      </c>
      <c r="R33" s="2206"/>
      <c r="X33" s="2189">
        <f>ROUND(SUMPRODUCT(PRODUCT(1+N33:N$39)),4)</f>
        <v>1.0826</v>
      </c>
      <c r="Y33" s="2189">
        <f>ROUND(SUMPRODUCT(PRODUCT(1+O33:O$39)),4)</f>
        <v>1.0738000000000001</v>
      </c>
      <c r="Z33" s="2189">
        <f t="shared" si="0"/>
        <v>1.0738000000000001</v>
      </c>
      <c r="AA33" s="2189">
        <f>ROUND(SUMPRODUCT(PRODUCT(1+P33:P$39)),4)</f>
        <v>1.0855999999999999</v>
      </c>
      <c r="AB33" s="2189">
        <f>ROUND(SUMPRODUCT(PRODUCT(1+Q33:Q$39)),4)</f>
        <v>1.0837000000000001</v>
      </c>
      <c r="AD33" s="2190">
        <f>ROUND(AVERAGE(I33:I$40)/100,4)</f>
        <v>1.37E-2</v>
      </c>
      <c r="AE33" s="2190">
        <f>ROUND(AVERAGE(J33:J$40)/100,4)</f>
        <v>1.1900000000000001E-2</v>
      </c>
      <c r="AF33" s="2190">
        <f t="shared" si="1"/>
        <v>1.1900000000000001E-2</v>
      </c>
      <c r="AG33" s="2190">
        <f>ROUND(AVERAGE(K33:K$40)/100,4)</f>
        <v>1.4500000000000001E-2</v>
      </c>
      <c r="AH33" s="2190">
        <f>ROUND(AVERAGE(L33:L$40)/100,4)</f>
        <v>1.18E-2</v>
      </c>
    </row>
    <row r="34" spans="1:34">
      <c r="A34" s="2202" t="s">
        <v>123</v>
      </c>
      <c r="B34" s="2203">
        <f t="shared" ref="B34:C36" si="249">B33/(1+N33)</f>
        <v>327.65915576109415</v>
      </c>
      <c r="C34" s="2203">
        <f t="shared" si="249"/>
        <v>273.95905449510434</v>
      </c>
      <c r="D34" s="2203">
        <f t="shared" si="246"/>
        <v>273.95905449510434</v>
      </c>
      <c r="E34" s="2203">
        <f t="shared" ref="E34:F36" si="250">E33/(1+P33)</f>
        <v>451.01699911565294</v>
      </c>
      <c r="F34" s="2203">
        <f t="shared" si="250"/>
        <v>244.38119540681129</v>
      </c>
      <c r="G34" s="3845"/>
      <c r="H34" s="2228">
        <v>3</v>
      </c>
      <c r="I34" s="2228">
        <v>1.65</v>
      </c>
      <c r="J34" s="2228">
        <v>0.92</v>
      </c>
      <c r="K34" s="2228">
        <v>1.88</v>
      </c>
      <c r="L34" s="2229">
        <v>1.26</v>
      </c>
      <c r="N34" s="2205">
        <f t="shared" si="248"/>
        <v>1.6500000000000001E-2</v>
      </c>
      <c r="O34" s="2230">
        <f t="shared" si="243"/>
        <v>9.1999999999999998E-3</v>
      </c>
      <c r="P34" s="2230">
        <f t="shared" si="243"/>
        <v>1.8799999999999997E-2</v>
      </c>
      <c r="Q34" s="2230">
        <f t="shared" si="243"/>
        <v>1.26E-2</v>
      </c>
      <c r="R34" s="2206"/>
      <c r="S34" s="2205"/>
      <c r="T34" s="2190"/>
      <c r="U34" s="2190"/>
      <c r="V34" s="2190"/>
      <c r="X34" s="2189">
        <f>ROUND(SUMPRODUCT(PRODUCT(1+N34:N$39)),4)</f>
        <v>1.0651999999999999</v>
      </c>
      <c r="Y34" s="2189">
        <f>ROUND(SUMPRODUCT(PRODUCT(1+O34:O$39)),4)</f>
        <v>1.0621</v>
      </c>
      <c r="Z34" s="2189">
        <f t="shared" si="0"/>
        <v>1.0621</v>
      </c>
      <c r="AA34" s="2189">
        <f>ROUND(SUMPRODUCT(PRODUCT(1+P34:P$39)),4)</f>
        <v>1.0668</v>
      </c>
      <c r="AB34" s="2189">
        <f>ROUND(SUMPRODUCT(PRODUCT(1+Q34:Q$39)),4)</f>
        <v>1.0636000000000001</v>
      </c>
      <c r="AD34" s="2190">
        <f>ROUND(AVERAGE(I34:I$40)/100,4)</f>
        <v>1.3299999999999999E-2</v>
      </c>
      <c r="AE34" s="2190">
        <f>ROUND(AVERAGE(J34:J$40)/100,4)</f>
        <v>1.2E-2</v>
      </c>
      <c r="AF34" s="2190">
        <f t="shared" si="1"/>
        <v>1.2E-2</v>
      </c>
      <c r="AG34" s="2190">
        <f>ROUND(AVERAGE(K34:K$40)/100,4)</f>
        <v>1.4E-2</v>
      </c>
      <c r="AH34" s="2190">
        <f>ROUND(AVERAGE(L34:L$40)/100,4)</f>
        <v>1.0800000000000001E-2</v>
      </c>
    </row>
    <row r="35" spans="1:34">
      <c r="A35" s="2202" t="s">
        <v>122</v>
      </c>
      <c r="B35" s="2203">
        <f t="shared" si="249"/>
        <v>322.34053690220776</v>
      </c>
      <c r="C35" s="2203">
        <f t="shared" si="249"/>
        <v>271.46160770422546</v>
      </c>
      <c r="D35" s="2203">
        <f t="shared" si="246"/>
        <v>271.46160770422546</v>
      </c>
      <c r="E35" s="2203">
        <f t="shared" si="250"/>
        <v>442.69434542172456</v>
      </c>
      <c r="F35" s="2203">
        <f t="shared" si="250"/>
        <v>241.34030753190925</v>
      </c>
      <c r="G35" s="3845"/>
      <c r="H35" s="2215">
        <v>2</v>
      </c>
      <c r="I35" s="2215">
        <v>0.77</v>
      </c>
      <c r="J35" s="2215">
        <v>0.69</v>
      </c>
      <c r="K35" s="2215">
        <v>0.8</v>
      </c>
      <c r="L35" s="2216">
        <v>0.88</v>
      </c>
      <c r="N35" s="2205">
        <f t="shared" si="248"/>
        <v>7.7000000000000002E-3</v>
      </c>
      <c r="O35" s="2230">
        <f t="shared" si="243"/>
        <v>6.8999999999999999E-3</v>
      </c>
      <c r="P35" s="2230">
        <f t="shared" si="243"/>
        <v>8.0000000000000002E-3</v>
      </c>
      <c r="Q35" s="2230">
        <f t="shared" si="243"/>
        <v>8.8000000000000005E-3</v>
      </c>
      <c r="R35" s="2206"/>
      <c r="S35" s="2205"/>
      <c r="T35" s="2190"/>
      <c r="U35" s="2190"/>
      <c r="V35" s="2190"/>
      <c r="X35" s="2189">
        <f>ROUND(SUMPRODUCT(PRODUCT(1+N35:N$39)),4)</f>
        <v>1.048</v>
      </c>
      <c r="Y35" s="2189">
        <f>ROUND(SUMPRODUCT(PRODUCT(1+O35:O$39)),4)</f>
        <v>1.0524</v>
      </c>
      <c r="Z35" s="2189">
        <f t="shared" si="0"/>
        <v>1.0524</v>
      </c>
      <c r="AA35" s="2189">
        <f>ROUND(SUMPRODUCT(PRODUCT(1+P35:P$39)),4)</f>
        <v>1.0470999999999999</v>
      </c>
      <c r="AB35" s="2189">
        <f>ROUND(SUMPRODUCT(PRODUCT(1+Q35:Q$39)),4)</f>
        <v>1.0504</v>
      </c>
      <c r="AD35" s="2190">
        <f>ROUND(AVERAGE(I35:I$40)/100,4)</f>
        <v>1.2800000000000001E-2</v>
      </c>
      <c r="AE35" s="2190">
        <f>ROUND(AVERAGE(J35:J$40)/100,4)</f>
        <v>1.2500000000000001E-2</v>
      </c>
      <c r="AF35" s="2190">
        <f t="shared" si="1"/>
        <v>1.2500000000000001E-2</v>
      </c>
      <c r="AG35" s="2190">
        <f>ROUND(AVERAGE(K35:K$40)/100,4)</f>
        <v>1.32E-2</v>
      </c>
      <c r="AH35" s="2190">
        <f>ROUND(AVERAGE(L35:L$40)/100,4)</f>
        <v>1.0500000000000001E-2</v>
      </c>
    </row>
    <row r="36" spans="1:34">
      <c r="A36" s="2202" t="s">
        <v>121</v>
      </c>
      <c r="B36" s="2203">
        <f t="shared" si="249"/>
        <v>319.87748030386797</v>
      </c>
      <c r="C36" s="2203">
        <f t="shared" si="249"/>
        <v>269.60135833173649</v>
      </c>
      <c r="D36" s="2203">
        <f t="shared" si="246"/>
        <v>269.60135833173649</v>
      </c>
      <c r="E36" s="2203">
        <f t="shared" si="250"/>
        <v>439.18089823583784</v>
      </c>
      <c r="F36" s="2203">
        <f t="shared" si="250"/>
        <v>239.23503918706311</v>
      </c>
      <c r="G36" s="3846"/>
      <c r="H36" s="2204">
        <v>1</v>
      </c>
      <c r="I36" s="2204">
        <v>0.51</v>
      </c>
      <c r="J36" s="2204">
        <v>0.54</v>
      </c>
      <c r="K36" s="2204">
        <v>0.48</v>
      </c>
      <c r="L36" s="2210">
        <v>0.93</v>
      </c>
      <c r="N36" s="2221">
        <f t="shared" si="248"/>
        <v>5.1000000000000004E-3</v>
      </c>
      <c r="O36" s="2222">
        <f t="shared" si="243"/>
        <v>5.4000000000000003E-3</v>
      </c>
      <c r="P36" s="2222">
        <f t="shared" si="243"/>
        <v>4.7999999999999996E-3</v>
      </c>
      <c r="Q36" s="2222">
        <f t="shared" si="243"/>
        <v>9.300000000000001E-3</v>
      </c>
      <c r="R36" s="2206"/>
      <c r="S36" s="2221">
        <f>B36/B37-1</f>
        <v>5.9040261127922822E-3</v>
      </c>
      <c r="T36" s="2222">
        <f>C36/C37-1</f>
        <v>5.9752176557332781E-3</v>
      </c>
      <c r="U36" s="2222">
        <f>E36/E37-1</f>
        <v>4.9906138119859556E-3</v>
      </c>
      <c r="V36" s="2222">
        <f>F36/F37-1</f>
        <v>9.4305450930933787E-3</v>
      </c>
      <c r="X36" s="2189">
        <f>ROUND(SUMPRODUCT(PRODUCT(1+N36:N$39)),4)</f>
        <v>1.0399</v>
      </c>
      <c r="Y36" s="2189">
        <f>ROUND(SUMPRODUCT(PRODUCT(1+O36:O$39)),4)</f>
        <v>1.0451999999999999</v>
      </c>
      <c r="Z36" s="2189">
        <f t="shared" si="0"/>
        <v>1.0451999999999999</v>
      </c>
      <c r="AA36" s="2189">
        <f>ROUND(SUMPRODUCT(PRODUCT(1+P36:P$39)),4)</f>
        <v>1.0387999999999999</v>
      </c>
      <c r="AB36" s="2189">
        <f>ROUND(SUMPRODUCT(PRODUCT(1+Q36:Q$39)),4)</f>
        <v>1.0411999999999999</v>
      </c>
      <c r="AD36" s="2190">
        <f>ROUND(AVERAGE(I36:I$40)/100,4)</f>
        <v>1.38E-2</v>
      </c>
      <c r="AE36" s="2190">
        <f>ROUND(AVERAGE(J36:J$40)/100,4)</f>
        <v>1.3599999999999999E-2</v>
      </c>
      <c r="AF36" s="2190">
        <f t="shared" si="1"/>
        <v>1.3599999999999999E-2</v>
      </c>
      <c r="AG36" s="2190">
        <f>ROUND(AVERAGE(K36:K$40)/100,4)</f>
        <v>1.4200000000000001E-2</v>
      </c>
      <c r="AH36" s="2190">
        <f>ROUND(AVERAGE(L36:L$40)/100,4)</f>
        <v>1.0800000000000001E-2</v>
      </c>
    </row>
    <row r="37" spans="1:34" ht="13.5" thickBot="1">
      <c r="A37" s="2202" t="s">
        <v>120</v>
      </c>
      <c r="B37" s="2231">
        <v>318</v>
      </c>
      <c r="C37" s="2231">
        <v>268</v>
      </c>
      <c r="D37" s="2231">
        <f t="shared" si="246"/>
        <v>268</v>
      </c>
      <c r="E37" s="2231">
        <v>437</v>
      </c>
      <c r="F37" s="2232">
        <v>237</v>
      </c>
      <c r="G37" s="3844">
        <v>2014</v>
      </c>
      <c r="H37" s="2223">
        <v>4</v>
      </c>
      <c r="I37" s="2223">
        <v>0.21</v>
      </c>
      <c r="J37" s="2223">
        <v>0.41</v>
      </c>
      <c r="K37" s="2223">
        <v>0.12</v>
      </c>
      <c r="L37" s="2224">
        <v>0.89</v>
      </c>
      <c r="N37" s="2205">
        <f t="shared" si="248"/>
        <v>2.0999999999999999E-3</v>
      </c>
      <c r="O37" s="2190">
        <f t="shared" si="243"/>
        <v>4.0999999999999995E-3</v>
      </c>
      <c r="P37" s="2190">
        <f t="shared" si="243"/>
        <v>1.1999999999999999E-3</v>
      </c>
      <c r="Q37" s="2190">
        <f t="shared" si="243"/>
        <v>8.8999999999999999E-3</v>
      </c>
      <c r="R37" s="2206"/>
      <c r="S37" s="2219"/>
      <c r="T37" s="2220"/>
      <c r="U37" s="2220"/>
      <c r="V37" s="2220"/>
      <c r="X37" s="2189">
        <f>ROUND(SUMPRODUCT(PRODUCT(1+N37:N$39)),4)</f>
        <v>1.0347</v>
      </c>
      <c r="Y37" s="2189">
        <f>ROUND(SUMPRODUCT(PRODUCT(1+O37:O$39)),4)</f>
        <v>1.0395000000000001</v>
      </c>
      <c r="Z37" s="2189">
        <f t="shared" si="0"/>
        <v>1.0395000000000001</v>
      </c>
      <c r="AA37" s="2189">
        <f>ROUND(SUMPRODUCT(PRODUCT(1+P37:P$39)),4)</f>
        <v>1.0338000000000001</v>
      </c>
      <c r="AB37" s="2189">
        <f>ROUND(SUMPRODUCT(PRODUCT(1+Q37:Q$39)),4)</f>
        <v>1.0316000000000001</v>
      </c>
      <c r="AD37" s="2190">
        <f>ROUND(AVERAGE(I37:I$40)/100,4)</f>
        <v>1.6E-2</v>
      </c>
      <c r="AE37" s="2190">
        <f>ROUND(AVERAGE(J37:J$40)/100,4)</f>
        <v>1.5599999999999999E-2</v>
      </c>
      <c r="AF37" s="2190">
        <f t="shared" si="1"/>
        <v>1.5599999999999999E-2</v>
      </c>
      <c r="AG37" s="2190">
        <f>ROUND(AVERAGE(K37:K$40)/100,4)</f>
        <v>1.66E-2</v>
      </c>
      <c r="AH37" s="2190">
        <f>ROUND(AVERAGE(L37:L$40)/100,4)</f>
        <v>1.12E-2</v>
      </c>
    </row>
    <row r="38" spans="1:34">
      <c r="A38" s="2202" t="s">
        <v>119</v>
      </c>
      <c r="B38" s="2203">
        <f t="shared" ref="B38:C40" si="251">B37/(1+N37)</f>
        <v>317.33359944117353</v>
      </c>
      <c r="C38" s="2203">
        <f t="shared" si="251"/>
        <v>266.90568668459315</v>
      </c>
      <c r="D38" s="2203">
        <f t="shared" si="246"/>
        <v>266.90568668459315</v>
      </c>
      <c r="E38" s="2203">
        <f t="shared" ref="E38:F40" si="252">E37/(1+P37)</f>
        <v>436.47622852576905</v>
      </c>
      <c r="F38" s="2203">
        <f t="shared" si="252"/>
        <v>234.90930716622066</v>
      </c>
      <c r="G38" s="3845"/>
      <c r="H38" s="2233">
        <v>3</v>
      </c>
      <c r="I38" s="2233">
        <v>0.83</v>
      </c>
      <c r="J38" s="2233">
        <v>1.47</v>
      </c>
      <c r="K38" s="2233">
        <v>0.65</v>
      </c>
      <c r="L38" s="2234">
        <v>0.72</v>
      </c>
      <c r="N38" s="2205">
        <f t="shared" si="248"/>
        <v>8.3000000000000001E-3</v>
      </c>
      <c r="O38" s="2190">
        <f t="shared" si="243"/>
        <v>1.47E-2</v>
      </c>
      <c r="P38" s="2190">
        <f t="shared" si="243"/>
        <v>6.5000000000000006E-3</v>
      </c>
      <c r="Q38" s="2190">
        <f t="shared" si="243"/>
        <v>7.1999999999999998E-3</v>
      </c>
      <c r="R38" s="2206"/>
      <c r="S38" s="2205"/>
      <c r="T38" s="2190"/>
      <c r="U38" s="2190"/>
      <c r="V38" s="2190"/>
      <c r="X38" s="2189">
        <f>ROUND(SUMPRODUCT(PRODUCT(1+N38:N$39)),4)</f>
        <v>1.0325</v>
      </c>
      <c r="Y38" s="2189">
        <f>ROUND(SUMPRODUCT(PRODUCT(1+O38:O$39)),4)</f>
        <v>1.0353000000000001</v>
      </c>
      <c r="Z38" s="2189">
        <f t="shared" ref="Z38:Z39" si="253">Y38</f>
        <v>1.0353000000000001</v>
      </c>
      <c r="AA38" s="2189">
        <f>ROUND(SUMPRODUCT(PRODUCT(1+P38:P$39)),4)</f>
        <v>1.0326</v>
      </c>
      <c r="AB38" s="2189">
        <f>ROUND(SUMPRODUCT(PRODUCT(1+Q38:Q$39)),4)</f>
        <v>1.0225</v>
      </c>
      <c r="AD38" s="2190">
        <f>ROUND(AVERAGE(I38:I$40)/100,4)</f>
        <v>2.07E-2</v>
      </c>
      <c r="AE38" s="2190">
        <f>ROUND(AVERAGE(J38:J$40)/100,4)</f>
        <v>1.95E-2</v>
      </c>
      <c r="AF38" s="2190">
        <f t="shared" si="1"/>
        <v>1.95E-2</v>
      </c>
      <c r="AG38" s="2190">
        <f>ROUND(AVERAGE(K38:K$40)/100,4)</f>
        <v>2.1700000000000001E-2</v>
      </c>
      <c r="AH38" s="2190">
        <f>ROUND(AVERAGE(L38:L$40)/100,4)</f>
        <v>1.2E-2</v>
      </c>
    </row>
    <row r="39" spans="1:34" ht="13.5" thickBot="1">
      <c r="A39" s="2202" t="s">
        <v>118</v>
      </c>
      <c r="B39" s="2203">
        <f t="shared" si="251"/>
        <v>314.72141172386546</v>
      </c>
      <c r="C39" s="2203">
        <f t="shared" si="251"/>
        <v>263.03901319069001</v>
      </c>
      <c r="D39" s="2203">
        <f t="shared" si="246"/>
        <v>263.03901319069001</v>
      </c>
      <c r="E39" s="2203">
        <f t="shared" si="252"/>
        <v>433.65745506782821</v>
      </c>
      <c r="F39" s="2203">
        <f t="shared" si="252"/>
        <v>233.23005080045735</v>
      </c>
      <c r="G39" s="3845"/>
      <c r="H39" s="2223">
        <v>2</v>
      </c>
      <c r="I39" s="2223">
        <v>2.4</v>
      </c>
      <c r="J39" s="2223">
        <v>2.0299999999999998</v>
      </c>
      <c r="K39" s="2223">
        <v>2.59</v>
      </c>
      <c r="L39" s="2224">
        <v>1.52</v>
      </c>
      <c r="N39" s="2205">
        <f t="shared" si="248"/>
        <v>2.4E-2</v>
      </c>
      <c r="O39" s="2190">
        <f t="shared" si="243"/>
        <v>2.0299999999999999E-2</v>
      </c>
      <c r="P39" s="2190">
        <f t="shared" si="243"/>
        <v>2.5899999999999999E-2</v>
      </c>
      <c r="Q39" s="2190">
        <f t="shared" si="243"/>
        <v>1.52E-2</v>
      </c>
      <c r="R39" s="2206"/>
      <c r="S39" s="2205"/>
      <c r="T39" s="2190"/>
      <c r="U39" s="2190"/>
      <c r="V39" s="2190"/>
      <c r="X39" s="2189">
        <f>1+N39</f>
        <v>1.024</v>
      </c>
      <c r="Y39" s="2189">
        <f>1+O39</f>
        <v>1.0203</v>
      </c>
      <c r="Z39" s="2189">
        <f t="shared" si="253"/>
        <v>1.0203</v>
      </c>
      <c r="AA39" s="2189">
        <f>1+P39</f>
        <v>1.0259</v>
      </c>
      <c r="AB39" s="2189">
        <f>1+Q39</f>
        <v>1.0152000000000001</v>
      </c>
      <c r="AD39" s="2190">
        <f>ROUND(AVERAGE(I39:I$40)/100,4)</f>
        <v>2.69E-2</v>
      </c>
      <c r="AE39" s="2190">
        <f>ROUND(AVERAGE(J39:J$40)/100,4)</f>
        <v>2.1899999999999999E-2</v>
      </c>
      <c r="AF39" s="2190">
        <f t="shared" ref="AF39" si="254">AE39</f>
        <v>2.1899999999999999E-2</v>
      </c>
      <c r="AG39" s="2190">
        <f>ROUND(AVERAGE(K39:K$40)/100,4)</f>
        <v>2.9399999999999999E-2</v>
      </c>
      <c r="AH39" s="2190">
        <f>ROUND(AVERAGE(L39:L$40)/100,4)</f>
        <v>1.44E-2</v>
      </c>
    </row>
    <row r="40" spans="1:34" s="2239" customFormat="1" ht="13.5" thickBot="1">
      <c r="A40" s="2235" t="s">
        <v>117</v>
      </c>
      <c r="B40" s="2236">
        <f t="shared" si="251"/>
        <v>307.34512863658733</v>
      </c>
      <c r="C40" s="2236">
        <f t="shared" si="251"/>
        <v>257.80556031626975</v>
      </c>
      <c r="D40" s="2236">
        <f t="shared" si="246"/>
        <v>257.80556031626975</v>
      </c>
      <c r="E40" s="2236">
        <f t="shared" si="252"/>
        <v>422.70928459677179</v>
      </c>
      <c r="F40" s="2236">
        <f t="shared" si="252"/>
        <v>229.73803270336617</v>
      </c>
      <c r="G40" s="3846"/>
      <c r="H40" s="2237">
        <v>1</v>
      </c>
      <c r="I40" s="2237">
        <v>2.97</v>
      </c>
      <c r="J40" s="2237">
        <v>2.34</v>
      </c>
      <c r="K40" s="2237">
        <v>3.28</v>
      </c>
      <c r="L40" s="2238">
        <v>1.36</v>
      </c>
      <c r="N40" s="2240">
        <f t="shared" si="248"/>
        <v>2.9700000000000001E-2</v>
      </c>
      <c r="O40" s="2241">
        <f t="shared" si="243"/>
        <v>2.3399999999999997E-2</v>
      </c>
      <c r="P40" s="2241">
        <f t="shared" si="243"/>
        <v>3.2799999999999996E-2</v>
      </c>
      <c r="Q40" s="2241">
        <f t="shared" si="243"/>
        <v>1.3600000000000001E-2</v>
      </c>
      <c r="R40" s="2242"/>
      <c r="S40" s="2243">
        <f>B40/B41-1</f>
        <v>2.7910129219355539E-2</v>
      </c>
      <c r="T40" s="2244">
        <f>C40/C41-1</f>
        <v>2.3037937762975247E-2</v>
      </c>
      <c r="U40" s="2244">
        <f>E40/E41-1</f>
        <v>3.3519033243940788E-2</v>
      </c>
      <c r="V40" s="2244">
        <f>F40/F41-1</f>
        <v>1.2061818076502862E-2</v>
      </c>
      <c r="W40" s="2245" t="s">
        <v>464</v>
      </c>
      <c r="X40" s="2246">
        <v>1</v>
      </c>
      <c r="Y40" s="2246">
        <v>1</v>
      </c>
      <c r="Z40" s="2246">
        <v>1</v>
      </c>
      <c r="AA40" s="2246">
        <v>1</v>
      </c>
      <c r="AB40" s="2246">
        <v>1</v>
      </c>
      <c r="AD40" s="2241">
        <f>I40/100</f>
        <v>2.9700000000000001E-2</v>
      </c>
      <c r="AE40" s="2241">
        <f>J40/100</f>
        <v>2.3399999999999997E-2</v>
      </c>
      <c r="AF40" s="2241">
        <f>AE40</f>
        <v>2.3399999999999997E-2</v>
      </c>
      <c r="AG40" s="2241">
        <f>K40/100</f>
        <v>3.2799999999999996E-2</v>
      </c>
      <c r="AH40" s="2241">
        <f>L40/100</f>
        <v>1.3600000000000001E-2</v>
      </c>
    </row>
    <row r="41" spans="1:34" ht="13.5" thickBot="1">
      <c r="A41" s="2202" t="s">
        <v>465</v>
      </c>
      <c r="B41" s="2217">
        <v>299</v>
      </c>
      <c r="C41" s="2217">
        <v>252</v>
      </c>
      <c r="D41" s="2217">
        <f t="shared" si="246"/>
        <v>252</v>
      </c>
      <c r="E41" s="2217">
        <v>409</v>
      </c>
      <c r="F41" s="2218">
        <v>227</v>
      </c>
      <c r="G41" s="3849">
        <v>2013</v>
      </c>
      <c r="H41" s="2247">
        <v>4</v>
      </c>
      <c r="I41" s="2247">
        <v>1.83</v>
      </c>
      <c r="J41" s="2247">
        <v>1.68</v>
      </c>
      <c r="K41" s="2247">
        <v>1.97</v>
      </c>
      <c r="L41" s="2248">
        <v>0.87</v>
      </c>
      <c r="N41" s="2225">
        <f t="shared" si="248"/>
        <v>1.83E-2</v>
      </c>
      <c r="O41" s="2226">
        <f t="shared" si="243"/>
        <v>1.6799999999999999E-2</v>
      </c>
      <c r="P41" s="2226">
        <f t="shared" si="243"/>
        <v>1.9699999999999999E-2</v>
      </c>
      <c r="Q41" s="2226">
        <f t="shared" si="243"/>
        <v>8.6999999999999994E-3</v>
      </c>
      <c r="R41" s="2206"/>
      <c r="S41" s="2219"/>
      <c r="T41" s="2220"/>
      <c r="U41" s="2220"/>
      <c r="V41" s="2220"/>
      <c r="X41" s="2220"/>
      <c r="Y41" s="2220"/>
      <c r="Z41" s="2220"/>
    </row>
    <row r="42" spans="1:34">
      <c r="A42" s="2202" t="s">
        <v>466</v>
      </c>
      <c r="B42" s="2203">
        <f t="shared" ref="B42:C44" si="255">B41/(1+N41)</f>
        <v>293.62663262299913</v>
      </c>
      <c r="C42" s="2203">
        <f t="shared" si="255"/>
        <v>247.83634933123525</v>
      </c>
      <c r="D42" s="2203">
        <f t="shared" si="246"/>
        <v>247.83634933123525</v>
      </c>
      <c r="E42" s="2203">
        <f t="shared" ref="E42:F44" si="256">E41/(1+P41)</f>
        <v>401.09836226341076</v>
      </c>
      <c r="F42" s="2203">
        <f t="shared" si="256"/>
        <v>225.04213343908003</v>
      </c>
      <c r="G42" s="3850"/>
      <c r="H42" s="2228">
        <v>3</v>
      </c>
      <c r="I42" s="2228">
        <v>1.86</v>
      </c>
      <c r="J42" s="2228">
        <v>1.72</v>
      </c>
      <c r="K42" s="2228">
        <v>1.98</v>
      </c>
      <c r="L42" s="2229">
        <v>0.88</v>
      </c>
      <c r="N42" s="2205">
        <f t="shared" si="248"/>
        <v>1.8600000000000002E-2</v>
      </c>
      <c r="O42" s="2230">
        <f t="shared" si="243"/>
        <v>1.72E-2</v>
      </c>
      <c r="P42" s="2230">
        <f t="shared" si="243"/>
        <v>1.9799999999999998E-2</v>
      </c>
      <c r="Q42" s="2230">
        <f t="shared" si="243"/>
        <v>8.8000000000000005E-3</v>
      </c>
      <c r="R42" s="2206"/>
      <c r="S42" s="2205"/>
      <c r="T42" s="2190"/>
      <c r="U42" s="2190"/>
      <c r="V42" s="2190"/>
    </row>
    <row r="43" spans="1:34">
      <c r="A43" s="2202" t="s">
        <v>467</v>
      </c>
      <c r="B43" s="2203">
        <f t="shared" si="255"/>
        <v>288.2649053828776</v>
      </c>
      <c r="C43" s="2203">
        <f t="shared" si="255"/>
        <v>243.64564425013293</v>
      </c>
      <c r="D43" s="2203">
        <f t="shared" si="246"/>
        <v>243.64564425013293</v>
      </c>
      <c r="E43" s="2203">
        <f t="shared" si="256"/>
        <v>393.31080825986544</v>
      </c>
      <c r="F43" s="2203">
        <f t="shared" si="256"/>
        <v>223.07903790551154</v>
      </c>
      <c r="G43" s="3850"/>
      <c r="H43" s="2215">
        <v>2</v>
      </c>
      <c r="I43" s="2215">
        <v>2.04</v>
      </c>
      <c r="J43" s="2215">
        <v>2.33</v>
      </c>
      <c r="K43" s="2215">
        <v>2.0699999999999998</v>
      </c>
      <c r="L43" s="2216">
        <v>0.69</v>
      </c>
      <c r="N43" s="2205">
        <f t="shared" si="248"/>
        <v>2.0400000000000001E-2</v>
      </c>
      <c r="O43" s="2230">
        <f t="shared" si="243"/>
        <v>2.3300000000000001E-2</v>
      </c>
      <c r="P43" s="2230">
        <f t="shared" si="243"/>
        <v>2.07E-2</v>
      </c>
      <c r="Q43" s="2230">
        <f t="shared" si="243"/>
        <v>6.8999999999999999E-3</v>
      </c>
      <c r="R43" s="2206"/>
      <c r="S43" s="2205"/>
      <c r="T43" s="2190"/>
      <c r="U43" s="2190"/>
      <c r="V43" s="2190"/>
      <c r="X43" s="2249"/>
      <c r="Y43" s="2250"/>
    </row>
    <row r="44" spans="1:34">
      <c r="A44" s="2202" t="s">
        <v>468</v>
      </c>
      <c r="B44" s="2203">
        <f t="shared" si="255"/>
        <v>282.50186729015837</v>
      </c>
      <c r="C44" s="2203">
        <f t="shared" si="255"/>
        <v>238.09796174155468</v>
      </c>
      <c r="D44" s="2203">
        <f t="shared" si="246"/>
        <v>238.09796174155468</v>
      </c>
      <c r="E44" s="2203">
        <f t="shared" si="256"/>
        <v>385.33438646014054</v>
      </c>
      <c r="F44" s="2203">
        <f t="shared" si="256"/>
        <v>221.55034055567739</v>
      </c>
      <c r="G44" s="3851"/>
      <c r="H44" s="2204">
        <v>1</v>
      </c>
      <c r="I44" s="2204">
        <v>1.67</v>
      </c>
      <c r="J44" s="2204">
        <v>1.31</v>
      </c>
      <c r="K44" s="2204">
        <v>1.85</v>
      </c>
      <c r="L44" s="2210">
        <v>0.96</v>
      </c>
      <c r="N44" s="2221">
        <f t="shared" si="248"/>
        <v>1.67E-2</v>
      </c>
      <c r="O44" s="2222">
        <f t="shared" si="248"/>
        <v>1.3100000000000001E-2</v>
      </c>
      <c r="P44" s="2222">
        <f t="shared" si="248"/>
        <v>1.8500000000000003E-2</v>
      </c>
      <c r="Q44" s="2222">
        <f t="shared" si="248"/>
        <v>9.5999999999999992E-3</v>
      </c>
      <c r="R44" s="2206"/>
      <c r="S44" s="2221">
        <f>B44/B45-1</f>
        <v>1.6193767230785472E-2</v>
      </c>
      <c r="T44" s="2222">
        <f>C44/C45-1</f>
        <v>1.7512657015190891E-2</v>
      </c>
      <c r="U44" s="2222">
        <f>E44/E45-1</f>
        <v>1.6713420739157048E-2</v>
      </c>
      <c r="V44" s="2222">
        <f>F44/F45-1</f>
        <v>7.0470025258062563E-3</v>
      </c>
      <c r="X44" s="2251"/>
      <c r="Y44" s="2190"/>
      <c r="Z44" s="2190"/>
    </row>
    <row r="45" spans="1:34" ht="13.5" thickBot="1">
      <c r="A45" s="2202" t="s">
        <v>469</v>
      </c>
      <c r="B45" s="2252">
        <v>278</v>
      </c>
      <c r="C45" s="2252">
        <v>234</v>
      </c>
      <c r="D45" s="2252">
        <f t="shared" si="246"/>
        <v>234</v>
      </c>
      <c r="E45" s="2252">
        <v>379</v>
      </c>
      <c r="F45" s="2253">
        <v>220</v>
      </c>
      <c r="G45" s="3844">
        <v>2012</v>
      </c>
      <c r="H45" s="2223">
        <v>4</v>
      </c>
      <c r="I45" s="2223">
        <v>0.91</v>
      </c>
      <c r="J45" s="2223">
        <v>0.68</v>
      </c>
      <c r="K45" s="2223">
        <v>0.98</v>
      </c>
      <c r="L45" s="2224">
        <v>0.9</v>
      </c>
      <c r="N45" s="2205">
        <f t="shared" si="248"/>
        <v>9.1000000000000004E-3</v>
      </c>
      <c r="O45" s="2190">
        <f t="shared" si="248"/>
        <v>6.8000000000000005E-3</v>
      </c>
      <c r="P45" s="2190">
        <f t="shared" si="248"/>
        <v>9.7999999999999997E-3</v>
      </c>
      <c r="Q45" s="2190">
        <f t="shared" si="248"/>
        <v>9.0000000000000011E-3</v>
      </c>
      <c r="R45" s="2206"/>
      <c r="S45" s="2219"/>
      <c r="T45" s="2220"/>
      <c r="U45" s="2220"/>
      <c r="V45" s="2220"/>
      <c r="X45" s="2220"/>
      <c r="Y45" s="2220"/>
      <c r="Z45" s="2220"/>
    </row>
    <row r="46" spans="1:34">
      <c r="A46" s="2202" t="s">
        <v>470</v>
      </c>
      <c r="B46" s="2203">
        <f>B45/(1+N45)</f>
        <v>275.49301357645425</v>
      </c>
      <c r="C46" s="2203">
        <f>C45/(1+O45)</f>
        <v>232.41954707985698</v>
      </c>
      <c r="D46" s="2203">
        <f t="shared" si="246"/>
        <v>232.41954707985698</v>
      </c>
      <c r="E46" s="2203">
        <f t="shared" ref="E46:F48" si="257">E45/(1+P45)</f>
        <v>375.32184591008121</v>
      </c>
      <c r="F46" s="2203">
        <f t="shared" si="257"/>
        <v>218.03766105054513</v>
      </c>
      <c r="G46" s="3845"/>
      <c r="H46" s="2228">
        <v>3</v>
      </c>
      <c r="I46" s="2228">
        <v>0.09</v>
      </c>
      <c r="J46" s="2228">
        <v>0.28999999999999998</v>
      </c>
      <c r="K46" s="2228">
        <v>-0.01</v>
      </c>
      <c r="L46" s="2229">
        <v>0.57999999999999996</v>
      </c>
      <c r="N46" s="2205">
        <f t="shared" si="248"/>
        <v>8.9999999999999998E-4</v>
      </c>
      <c r="O46" s="2190">
        <f t="shared" si="248"/>
        <v>2.8999999999999998E-3</v>
      </c>
      <c r="P46" s="2190">
        <f t="shared" si="248"/>
        <v>-1E-4</v>
      </c>
      <c r="Q46" s="2190">
        <f t="shared" si="248"/>
        <v>5.7999999999999996E-3</v>
      </c>
      <c r="R46" s="2206"/>
      <c r="S46" s="2205"/>
      <c r="T46" s="2190"/>
      <c r="U46" s="2190"/>
      <c r="V46" s="2190"/>
    </row>
    <row r="47" spans="1:34">
      <c r="A47" s="2202" t="s">
        <v>471</v>
      </c>
      <c r="B47" s="2203">
        <f>B46/(1+N46)</f>
        <v>275.24529281292263</v>
      </c>
      <c r="C47" s="2203">
        <f>C46/(1+O46)</f>
        <v>231.74747938962707</v>
      </c>
      <c r="D47" s="2203">
        <f t="shared" si="246"/>
        <v>231.74747938962707</v>
      </c>
      <c r="E47" s="2203">
        <f t="shared" si="257"/>
        <v>375.35938184826603</v>
      </c>
      <c r="F47" s="2203">
        <f t="shared" si="257"/>
        <v>216.78033510692495</v>
      </c>
      <c r="G47" s="3845"/>
      <c r="H47" s="2215">
        <v>2</v>
      </c>
      <c r="I47" s="2215">
        <v>0.02</v>
      </c>
      <c r="J47" s="2215">
        <v>0.12</v>
      </c>
      <c r="K47" s="2215">
        <v>-0.08</v>
      </c>
      <c r="L47" s="2216">
        <v>1.24</v>
      </c>
      <c r="N47" s="2205">
        <f t="shared" si="248"/>
        <v>2.0000000000000001E-4</v>
      </c>
      <c r="O47" s="2190">
        <f t="shared" si="248"/>
        <v>1.1999999999999999E-3</v>
      </c>
      <c r="P47" s="2190">
        <f t="shared" si="248"/>
        <v>-8.0000000000000004E-4</v>
      </c>
      <c r="Q47" s="2190">
        <f t="shared" si="248"/>
        <v>1.24E-2</v>
      </c>
      <c r="R47" s="2206"/>
      <c r="S47" s="2205"/>
      <c r="T47" s="2190"/>
      <c r="U47" s="2190"/>
      <c r="V47" s="2190"/>
    </row>
    <row r="48" spans="1:34" ht="13.5" thickBot="1">
      <c r="A48" s="2202" t="s">
        <v>472</v>
      </c>
      <c r="B48" s="2203">
        <f>B47/(1+N47)</f>
        <v>275.19025476197027</v>
      </c>
      <c r="C48" s="2254">
        <v>232</v>
      </c>
      <c r="D48" s="2254">
        <f t="shared" si="246"/>
        <v>232</v>
      </c>
      <c r="E48" s="2203">
        <f t="shared" si="257"/>
        <v>375.65990977608692</v>
      </c>
      <c r="F48" s="2203">
        <f t="shared" si="257"/>
        <v>214.12518283971252</v>
      </c>
      <c r="G48" s="3846"/>
      <c r="H48" s="2204">
        <v>1</v>
      </c>
      <c r="I48" s="2204">
        <v>0.02</v>
      </c>
      <c r="J48" s="2204">
        <v>0.13</v>
      </c>
      <c r="K48" s="2204">
        <v>-0.04</v>
      </c>
      <c r="L48" s="2210">
        <v>0.46</v>
      </c>
      <c r="N48" s="2205">
        <f t="shared" si="248"/>
        <v>2.0000000000000001E-4</v>
      </c>
      <c r="O48" s="2190">
        <f t="shared" si="248"/>
        <v>1.2999999999999999E-3</v>
      </c>
      <c r="P48" s="2190">
        <f t="shared" si="248"/>
        <v>-4.0000000000000002E-4</v>
      </c>
      <c r="Q48" s="2190">
        <f t="shared" si="248"/>
        <v>4.5999999999999999E-3</v>
      </c>
      <c r="R48" s="2206"/>
      <c r="S48" s="2221">
        <f>B48/B49-1</f>
        <v>6.9183549807361189E-4</v>
      </c>
      <c r="T48" s="2222">
        <f>C48/C49-1</f>
        <v>0</v>
      </c>
      <c r="U48" s="2222">
        <f>E48/E49-1</f>
        <v>-9.0449527636460303E-4</v>
      </c>
      <c r="V48" s="2222">
        <f>F48/F49-1</f>
        <v>5.2825485432512753E-3</v>
      </c>
      <c r="X48" s="2190"/>
      <c r="Y48" s="2190"/>
      <c r="Z48" s="2190"/>
    </row>
    <row r="49" spans="1:26" ht="13.5" thickBot="1">
      <c r="A49" s="2202" t="s">
        <v>473</v>
      </c>
      <c r="B49" s="2217">
        <v>275</v>
      </c>
      <c r="C49" s="2217">
        <v>232</v>
      </c>
      <c r="D49" s="2217">
        <f t="shared" si="246"/>
        <v>232</v>
      </c>
      <c r="E49" s="2217">
        <v>376</v>
      </c>
      <c r="F49" s="2218">
        <v>213</v>
      </c>
      <c r="G49" s="3844">
        <v>2011</v>
      </c>
      <c r="H49" s="2223">
        <v>4</v>
      </c>
      <c r="I49" s="2223">
        <v>-0.2</v>
      </c>
      <c r="J49" s="2223">
        <v>0.04</v>
      </c>
      <c r="K49" s="2223">
        <v>-0.34</v>
      </c>
      <c r="L49" s="2224">
        <v>0.46</v>
      </c>
      <c r="N49" s="2225">
        <f t="shared" si="248"/>
        <v>-2E-3</v>
      </c>
      <c r="O49" s="2226">
        <f t="shared" si="248"/>
        <v>4.0000000000000002E-4</v>
      </c>
      <c r="P49" s="2226">
        <f t="shared" si="248"/>
        <v>-3.4000000000000002E-3</v>
      </c>
      <c r="Q49" s="2226">
        <f t="shared" si="248"/>
        <v>4.5999999999999999E-3</v>
      </c>
      <c r="R49" s="2206"/>
      <c r="S49" s="2219"/>
      <c r="T49" s="2220"/>
      <c r="U49" s="2220"/>
      <c r="V49" s="2220"/>
      <c r="X49" s="2220"/>
      <c r="Y49" s="2220"/>
      <c r="Z49" s="2220"/>
    </row>
    <row r="50" spans="1:26">
      <c r="A50" s="2202" t="s">
        <v>474</v>
      </c>
      <c r="B50" s="2203">
        <f t="shared" ref="B50:C52" si="258">B49/(1+N49)</f>
        <v>275.55110220440883</v>
      </c>
      <c r="C50" s="2203">
        <f t="shared" si="258"/>
        <v>231.90723710515795</v>
      </c>
      <c r="D50" s="2203">
        <f t="shared" si="246"/>
        <v>231.90723710515795</v>
      </c>
      <c r="E50" s="2203">
        <f t="shared" ref="E50:F52" si="259">E49/(1+P49)</f>
        <v>377.28276138872161</v>
      </c>
      <c r="F50" s="2203">
        <f t="shared" si="259"/>
        <v>212.02468644236512</v>
      </c>
      <c r="G50" s="3845">
        <v>2011</v>
      </c>
      <c r="H50" s="2228">
        <v>3</v>
      </c>
      <c r="I50" s="2228">
        <v>0.13</v>
      </c>
      <c r="J50" s="2228">
        <v>0.75</v>
      </c>
      <c r="K50" s="2228">
        <v>-0.08</v>
      </c>
      <c r="L50" s="2229">
        <v>0.53</v>
      </c>
      <c r="N50" s="2205">
        <f t="shared" si="248"/>
        <v>1.2999999999999999E-3</v>
      </c>
      <c r="O50" s="2230">
        <f t="shared" si="248"/>
        <v>7.4999999999999997E-3</v>
      </c>
      <c r="P50" s="2230">
        <f t="shared" si="248"/>
        <v>-8.0000000000000004E-4</v>
      </c>
      <c r="Q50" s="2230">
        <f t="shared" si="248"/>
        <v>5.3E-3</v>
      </c>
      <c r="R50" s="2206"/>
      <c r="S50" s="2205"/>
      <c r="T50" s="2190"/>
      <c r="U50" s="2190"/>
      <c r="V50" s="2190"/>
    </row>
    <row r="51" spans="1:26">
      <c r="A51" s="2202" t="s">
        <v>475</v>
      </c>
      <c r="B51" s="2203">
        <f t="shared" si="258"/>
        <v>275.19335084830601</v>
      </c>
      <c r="C51" s="2203">
        <f t="shared" si="258"/>
        <v>230.18088050139744</v>
      </c>
      <c r="D51" s="2203">
        <f t="shared" si="246"/>
        <v>230.18088050139744</v>
      </c>
      <c r="E51" s="2203">
        <f t="shared" si="259"/>
        <v>377.58482925212331</v>
      </c>
      <c r="F51" s="2203">
        <f t="shared" si="259"/>
        <v>210.90687997847917</v>
      </c>
      <c r="G51" s="3845">
        <v>2011</v>
      </c>
      <c r="H51" s="2215">
        <v>2</v>
      </c>
      <c r="I51" s="2215">
        <v>-0.4</v>
      </c>
      <c r="J51" s="2215">
        <v>0.17</v>
      </c>
      <c r="K51" s="2215">
        <v>-0.57999999999999996</v>
      </c>
      <c r="L51" s="2216">
        <v>-0.2</v>
      </c>
      <c r="N51" s="2205">
        <f t="shared" si="248"/>
        <v>-4.0000000000000001E-3</v>
      </c>
      <c r="O51" s="2230">
        <f t="shared" si="248"/>
        <v>1.7000000000000001E-3</v>
      </c>
      <c r="P51" s="2230">
        <f t="shared" si="248"/>
        <v>-5.7999999999999996E-3</v>
      </c>
      <c r="Q51" s="2230">
        <f t="shared" si="248"/>
        <v>-2E-3</v>
      </c>
      <c r="R51" s="2206"/>
      <c r="S51" s="2205"/>
      <c r="T51" s="2190"/>
      <c r="U51" s="2190"/>
      <c r="V51" s="2190"/>
    </row>
    <row r="52" spans="1:26" ht="13.5" thickBot="1">
      <c r="A52" s="2202" t="s">
        <v>476</v>
      </c>
      <c r="B52" s="2203">
        <f t="shared" si="258"/>
        <v>276.29854502841971</v>
      </c>
      <c r="C52" s="2203">
        <f t="shared" si="258"/>
        <v>229.79023709833027</v>
      </c>
      <c r="D52" s="2203">
        <f t="shared" si="246"/>
        <v>229.79023709833027</v>
      </c>
      <c r="E52" s="2203">
        <f t="shared" si="259"/>
        <v>379.78759731655936</v>
      </c>
      <c r="F52" s="2203">
        <f t="shared" si="259"/>
        <v>211.32953905659235</v>
      </c>
      <c r="G52" s="3846">
        <v>2011</v>
      </c>
      <c r="H52" s="2204">
        <v>1</v>
      </c>
      <c r="I52" s="2204">
        <v>2.65</v>
      </c>
      <c r="J52" s="2204">
        <v>3.76</v>
      </c>
      <c r="K52" s="2204">
        <v>1.89</v>
      </c>
      <c r="L52" s="2210">
        <v>7.95</v>
      </c>
      <c r="N52" s="2221">
        <f t="shared" si="248"/>
        <v>2.6499999999999999E-2</v>
      </c>
      <c r="O52" s="2222">
        <f t="shared" si="248"/>
        <v>3.7599999999999995E-2</v>
      </c>
      <c r="P52" s="2222">
        <f t="shared" si="248"/>
        <v>1.89E-2</v>
      </c>
      <c r="Q52" s="2222">
        <f t="shared" si="248"/>
        <v>7.9500000000000001E-2</v>
      </c>
      <c r="R52" s="2206"/>
      <c r="S52" s="2221">
        <f>B52/B53-1</f>
        <v>2.713213765211786E-2</v>
      </c>
      <c r="T52" s="2222">
        <f>C52/C53-1</f>
        <v>3.9774828499231862E-2</v>
      </c>
      <c r="U52" s="2222">
        <f>E52/E53-1</f>
        <v>1.8197311840641772E-2</v>
      </c>
      <c r="V52" s="2222">
        <f>F52/F53-1</f>
        <v>7.8211933962205826E-2</v>
      </c>
      <c r="X52" s="2190"/>
      <c r="Y52" s="2190"/>
      <c r="Z52" s="2190"/>
    </row>
    <row r="53" spans="1:26" ht="13.5" thickBot="1">
      <c r="A53" s="2202" t="s">
        <v>477</v>
      </c>
      <c r="B53" s="2217">
        <v>269</v>
      </c>
      <c r="C53" s="2217">
        <v>221</v>
      </c>
      <c r="D53" s="2217">
        <f t="shared" si="246"/>
        <v>221</v>
      </c>
      <c r="E53" s="2217">
        <v>373</v>
      </c>
      <c r="F53" s="2218">
        <v>196</v>
      </c>
      <c r="G53" s="3844">
        <v>2010</v>
      </c>
      <c r="H53" s="2223">
        <v>4</v>
      </c>
      <c r="I53" s="2223">
        <v>5.72</v>
      </c>
      <c r="J53" s="2223">
        <v>6.57</v>
      </c>
      <c r="K53" s="2223">
        <v>5.72</v>
      </c>
      <c r="L53" s="2224">
        <v>2.72</v>
      </c>
      <c r="N53" s="2205">
        <f t="shared" si="248"/>
        <v>5.7200000000000001E-2</v>
      </c>
      <c r="O53" s="2190">
        <f t="shared" si="248"/>
        <v>6.5700000000000008E-2</v>
      </c>
      <c r="P53" s="2190">
        <f t="shared" si="248"/>
        <v>5.7200000000000001E-2</v>
      </c>
      <c r="Q53" s="2190">
        <f t="shared" si="248"/>
        <v>2.7200000000000002E-2</v>
      </c>
      <c r="R53" s="2206"/>
      <c r="S53" s="2219"/>
      <c r="T53" s="2220"/>
      <c r="U53" s="2220"/>
      <c r="V53" s="2220"/>
      <c r="X53" s="2220"/>
      <c r="Y53" s="2220"/>
      <c r="Z53" s="2220"/>
    </row>
    <row r="54" spans="1:26">
      <c r="A54" s="2202" t="s">
        <v>478</v>
      </c>
      <c r="B54" s="2203">
        <f t="shared" ref="B54:C56" si="260">B53/(1+N53)</f>
        <v>254.44570563753314</v>
      </c>
      <c r="C54" s="2203">
        <f t="shared" si="260"/>
        <v>207.37543398705074</v>
      </c>
      <c r="D54" s="2203">
        <f t="shared" si="246"/>
        <v>207.37543398705074</v>
      </c>
      <c r="E54" s="2203">
        <f t="shared" ref="E54:F56" si="261">E53/(1+P53)</f>
        <v>352.81876655315932</v>
      </c>
      <c r="F54" s="2203">
        <f t="shared" si="261"/>
        <v>190.809968847352</v>
      </c>
      <c r="G54" s="3845">
        <v>2010</v>
      </c>
      <c r="H54" s="2228">
        <v>3</v>
      </c>
      <c r="I54" s="2228">
        <v>4.7300000000000004</v>
      </c>
      <c r="J54" s="2228">
        <v>3.9</v>
      </c>
      <c r="K54" s="2228">
        <v>5.03</v>
      </c>
      <c r="L54" s="2229">
        <v>4.21</v>
      </c>
      <c r="N54" s="2205">
        <f t="shared" si="248"/>
        <v>4.7300000000000002E-2</v>
      </c>
      <c r="O54" s="2190">
        <f t="shared" si="248"/>
        <v>3.9E-2</v>
      </c>
      <c r="P54" s="2190">
        <f t="shared" si="248"/>
        <v>5.0300000000000004E-2</v>
      </c>
      <c r="Q54" s="2190">
        <f t="shared" si="248"/>
        <v>4.2099999999999999E-2</v>
      </c>
      <c r="R54" s="2206"/>
      <c r="S54" s="2205"/>
      <c r="T54" s="2190"/>
      <c r="U54" s="2190"/>
      <c r="V54" s="2190"/>
    </row>
    <row r="55" spans="1:26">
      <c r="A55" s="2202" t="s">
        <v>479</v>
      </c>
      <c r="B55" s="2203">
        <f t="shared" si="260"/>
        <v>242.95398227588385</v>
      </c>
      <c r="C55" s="2203">
        <f t="shared" si="260"/>
        <v>199.59137053614126</v>
      </c>
      <c r="D55" s="2203">
        <f t="shared" si="246"/>
        <v>199.59137053614126</v>
      </c>
      <c r="E55" s="2203">
        <f t="shared" si="261"/>
        <v>335.92189522342125</v>
      </c>
      <c r="F55" s="2203">
        <f t="shared" si="261"/>
        <v>183.10139991109489</v>
      </c>
      <c r="G55" s="3845">
        <v>2010</v>
      </c>
      <c r="H55" s="2215">
        <v>2</v>
      </c>
      <c r="I55" s="2215">
        <v>4.6900000000000004</v>
      </c>
      <c r="J55" s="2215">
        <v>3.55</v>
      </c>
      <c r="K55" s="2215">
        <v>5.07</v>
      </c>
      <c r="L55" s="2216">
        <v>4.2300000000000004</v>
      </c>
      <c r="N55" s="2205">
        <f t="shared" si="248"/>
        <v>4.6900000000000004E-2</v>
      </c>
      <c r="O55" s="2190">
        <f t="shared" si="248"/>
        <v>3.5499999999999997E-2</v>
      </c>
      <c r="P55" s="2190">
        <f t="shared" si="248"/>
        <v>5.0700000000000002E-2</v>
      </c>
      <c r="Q55" s="2190">
        <f t="shared" si="248"/>
        <v>4.2300000000000004E-2</v>
      </c>
      <c r="R55" s="2206"/>
      <c r="S55" s="2205"/>
      <c r="T55" s="2190"/>
      <c r="U55" s="2190"/>
      <c r="V55" s="2190"/>
    </row>
    <row r="56" spans="1:26" ht="13.5" thickBot="1">
      <c r="A56" s="2202" t="s">
        <v>480</v>
      </c>
      <c r="B56" s="2203">
        <f t="shared" si="260"/>
        <v>232.06990378821649</v>
      </c>
      <c r="C56" s="2203">
        <f t="shared" si="260"/>
        <v>192.74878854286936</v>
      </c>
      <c r="D56" s="2203">
        <f t="shared" si="246"/>
        <v>192.74878854286936</v>
      </c>
      <c r="E56" s="2203">
        <f t="shared" si="261"/>
        <v>319.71247284992984</v>
      </c>
      <c r="F56" s="2203">
        <f t="shared" si="261"/>
        <v>175.67053622862409</v>
      </c>
      <c r="G56" s="3846">
        <v>2010</v>
      </c>
      <c r="H56" s="2204">
        <v>1</v>
      </c>
      <c r="I56" s="2204">
        <v>5.4</v>
      </c>
      <c r="J56" s="2204">
        <v>3.2</v>
      </c>
      <c r="K56" s="2204">
        <v>6.16</v>
      </c>
      <c r="L56" s="2210">
        <v>4.51</v>
      </c>
      <c r="N56" s="2205">
        <f t="shared" si="248"/>
        <v>5.4000000000000006E-2</v>
      </c>
      <c r="O56" s="2190">
        <f t="shared" si="248"/>
        <v>3.2000000000000001E-2</v>
      </c>
      <c r="P56" s="2190">
        <f t="shared" si="248"/>
        <v>6.1600000000000002E-2</v>
      </c>
      <c r="Q56" s="2190">
        <f t="shared" si="248"/>
        <v>4.5100000000000001E-2</v>
      </c>
      <c r="R56" s="2206"/>
      <c r="S56" s="2221">
        <f>B56/B57-1</f>
        <v>5.4863199037347599E-2</v>
      </c>
      <c r="T56" s="2222">
        <f>C56/C57-1</f>
        <v>3.0742184721226584E-2</v>
      </c>
      <c r="U56" s="2222">
        <f>E56/E57-1</f>
        <v>6.2167683886810154E-2</v>
      </c>
      <c r="V56" s="2222">
        <f>F56/F57-1</f>
        <v>4.5657953741810031E-2</v>
      </c>
      <c r="X56" s="2190"/>
      <c r="Y56" s="2190"/>
      <c r="Z56" s="2190"/>
    </row>
    <row r="57" spans="1:26" ht="13.5" thickBot="1">
      <c r="A57" s="2202" t="s">
        <v>481</v>
      </c>
      <c r="B57" s="2217">
        <v>220</v>
      </c>
      <c r="C57" s="2217">
        <v>187</v>
      </c>
      <c r="D57" s="2217">
        <f t="shared" si="246"/>
        <v>187</v>
      </c>
      <c r="E57" s="2217">
        <v>301</v>
      </c>
      <c r="F57" s="2218">
        <v>168</v>
      </c>
      <c r="G57" s="3844">
        <v>2009</v>
      </c>
      <c r="H57" s="2223">
        <v>4</v>
      </c>
      <c r="I57" s="2223">
        <v>2.2999999999999998</v>
      </c>
      <c r="J57" s="2223">
        <v>1.04</v>
      </c>
      <c r="K57" s="2223">
        <v>2.84</v>
      </c>
      <c r="L57" s="2224">
        <v>0.67</v>
      </c>
      <c r="N57" s="2225">
        <f t="shared" si="248"/>
        <v>2.3E-2</v>
      </c>
      <c r="O57" s="2226">
        <f t="shared" si="248"/>
        <v>1.04E-2</v>
      </c>
      <c r="P57" s="2226">
        <f t="shared" si="248"/>
        <v>2.8399999999999998E-2</v>
      </c>
      <c r="Q57" s="2226">
        <f t="shared" si="248"/>
        <v>6.7000000000000002E-3</v>
      </c>
      <c r="R57" s="2206"/>
      <c r="S57" s="2219"/>
      <c r="T57" s="2220"/>
      <c r="U57" s="2220"/>
      <c r="V57" s="2220"/>
      <c r="X57" s="2220"/>
      <c r="Y57" s="2220"/>
      <c r="Z57" s="2220"/>
    </row>
    <row r="58" spans="1:26">
      <c r="A58" s="2202" t="s">
        <v>482</v>
      </c>
      <c r="B58" s="2203">
        <f t="shared" ref="B58:C60" si="262">B57/(1+N57)</f>
        <v>215.05376344086022</v>
      </c>
      <c r="C58" s="2203">
        <f t="shared" si="262"/>
        <v>185.0752177355503</v>
      </c>
      <c r="D58" s="2203">
        <f t="shared" si="246"/>
        <v>185.0752177355503</v>
      </c>
      <c r="E58" s="2203">
        <f t="shared" ref="E58:F60" si="263">E57/(1+P57)</f>
        <v>292.68767016725008</v>
      </c>
      <c r="F58" s="2203">
        <f t="shared" si="263"/>
        <v>166.88189132810174</v>
      </c>
      <c r="G58" s="3845">
        <v>2009</v>
      </c>
      <c r="H58" s="2228">
        <v>3</v>
      </c>
      <c r="I58" s="2228">
        <v>2.1</v>
      </c>
      <c r="J58" s="2228">
        <v>1.86</v>
      </c>
      <c r="K58" s="2228">
        <v>2.29</v>
      </c>
      <c r="L58" s="2229">
        <v>0.85</v>
      </c>
      <c r="N58" s="2205">
        <f t="shared" si="248"/>
        <v>2.1000000000000001E-2</v>
      </c>
      <c r="O58" s="2230">
        <f t="shared" si="248"/>
        <v>1.8600000000000002E-2</v>
      </c>
      <c r="P58" s="2230">
        <f t="shared" si="248"/>
        <v>2.29E-2</v>
      </c>
      <c r="Q58" s="2230">
        <f t="shared" si="248"/>
        <v>8.5000000000000006E-3</v>
      </c>
      <c r="R58" s="2206"/>
      <c r="S58" s="2205"/>
      <c r="T58" s="2190"/>
      <c r="U58" s="2190"/>
      <c r="V58" s="2190"/>
    </row>
    <row r="59" spans="1:26">
      <c r="A59" s="2202" t="s">
        <v>483</v>
      </c>
      <c r="B59" s="2203">
        <f t="shared" si="262"/>
        <v>210.630522469011</v>
      </c>
      <c r="C59" s="2203">
        <f t="shared" si="262"/>
        <v>181.69567812247232</v>
      </c>
      <c r="D59" s="2203">
        <f t="shared" si="246"/>
        <v>181.69567812247232</v>
      </c>
      <c r="E59" s="2203">
        <f t="shared" si="263"/>
        <v>286.13517466736738</v>
      </c>
      <c r="F59" s="2203">
        <f t="shared" si="263"/>
        <v>165.47535084591149</v>
      </c>
      <c r="G59" s="3845">
        <v>2009</v>
      </c>
      <c r="H59" s="2215">
        <v>2</v>
      </c>
      <c r="I59" s="2215">
        <v>0.86</v>
      </c>
      <c r="J59" s="2215">
        <v>-1.1299999999999999</v>
      </c>
      <c r="K59" s="2215">
        <v>1.79</v>
      </c>
      <c r="L59" s="2216">
        <v>-2.0699999999999998</v>
      </c>
      <c r="N59" s="2205">
        <f t="shared" si="248"/>
        <v>8.6E-3</v>
      </c>
      <c r="O59" s="2230">
        <f t="shared" si="248"/>
        <v>-1.1299999999999999E-2</v>
      </c>
      <c r="P59" s="2230">
        <f t="shared" si="248"/>
        <v>1.7899999999999999E-2</v>
      </c>
      <c r="Q59" s="2230">
        <f t="shared" si="248"/>
        <v>-2.07E-2</v>
      </c>
      <c r="R59" s="2206"/>
      <c r="S59" s="2205"/>
      <c r="T59" s="2190"/>
      <c r="U59" s="2190"/>
      <c r="V59" s="2190"/>
    </row>
    <row r="60" spans="1:26">
      <c r="A60" s="2202" t="s">
        <v>484</v>
      </c>
      <c r="B60" s="2203">
        <f t="shared" si="262"/>
        <v>208.83454537875372</v>
      </c>
      <c r="C60" s="2203">
        <f t="shared" si="262"/>
        <v>183.77230517090351</v>
      </c>
      <c r="D60" s="2203">
        <f t="shared" si="246"/>
        <v>183.77230517090351</v>
      </c>
      <c r="E60" s="2203">
        <f t="shared" si="263"/>
        <v>281.10342338870947</v>
      </c>
      <c r="F60" s="2203">
        <f t="shared" si="263"/>
        <v>168.97309388942256</v>
      </c>
      <c r="G60" s="3846">
        <v>2009</v>
      </c>
      <c r="H60" s="2204">
        <v>1</v>
      </c>
      <c r="I60" s="2204">
        <v>-2.64</v>
      </c>
      <c r="J60" s="2204">
        <v>-2.5299999999999998</v>
      </c>
      <c r="K60" s="2204">
        <v>-3.02</v>
      </c>
      <c r="L60" s="2210">
        <v>1.52</v>
      </c>
      <c r="N60" s="2221">
        <f t="shared" si="248"/>
        <v>-2.64E-2</v>
      </c>
      <c r="O60" s="2222">
        <f t="shared" si="248"/>
        <v>-2.53E-2</v>
      </c>
      <c r="P60" s="2222">
        <f t="shared" si="248"/>
        <v>-3.0200000000000001E-2</v>
      </c>
      <c r="Q60" s="2222">
        <f t="shared" si="248"/>
        <v>1.52E-2</v>
      </c>
      <c r="R60" s="2206"/>
      <c r="S60" s="2221">
        <f>B60/B61-1</f>
        <v>-2.4137638417038754E-2</v>
      </c>
      <c r="T60" s="2222">
        <f>C60/C61-1</f>
        <v>-2.248773845264096E-2</v>
      </c>
      <c r="U60" s="2222">
        <f>E60/E61-1</f>
        <v>-2.7323794502735366E-2</v>
      </c>
      <c r="V60" s="2222">
        <f>F60/F61-1</f>
        <v>1.7910204153148035E-2</v>
      </c>
      <c r="X60" s="2190"/>
      <c r="Y60" s="2190"/>
      <c r="Z60" s="2190"/>
    </row>
    <row r="61" spans="1:26" ht="13.5" thickBot="1">
      <c r="A61" s="2202" t="s">
        <v>485</v>
      </c>
      <c r="B61" s="2252">
        <v>214</v>
      </c>
      <c r="C61" s="2252">
        <v>188</v>
      </c>
      <c r="D61" s="2252">
        <f t="shared" si="246"/>
        <v>188</v>
      </c>
      <c r="E61" s="2252">
        <v>289</v>
      </c>
      <c r="F61" s="2253">
        <v>166</v>
      </c>
      <c r="G61" s="3844">
        <v>2008</v>
      </c>
      <c r="H61" s="2223">
        <v>4</v>
      </c>
      <c r="I61" s="2223">
        <v>1.73</v>
      </c>
      <c r="J61" s="2223">
        <v>0.03</v>
      </c>
      <c r="K61" s="2223">
        <v>2.59</v>
      </c>
      <c r="L61" s="2224">
        <v>-1.66</v>
      </c>
      <c r="N61" s="2205">
        <f t="shared" si="248"/>
        <v>1.7299999999999999E-2</v>
      </c>
      <c r="O61" s="2190">
        <f t="shared" si="248"/>
        <v>2.9999999999999997E-4</v>
      </c>
      <c r="P61" s="2190">
        <f t="shared" si="248"/>
        <v>2.5899999999999999E-2</v>
      </c>
      <c r="Q61" s="2190">
        <f t="shared" si="248"/>
        <v>-1.66E-2</v>
      </c>
      <c r="R61" s="2206"/>
      <c r="S61" s="2219"/>
      <c r="T61" s="2220"/>
      <c r="U61" s="2220"/>
      <c r="V61" s="2220"/>
      <c r="X61" s="2220"/>
      <c r="Y61" s="2220"/>
      <c r="Z61" s="2220"/>
    </row>
    <row r="62" spans="1:26">
      <c r="A62" s="2202" t="s">
        <v>486</v>
      </c>
      <c r="B62" s="2203">
        <f t="shared" ref="B62:C64" si="264">B61/(1+N61)</f>
        <v>210.36075887152265</v>
      </c>
      <c r="C62" s="2203">
        <f t="shared" si="264"/>
        <v>187.94361691492554</v>
      </c>
      <c r="D62" s="2203">
        <f t="shared" si="246"/>
        <v>187.94361691492554</v>
      </c>
      <c r="E62" s="2203">
        <f t="shared" ref="E62:F64" si="265">E61/(1+P61)</f>
        <v>281.70386977288234</v>
      </c>
      <c r="F62" s="2203">
        <f t="shared" si="265"/>
        <v>168.80211511083994</v>
      </c>
      <c r="G62" s="3845">
        <v>2008</v>
      </c>
      <c r="H62" s="2228">
        <v>3</v>
      </c>
      <c r="I62" s="2228">
        <v>1.96</v>
      </c>
      <c r="J62" s="2228">
        <v>2.36</v>
      </c>
      <c r="K62" s="2228">
        <v>1.82</v>
      </c>
      <c r="L62" s="2229">
        <v>2.2200000000000002</v>
      </c>
      <c r="N62" s="2205">
        <f t="shared" si="248"/>
        <v>1.9599999999999999E-2</v>
      </c>
      <c r="O62" s="2190">
        <f t="shared" si="248"/>
        <v>2.3599999999999999E-2</v>
      </c>
      <c r="P62" s="2190">
        <f t="shared" si="248"/>
        <v>1.8200000000000001E-2</v>
      </c>
      <c r="Q62" s="2190">
        <f t="shared" si="248"/>
        <v>2.2200000000000001E-2</v>
      </c>
      <c r="R62" s="2206"/>
      <c r="S62" s="2205"/>
      <c r="T62" s="2190"/>
      <c r="U62" s="2190"/>
      <c r="V62" s="2190"/>
    </row>
    <row r="63" spans="1:26">
      <c r="A63" s="2202" t="s">
        <v>487</v>
      </c>
      <c r="B63" s="2203">
        <f t="shared" si="264"/>
        <v>206.31694671589116</v>
      </c>
      <c r="C63" s="2203">
        <f t="shared" si="264"/>
        <v>183.61041121036101</v>
      </c>
      <c r="D63" s="2203">
        <f t="shared" si="246"/>
        <v>183.61041121036101</v>
      </c>
      <c r="E63" s="2203">
        <f t="shared" si="265"/>
        <v>276.66850301795557</v>
      </c>
      <c r="F63" s="2203">
        <f t="shared" si="265"/>
        <v>165.1360938278614</v>
      </c>
      <c r="G63" s="3845">
        <v>2008</v>
      </c>
      <c r="H63" s="2215">
        <v>2</v>
      </c>
      <c r="I63" s="2215">
        <v>4.93</v>
      </c>
      <c r="J63" s="2215">
        <v>7.38</v>
      </c>
      <c r="K63" s="2215">
        <v>3.98</v>
      </c>
      <c r="L63" s="2216">
        <v>6.86</v>
      </c>
      <c r="N63" s="2205">
        <f t="shared" si="248"/>
        <v>4.9299999999999997E-2</v>
      </c>
      <c r="O63" s="2190">
        <f t="shared" si="248"/>
        <v>7.3800000000000004E-2</v>
      </c>
      <c r="P63" s="2190">
        <f t="shared" si="248"/>
        <v>3.9800000000000002E-2</v>
      </c>
      <c r="Q63" s="2190">
        <f t="shared" si="248"/>
        <v>6.8600000000000008E-2</v>
      </c>
      <c r="R63" s="2206"/>
      <c r="S63" s="2205"/>
      <c r="T63" s="2190"/>
      <c r="U63" s="2190"/>
      <c r="V63" s="2190"/>
    </row>
    <row r="64" spans="1:26" s="2258" customFormat="1" ht="13.5" thickBot="1">
      <c r="A64" s="2202" t="s">
        <v>488</v>
      </c>
      <c r="B64" s="2255">
        <f t="shared" si="264"/>
        <v>196.62341248059772</v>
      </c>
      <c r="C64" s="2255">
        <f t="shared" si="264"/>
        <v>170.99125648199012</v>
      </c>
      <c r="D64" s="2255">
        <f t="shared" si="246"/>
        <v>170.99125648199012</v>
      </c>
      <c r="E64" s="2255">
        <f t="shared" si="265"/>
        <v>266.07857570490052</v>
      </c>
      <c r="F64" s="2255">
        <f t="shared" si="265"/>
        <v>154.53499328828505</v>
      </c>
      <c r="G64" s="3846">
        <v>2008</v>
      </c>
      <c r="H64" s="2256">
        <v>1</v>
      </c>
      <c r="I64" s="2256">
        <v>4.1399999999999997</v>
      </c>
      <c r="J64" s="2256">
        <v>3.45</v>
      </c>
      <c r="K64" s="2256">
        <v>4.95</v>
      </c>
      <c r="L64" s="2257">
        <v>4.82</v>
      </c>
      <c r="N64" s="2259">
        <f t="shared" si="248"/>
        <v>4.1399999999999999E-2</v>
      </c>
      <c r="O64" s="2260">
        <f t="shared" si="248"/>
        <v>3.4500000000000003E-2</v>
      </c>
      <c r="P64" s="2260">
        <f t="shared" si="248"/>
        <v>4.9500000000000002E-2</v>
      </c>
      <c r="Q64" s="2260">
        <f t="shared" si="248"/>
        <v>4.82E-2</v>
      </c>
      <c r="R64" s="2261"/>
      <c r="S64" s="2259">
        <f>B64/B65-1</f>
        <v>4.5869215322328349E-2</v>
      </c>
      <c r="T64" s="2260">
        <f>C64/C65-1</f>
        <v>3.6310645345394743E-2</v>
      </c>
      <c r="U64" s="2260">
        <f>E64/E65-1</f>
        <v>4.7553447657088688E-2</v>
      </c>
      <c r="V64" s="2260">
        <f>F64/F65-1</f>
        <v>4.4155360055980086E-2</v>
      </c>
      <c r="X64" s="2260"/>
      <c r="Y64" s="2260"/>
      <c r="Z64" s="2260"/>
    </row>
    <row r="65" spans="1:26" ht="13.5" thickBot="1">
      <c r="A65" s="2202" t="s">
        <v>489</v>
      </c>
      <c r="B65" s="2217">
        <v>188</v>
      </c>
      <c r="C65" s="2217">
        <v>165</v>
      </c>
      <c r="D65" s="2217">
        <f t="shared" si="246"/>
        <v>165</v>
      </c>
      <c r="E65" s="2217">
        <v>254</v>
      </c>
      <c r="F65" s="2218">
        <v>148</v>
      </c>
      <c r="G65" s="3844">
        <v>2007</v>
      </c>
      <c r="H65" s="2262">
        <v>4</v>
      </c>
      <c r="I65" s="2262">
        <v>5.51</v>
      </c>
      <c r="J65" s="2262">
        <v>4.8899999999999997</v>
      </c>
      <c r="K65" s="2262">
        <v>6.43</v>
      </c>
      <c r="L65" s="2263">
        <v>5.36</v>
      </c>
      <c r="N65" s="2264">
        <f t="shared" ref="N65:O68" si="266">B65/B66-1</f>
        <v>4.1339718365245526E-2</v>
      </c>
      <c r="O65" s="2265">
        <f t="shared" si="266"/>
        <v>4.0324492593776018E-2</v>
      </c>
      <c r="P65" s="2265">
        <f t="shared" ref="P65:Q68" si="267">E65/E66-1</f>
        <v>6.1625555347990968E-2</v>
      </c>
      <c r="Q65" s="2265">
        <f t="shared" si="267"/>
        <v>4.6757569250590603E-2</v>
      </c>
      <c r="R65" s="2206"/>
      <c r="S65" s="2219"/>
      <c r="T65" s="2220"/>
      <c r="U65" s="2220"/>
      <c r="V65" s="2220"/>
      <c r="X65" s="2220"/>
      <c r="Y65" s="2220"/>
      <c r="Z65" s="2220"/>
    </row>
    <row r="66" spans="1:26">
      <c r="A66" s="2202" t="s">
        <v>490</v>
      </c>
      <c r="B66" s="2203">
        <f t="shared" ref="B66:C68" si="268">B67+(B$65-B$69)*I66/SUM(I$65:I$68)</f>
        <v>180.5366651097618</v>
      </c>
      <c r="C66" s="2203">
        <f t="shared" si="268"/>
        <v>158.60435967302453</v>
      </c>
      <c r="D66" s="2203">
        <f t="shared" si="246"/>
        <v>158.60435967302453</v>
      </c>
      <c r="E66" s="2203">
        <f t="shared" ref="E66:F68" si="269">E67+(E$65-E$69)*K66/SUM(K$65:K$68)</f>
        <v>239.25573260785075</v>
      </c>
      <c r="F66" s="2203">
        <f t="shared" si="269"/>
        <v>141.38899430740037</v>
      </c>
      <c r="G66" s="3845">
        <v>2007</v>
      </c>
      <c r="H66" s="2228">
        <v>3</v>
      </c>
      <c r="I66" s="2228">
        <v>8.65</v>
      </c>
      <c r="J66" s="2228">
        <v>8.06</v>
      </c>
      <c r="K66" s="2228">
        <v>9.94</v>
      </c>
      <c r="L66" s="2229">
        <v>5.8</v>
      </c>
      <c r="N66" s="2264">
        <f t="shared" si="266"/>
        <v>6.940217571740015E-2</v>
      </c>
      <c r="O66" s="2265">
        <f t="shared" si="266"/>
        <v>7.1197482471153428E-2</v>
      </c>
      <c r="P66" s="2265">
        <f t="shared" si="267"/>
        <v>0.10529679922579582</v>
      </c>
      <c r="Q66" s="2265">
        <f t="shared" si="267"/>
        <v>5.3292245059512133E-2</v>
      </c>
      <c r="R66" s="2206"/>
      <c r="S66" s="2205"/>
      <c r="T66" s="2190"/>
      <c r="U66" s="2190"/>
      <c r="V66" s="2190"/>
      <c r="X66" s="2266"/>
      <c r="Y66" s="2266"/>
      <c r="Z66" s="2266"/>
    </row>
    <row r="67" spans="1:26">
      <c r="A67" s="2202" t="s">
        <v>491</v>
      </c>
      <c r="B67" s="2203">
        <f t="shared" si="268"/>
        <v>168.82017748715555</v>
      </c>
      <c r="C67" s="2203">
        <f t="shared" si="268"/>
        <v>148.06267029972753</v>
      </c>
      <c r="D67" s="2203">
        <f t="shared" si="246"/>
        <v>148.06267029972753</v>
      </c>
      <c r="E67" s="2203">
        <f t="shared" si="269"/>
        <v>216.46288379323747</v>
      </c>
      <c r="F67" s="2203">
        <f t="shared" si="269"/>
        <v>134.23529411764704</v>
      </c>
      <c r="G67" s="3845">
        <v>2007</v>
      </c>
      <c r="H67" s="2215">
        <v>2</v>
      </c>
      <c r="I67" s="2215">
        <v>3.67</v>
      </c>
      <c r="J67" s="2215">
        <v>2.3199999999999998</v>
      </c>
      <c r="K67" s="2215">
        <v>5.0199999999999996</v>
      </c>
      <c r="L67" s="2216">
        <v>6.71</v>
      </c>
      <c r="N67" s="2264">
        <f t="shared" si="266"/>
        <v>3.0339138143848032E-2</v>
      </c>
      <c r="O67" s="2265">
        <f t="shared" si="266"/>
        <v>2.0922341588790472E-2</v>
      </c>
      <c r="P67" s="2265">
        <f t="shared" si="267"/>
        <v>5.6164796592717003E-2</v>
      </c>
      <c r="Q67" s="2265">
        <f t="shared" si="267"/>
        <v>6.5704536723887319E-2</v>
      </c>
      <c r="R67" s="2206"/>
      <c r="S67" s="2205"/>
      <c r="T67" s="2190"/>
      <c r="U67" s="2190"/>
      <c r="V67" s="2190"/>
      <c r="X67" s="2266"/>
      <c r="Y67" s="2266"/>
      <c r="Z67" s="2266"/>
    </row>
    <row r="68" spans="1:26">
      <c r="A68" s="2202" t="s">
        <v>492</v>
      </c>
      <c r="B68" s="2203">
        <f t="shared" si="268"/>
        <v>163.84913591779542</v>
      </c>
      <c r="C68" s="2203">
        <f t="shared" si="268"/>
        <v>145.0283378746594</v>
      </c>
      <c r="D68" s="2203">
        <f t="shared" si="246"/>
        <v>145.0283378746594</v>
      </c>
      <c r="E68" s="2203">
        <f t="shared" si="269"/>
        <v>204.95180722891567</v>
      </c>
      <c r="F68" s="2203">
        <f t="shared" si="269"/>
        <v>125.95920303605313</v>
      </c>
      <c r="G68" s="3846">
        <v>2007</v>
      </c>
      <c r="H68" s="2204">
        <v>1</v>
      </c>
      <c r="I68" s="2204">
        <v>3.58</v>
      </c>
      <c r="J68" s="2204">
        <v>3.08</v>
      </c>
      <c r="K68" s="2204">
        <v>4.34</v>
      </c>
      <c r="L68" s="2210">
        <v>3.21</v>
      </c>
      <c r="N68" s="2267">
        <f t="shared" si="266"/>
        <v>3.0497710174814063E-2</v>
      </c>
      <c r="O68" s="2268">
        <f t="shared" si="266"/>
        <v>2.8569772160704998E-2</v>
      </c>
      <c r="P68" s="2268">
        <f t="shared" si="267"/>
        <v>5.1034908866234296E-2</v>
      </c>
      <c r="Q68" s="2268">
        <f t="shared" si="267"/>
        <v>3.245248390207478E-2</v>
      </c>
      <c r="R68" s="2206"/>
      <c r="S68" s="2221">
        <f>B68/B69-1</f>
        <v>3.0497710174814063E-2</v>
      </c>
      <c r="T68" s="2222">
        <f>C68/C69-1</f>
        <v>2.8569772160704998E-2</v>
      </c>
      <c r="U68" s="2222">
        <f>E68/E69-1</f>
        <v>5.1034908866234296E-2</v>
      </c>
      <c r="V68" s="2222">
        <f>F68/F69-1</f>
        <v>3.245248390207478E-2</v>
      </c>
      <c r="X68" s="2266"/>
      <c r="Y68" s="2266"/>
      <c r="Z68" s="2266"/>
    </row>
    <row r="69" spans="1:26" ht="13.5" thickBot="1">
      <c r="A69" s="2202" t="s">
        <v>493</v>
      </c>
      <c r="B69" s="2231">
        <v>159</v>
      </c>
      <c r="C69" s="2231">
        <v>141</v>
      </c>
      <c r="D69" s="2231">
        <f t="shared" si="246"/>
        <v>141</v>
      </c>
      <c r="E69" s="2231">
        <v>195</v>
      </c>
      <c r="F69" s="2232">
        <v>122</v>
      </c>
      <c r="G69" s="3844">
        <v>2006</v>
      </c>
      <c r="H69" s="2223">
        <v>4</v>
      </c>
      <c r="I69" s="2223">
        <v>3.79</v>
      </c>
      <c r="J69" s="2223">
        <v>2.21</v>
      </c>
      <c r="K69" s="2223">
        <v>5.65</v>
      </c>
      <c r="L69" s="2224">
        <v>5.41</v>
      </c>
      <c r="N69" s="2264">
        <f t="shared" ref="N69:O72" si="270">I69/SUM(I$69:I$72)*(B$69/B$73-1)</f>
        <v>7.245466462748526E-2</v>
      </c>
      <c r="O69" s="2265">
        <f t="shared" si="270"/>
        <v>2.3237230038062766E-2</v>
      </c>
      <c r="P69" s="2265">
        <f t="shared" ref="P69:Q72" si="271">K69/SUM(K$69:K$72)*(E$69/E$73-1)</f>
        <v>0.16146893866323722</v>
      </c>
      <c r="Q69" s="2265">
        <f t="shared" si="271"/>
        <v>5.0755230321793784E-2</v>
      </c>
      <c r="R69" s="2206"/>
      <c r="S69" s="2219"/>
      <c r="T69" s="2220"/>
      <c r="U69" s="2220"/>
      <c r="V69" s="2220"/>
      <c r="X69" s="2266"/>
      <c r="Y69" s="2266"/>
      <c r="Z69" s="2266"/>
    </row>
    <row r="70" spans="1:26">
      <c r="A70" s="2202" t="s">
        <v>494</v>
      </c>
      <c r="B70" s="2203">
        <f t="shared" ref="B70:C72" si="272">B71+(B$69-B$73)*I70/SUM(I$69:I$72)</f>
        <v>149.00125628140702</v>
      </c>
      <c r="C70" s="2203">
        <f t="shared" si="272"/>
        <v>137.95592286501378</v>
      </c>
      <c r="D70" s="2203">
        <f t="shared" si="246"/>
        <v>137.95592286501378</v>
      </c>
      <c r="E70" s="2203">
        <f t="shared" ref="E70:F72" si="273">E71+(E$69-E$73)*K70/SUM(K$69:K$72)</f>
        <v>169.97231450719823</v>
      </c>
      <c r="F70" s="2203">
        <f t="shared" si="273"/>
        <v>116.21390374331551</v>
      </c>
      <c r="G70" s="3845">
        <v>2006</v>
      </c>
      <c r="H70" s="2228">
        <v>3</v>
      </c>
      <c r="I70" s="2228">
        <v>0.92</v>
      </c>
      <c r="J70" s="2228">
        <v>1.08</v>
      </c>
      <c r="K70" s="2228">
        <v>0.73</v>
      </c>
      <c r="L70" s="2229">
        <v>1.08</v>
      </c>
      <c r="N70" s="2264">
        <f t="shared" si="270"/>
        <v>1.7587939698492462E-2</v>
      </c>
      <c r="O70" s="2265">
        <f t="shared" si="270"/>
        <v>1.1355750425840628E-2</v>
      </c>
      <c r="P70" s="2265">
        <f t="shared" si="271"/>
        <v>2.0862358446754544E-2</v>
      </c>
      <c r="Q70" s="2265">
        <f t="shared" si="271"/>
        <v>1.0132282578103011E-2</v>
      </c>
      <c r="R70" s="2206"/>
      <c r="S70" s="2205"/>
      <c r="T70" s="2190"/>
      <c r="U70" s="2190"/>
      <c r="V70" s="2190"/>
      <c r="X70" s="2266"/>
      <c r="Y70" s="2266"/>
      <c r="Z70" s="2266"/>
    </row>
    <row r="71" spans="1:26">
      <c r="A71" s="2202" t="s">
        <v>495</v>
      </c>
      <c r="B71" s="2203">
        <f t="shared" si="272"/>
        <v>146.57412060301507</v>
      </c>
      <c r="C71" s="2203">
        <f t="shared" si="272"/>
        <v>136.46831955922866</v>
      </c>
      <c r="D71" s="2203">
        <f t="shared" si="246"/>
        <v>136.46831955922866</v>
      </c>
      <c r="E71" s="2203">
        <f t="shared" si="273"/>
        <v>166.73864894795128</v>
      </c>
      <c r="F71" s="2203">
        <f t="shared" si="273"/>
        <v>115.05882352941177</v>
      </c>
      <c r="G71" s="3845">
        <v>2006</v>
      </c>
      <c r="H71" s="2215">
        <v>2</v>
      </c>
      <c r="I71" s="2215">
        <v>0.96</v>
      </c>
      <c r="J71" s="2215">
        <v>0.25</v>
      </c>
      <c r="K71" s="2215">
        <v>1.9</v>
      </c>
      <c r="L71" s="2216">
        <v>0.95</v>
      </c>
      <c r="N71" s="2264">
        <f t="shared" si="270"/>
        <v>1.8352632728861701E-2</v>
      </c>
      <c r="O71" s="2265">
        <f t="shared" si="270"/>
        <v>2.6286459319075526E-3</v>
      </c>
      <c r="P71" s="2265">
        <f t="shared" si="271"/>
        <v>5.4299289107991269E-2</v>
      </c>
      <c r="Q71" s="2265">
        <f t="shared" si="271"/>
        <v>8.9126559714794995E-3</v>
      </c>
      <c r="R71" s="2206"/>
      <c r="S71" s="2205"/>
      <c r="T71" s="2190"/>
      <c r="U71" s="2190"/>
      <c r="V71" s="2190"/>
      <c r="X71" s="2266"/>
      <c r="Y71" s="2266"/>
      <c r="Z71" s="2266"/>
    </row>
    <row r="72" spans="1:26">
      <c r="A72" s="2202" t="s">
        <v>496</v>
      </c>
      <c r="B72" s="2203">
        <f t="shared" si="272"/>
        <v>144.04145728643215</v>
      </c>
      <c r="C72" s="2203">
        <f t="shared" si="272"/>
        <v>136.12396694214877</v>
      </c>
      <c r="D72" s="2203">
        <f t="shared" si="246"/>
        <v>136.12396694214877</v>
      </c>
      <c r="E72" s="2203">
        <f t="shared" si="273"/>
        <v>158.32225913621264</v>
      </c>
      <c r="F72" s="2203">
        <f t="shared" si="273"/>
        <v>114.04278074866311</v>
      </c>
      <c r="G72" s="3846">
        <v>2006</v>
      </c>
      <c r="H72" s="2204">
        <v>1</v>
      </c>
      <c r="I72" s="2204">
        <v>2.29</v>
      </c>
      <c r="J72" s="2204">
        <v>3.72</v>
      </c>
      <c r="K72" s="2204">
        <v>0.75</v>
      </c>
      <c r="L72" s="2210">
        <v>0.04</v>
      </c>
      <c r="N72" s="2267">
        <f t="shared" si="270"/>
        <v>4.3778675988638847E-2</v>
      </c>
      <c r="O72" s="2268">
        <f t="shared" si="270"/>
        <v>3.9114251466784385E-2</v>
      </c>
      <c r="P72" s="2268">
        <f t="shared" si="271"/>
        <v>2.1433929911049188E-2</v>
      </c>
      <c r="Q72" s="2268">
        <f t="shared" si="271"/>
        <v>3.7526972511492629E-4</v>
      </c>
      <c r="R72" s="2206"/>
      <c r="S72" s="2221">
        <f>B72/B73-1</f>
        <v>4.3778675988638716E-2</v>
      </c>
      <c r="T72" s="2222">
        <f>C72/C73-1</f>
        <v>3.91142514667846E-2</v>
      </c>
      <c r="U72" s="2222">
        <f>E72/E73-1</f>
        <v>2.143392991104931E-2</v>
      </c>
      <c r="V72" s="2222">
        <f>F72/F73-1</f>
        <v>3.7526972511492396E-4</v>
      </c>
      <c r="X72" s="2266"/>
      <c r="Y72" s="2266"/>
      <c r="Z72" s="2266"/>
    </row>
    <row r="73" spans="1:26" ht="13.5" thickBot="1">
      <c r="A73" s="2202" t="s">
        <v>497</v>
      </c>
      <c r="B73" s="2231">
        <v>138</v>
      </c>
      <c r="C73" s="2231">
        <v>131</v>
      </c>
      <c r="D73" s="2231">
        <f t="shared" si="246"/>
        <v>131</v>
      </c>
      <c r="E73" s="2231">
        <v>155</v>
      </c>
      <c r="F73" s="2232">
        <v>114</v>
      </c>
      <c r="G73" s="3844">
        <v>2005</v>
      </c>
      <c r="H73" s="2223">
        <v>4</v>
      </c>
      <c r="I73" s="2223">
        <v>3.29</v>
      </c>
      <c r="J73" s="2223">
        <v>1.44</v>
      </c>
      <c r="K73" s="2223">
        <v>0.66</v>
      </c>
      <c r="L73" s="2224">
        <v>7.78</v>
      </c>
      <c r="N73" s="2264">
        <f t="shared" ref="N73:O76" si="274">I73/SUM(I$73:I$76)*(B$73/B$77-1)</f>
        <v>9.9404603216919935E-2</v>
      </c>
      <c r="O73" s="2265">
        <f t="shared" si="274"/>
        <v>4.7636550760861554E-2</v>
      </c>
      <c r="P73" s="2265">
        <f t="shared" ref="P73:Q76" si="275">K73/SUM(K$73:K$76)*(E$73/E$77-1)</f>
        <v>8.3756345177664976E-2</v>
      </c>
      <c r="Q73" s="2265">
        <f t="shared" si="275"/>
        <v>5.2148766661559584E-2</v>
      </c>
      <c r="R73" s="2206"/>
      <c r="S73" s="2219"/>
      <c r="T73" s="2220"/>
      <c r="U73" s="2220"/>
      <c r="V73" s="2220"/>
      <c r="X73" s="2266"/>
      <c r="Y73" s="2266"/>
      <c r="Z73" s="2266"/>
    </row>
    <row r="74" spans="1:26">
      <c r="A74" s="2202" t="s">
        <v>498</v>
      </c>
      <c r="B74" s="2203">
        <f t="shared" ref="B74:C76" si="276">B75+(B$73-B$77)*I74/SUM(I$73:I$76)</f>
        <v>125.9720430107527</v>
      </c>
      <c r="C74" s="2203">
        <f t="shared" si="276"/>
        <v>125.1883408071749</v>
      </c>
      <c r="D74" s="2203">
        <f t="shared" si="246"/>
        <v>125.1883408071749</v>
      </c>
      <c r="E74" s="2203">
        <f t="shared" ref="E74:F76" si="277">E75+(E$73-E$77)*K74/SUM(K$73:K$76)</f>
        <v>144.61421319796952</v>
      </c>
      <c r="F74" s="2203">
        <f t="shared" si="277"/>
        <v>108.42008196721311</v>
      </c>
      <c r="G74" s="3845">
        <v>2005</v>
      </c>
      <c r="H74" s="2228">
        <v>3</v>
      </c>
      <c r="I74" s="2228">
        <v>0.46</v>
      </c>
      <c r="J74" s="2228">
        <v>0.32</v>
      </c>
      <c r="K74" s="2228">
        <v>0.42</v>
      </c>
      <c r="L74" s="2229">
        <v>0.64</v>
      </c>
      <c r="N74" s="2264">
        <f t="shared" si="274"/>
        <v>1.3898515951301874E-2</v>
      </c>
      <c r="O74" s="2265">
        <f t="shared" si="274"/>
        <v>1.0585900169080346E-2</v>
      </c>
      <c r="P74" s="2265">
        <f t="shared" si="275"/>
        <v>5.3299492385786795E-2</v>
      </c>
      <c r="Q74" s="2265">
        <f t="shared" si="275"/>
        <v>4.2898728359123568E-3</v>
      </c>
      <c r="R74" s="2206"/>
      <c r="S74" s="2205"/>
      <c r="T74" s="2190"/>
      <c r="U74" s="2190"/>
      <c r="V74" s="2190"/>
      <c r="X74" s="2266"/>
      <c r="Y74" s="2266"/>
      <c r="Z74" s="2266"/>
    </row>
    <row r="75" spans="1:26">
      <c r="A75" s="2202" t="s">
        <v>499</v>
      </c>
      <c r="B75" s="2203">
        <f t="shared" si="276"/>
        <v>124.29032258064517</v>
      </c>
      <c r="C75" s="2203">
        <f t="shared" si="276"/>
        <v>123.8968609865471</v>
      </c>
      <c r="D75" s="2203">
        <f t="shared" si="246"/>
        <v>123.8968609865471</v>
      </c>
      <c r="E75" s="2203">
        <f t="shared" si="277"/>
        <v>138.00507614213197</v>
      </c>
      <c r="F75" s="2203">
        <f t="shared" si="277"/>
        <v>107.96106557377048</v>
      </c>
      <c r="G75" s="3845">
        <v>2005</v>
      </c>
      <c r="H75" s="2215">
        <v>2</v>
      </c>
      <c r="I75" s="2215">
        <v>0.47</v>
      </c>
      <c r="J75" s="2215">
        <v>0.1</v>
      </c>
      <c r="K75" s="2215">
        <v>0.52</v>
      </c>
      <c r="L75" s="2216">
        <v>0.79</v>
      </c>
      <c r="N75" s="2264">
        <f t="shared" si="274"/>
        <v>1.420065760241713E-2</v>
      </c>
      <c r="O75" s="2265">
        <f t="shared" si="274"/>
        <v>3.3080938028376083E-3</v>
      </c>
      <c r="P75" s="2265">
        <f t="shared" si="275"/>
        <v>6.598984771573603E-2</v>
      </c>
      <c r="Q75" s="2265">
        <f t="shared" si="275"/>
        <v>5.2953117818293153E-3</v>
      </c>
      <c r="R75" s="2206"/>
      <c r="S75" s="2205"/>
      <c r="T75" s="2190"/>
      <c r="U75" s="2190"/>
      <c r="V75" s="2190"/>
      <c r="X75" s="2266"/>
      <c r="Y75" s="2266"/>
      <c r="Z75" s="2266"/>
    </row>
    <row r="76" spans="1:26">
      <c r="A76" s="2202" t="s">
        <v>500</v>
      </c>
      <c r="B76" s="2203">
        <f t="shared" si="276"/>
        <v>122.57204301075269</v>
      </c>
      <c r="C76" s="2203">
        <f t="shared" si="276"/>
        <v>123.4932735426009</v>
      </c>
      <c r="D76" s="2203">
        <f t="shared" si="246"/>
        <v>123.4932735426009</v>
      </c>
      <c r="E76" s="2203">
        <f t="shared" si="277"/>
        <v>129.82233502538071</v>
      </c>
      <c r="F76" s="2203">
        <f t="shared" si="277"/>
        <v>107.39446721311475</v>
      </c>
      <c r="G76" s="3846">
        <v>2005</v>
      </c>
      <c r="H76" s="2204">
        <v>1</v>
      </c>
      <c r="I76" s="2204">
        <v>0.43</v>
      </c>
      <c r="J76" s="2204">
        <v>0.37</v>
      </c>
      <c r="K76" s="2204">
        <v>0.37</v>
      </c>
      <c r="L76" s="2210">
        <v>0.55000000000000004</v>
      </c>
      <c r="N76" s="2267">
        <f t="shared" si="274"/>
        <v>1.2992090997956099E-2</v>
      </c>
      <c r="O76" s="2268">
        <f t="shared" si="274"/>
        <v>1.2239947070499151E-2</v>
      </c>
      <c r="P76" s="2268">
        <f t="shared" si="275"/>
        <v>4.6954314720812178E-2</v>
      </c>
      <c r="Q76" s="2268">
        <f t="shared" si="275"/>
        <v>3.6866094683621815E-3</v>
      </c>
      <c r="R76" s="2206"/>
      <c r="S76" s="2221">
        <f>B76/B77-1</f>
        <v>1.2992090997956174E-2</v>
      </c>
      <c r="T76" s="2222">
        <f>C76/C77-1</f>
        <v>1.2239947070499246E-2</v>
      </c>
      <c r="U76" s="2222">
        <f>E76/E77-1</f>
        <v>4.695431472081224E-2</v>
      </c>
      <c r="V76" s="2222">
        <f>F76/F77-1</f>
        <v>3.6866094683620787E-3</v>
      </c>
      <c r="X76" s="2266"/>
      <c r="Y76" s="2266"/>
      <c r="Z76" s="2266"/>
    </row>
    <row r="77" spans="1:26" ht="13.5" thickBot="1">
      <c r="A77" s="2202" t="s">
        <v>501</v>
      </c>
      <c r="B77" s="2252">
        <v>121</v>
      </c>
      <c r="C77" s="2252">
        <v>122</v>
      </c>
      <c r="D77" s="2252">
        <f t="shared" si="246"/>
        <v>122</v>
      </c>
      <c r="E77" s="2252">
        <v>124</v>
      </c>
      <c r="F77" s="2253">
        <v>107</v>
      </c>
      <c r="G77" s="3844">
        <v>2004</v>
      </c>
      <c r="H77" s="2223">
        <v>4</v>
      </c>
      <c r="I77" s="2223">
        <v>0.33</v>
      </c>
      <c r="J77" s="2223">
        <v>0.5</v>
      </c>
      <c r="K77" s="2223">
        <v>0.5</v>
      </c>
      <c r="L77" s="2224">
        <v>0</v>
      </c>
      <c r="N77" s="2264">
        <f t="shared" ref="N77:O80" si="278">I77/SUM(I$77:I$80)*(B$77/B$81-1)</f>
        <v>1.3391770148526898E-2</v>
      </c>
      <c r="O77" s="2265">
        <f t="shared" si="278"/>
        <v>1.063264221158958E-2</v>
      </c>
      <c r="P77" s="2265">
        <f t="shared" ref="P77:Q80" si="279">K77/SUM(K$77:K$80)*(E$77/E$81-1)</f>
        <v>2.2244466688911134E-2</v>
      </c>
      <c r="Q77" s="2265">
        <f t="shared" si="279"/>
        <v>0</v>
      </c>
      <c r="R77" s="2206"/>
      <c r="S77" s="2219"/>
      <c r="T77" s="2220"/>
      <c r="U77" s="2220"/>
      <c r="V77" s="2220"/>
      <c r="X77" s="2266"/>
      <c r="Y77" s="2266"/>
      <c r="Z77" s="2266"/>
    </row>
    <row r="78" spans="1:26">
      <c r="A78" s="2202" t="s">
        <v>502</v>
      </c>
      <c r="B78" s="2203">
        <f t="shared" ref="B78:C80" si="280">B79+(B$77-B$81)*I78/SUM(I$77:I$80)</f>
        <v>119.51351351351352</v>
      </c>
      <c r="C78" s="2203">
        <f t="shared" si="280"/>
        <v>120.7878787878788</v>
      </c>
      <c r="D78" s="2203">
        <f t="shared" si="246"/>
        <v>120.7878787878788</v>
      </c>
      <c r="E78" s="2203">
        <f t="shared" ref="E78:F80" si="281">E79+(E$77-E$81)*K78/SUM(K$77:K$80)</f>
        <v>121.5975975975976</v>
      </c>
      <c r="F78" s="2203">
        <f t="shared" si="281"/>
        <v>107</v>
      </c>
      <c r="G78" s="3845">
        <v>2004</v>
      </c>
      <c r="H78" s="2228">
        <v>3</v>
      </c>
      <c r="I78" s="2228">
        <v>0.56000000000000005</v>
      </c>
      <c r="J78" s="2228">
        <v>0.8</v>
      </c>
      <c r="K78" s="2228">
        <v>0.83</v>
      </c>
      <c r="L78" s="2229">
        <v>0.06</v>
      </c>
      <c r="N78" s="2264">
        <f t="shared" si="278"/>
        <v>2.2725428130833527E-2</v>
      </c>
      <c r="O78" s="2265">
        <f t="shared" si="278"/>
        <v>1.7012227538543329E-2</v>
      </c>
      <c r="P78" s="2265">
        <f t="shared" si="279"/>
        <v>3.6925814703592477E-2</v>
      </c>
      <c r="Q78" s="2265">
        <f t="shared" si="279"/>
        <v>2.8846153846153744E-2</v>
      </c>
      <c r="R78" s="2206"/>
      <c r="S78" s="2205"/>
      <c r="T78" s="2190"/>
      <c r="U78" s="2190"/>
      <c r="V78" s="2190"/>
      <c r="X78" s="2266"/>
      <c r="Y78" s="2266"/>
      <c r="Z78" s="2266"/>
    </row>
    <row r="79" spans="1:26">
      <c r="A79" s="2202" t="s">
        <v>503</v>
      </c>
      <c r="B79" s="2203">
        <f t="shared" si="280"/>
        <v>116.99099099099099</v>
      </c>
      <c r="C79" s="2203">
        <f t="shared" si="280"/>
        <v>118.84848484848486</v>
      </c>
      <c r="D79" s="2203">
        <f t="shared" si="246"/>
        <v>118.84848484848486</v>
      </c>
      <c r="E79" s="2203">
        <f t="shared" si="281"/>
        <v>117.60960960960961</v>
      </c>
      <c r="F79" s="2203">
        <f t="shared" si="281"/>
        <v>104</v>
      </c>
      <c r="G79" s="3845">
        <v>2004</v>
      </c>
      <c r="H79" s="2215">
        <v>2</v>
      </c>
      <c r="I79" s="2215">
        <v>1</v>
      </c>
      <c r="J79" s="2215">
        <v>1.5</v>
      </c>
      <c r="K79" s="2215">
        <v>1.5</v>
      </c>
      <c r="L79" s="2216">
        <v>0</v>
      </c>
      <c r="N79" s="2264">
        <f t="shared" si="278"/>
        <v>4.0581121662202721E-2</v>
      </c>
      <c r="O79" s="2265">
        <f t="shared" si="278"/>
        <v>3.1897926634768738E-2</v>
      </c>
      <c r="P79" s="2265">
        <f t="shared" si="279"/>
        <v>6.6733400066733395E-2</v>
      </c>
      <c r="Q79" s="2265">
        <f t="shared" si="279"/>
        <v>0</v>
      </c>
      <c r="R79" s="2206"/>
      <c r="S79" s="2205"/>
      <c r="T79" s="2190"/>
      <c r="U79" s="2190"/>
      <c r="V79" s="2190"/>
      <c r="X79" s="2266"/>
      <c r="Y79" s="2266"/>
      <c r="Z79" s="2266"/>
    </row>
    <row r="80" spans="1:26" s="2258" customFormat="1" ht="13.5" thickBot="1">
      <c r="A80" s="2202" t="s">
        <v>504</v>
      </c>
      <c r="B80" s="2255">
        <f t="shared" si="280"/>
        <v>112.48648648648648</v>
      </c>
      <c r="C80" s="2255">
        <f t="shared" si="280"/>
        <v>115.21212121212122</v>
      </c>
      <c r="D80" s="2255">
        <f t="shared" si="246"/>
        <v>115.21212121212122</v>
      </c>
      <c r="E80" s="2255">
        <f t="shared" si="281"/>
        <v>110.4024024024024</v>
      </c>
      <c r="F80" s="2255">
        <f t="shared" si="281"/>
        <v>104</v>
      </c>
      <c r="G80" s="3846">
        <v>2004</v>
      </c>
      <c r="H80" s="2256">
        <v>1</v>
      </c>
      <c r="I80" s="2256">
        <v>0.33</v>
      </c>
      <c r="J80" s="2256">
        <v>0.5</v>
      </c>
      <c r="K80" s="2256">
        <v>0.5</v>
      </c>
      <c r="L80" s="2257">
        <v>0</v>
      </c>
      <c r="N80" s="2269">
        <f t="shared" si="278"/>
        <v>1.3391770148526898E-2</v>
      </c>
      <c r="O80" s="2270">
        <f t="shared" si="278"/>
        <v>1.063264221158958E-2</v>
      </c>
      <c r="P80" s="2270">
        <f t="shared" si="279"/>
        <v>2.2244466688911134E-2</v>
      </c>
      <c r="Q80" s="2270">
        <f t="shared" si="279"/>
        <v>0</v>
      </c>
      <c r="R80" s="2261"/>
      <c r="S80" s="2259">
        <f>B80/B81-1</f>
        <v>1.3391770148526883E-2</v>
      </c>
      <c r="T80" s="2260">
        <f>C80/C81-1</f>
        <v>1.063264221158966E-2</v>
      </c>
      <c r="U80" s="2260">
        <f>E80/E81-1</f>
        <v>2.2244466688911224E-2</v>
      </c>
      <c r="V80" s="2260">
        <f>F80/F81-1</f>
        <v>0</v>
      </c>
      <c r="X80" s="2271"/>
      <c r="Y80" s="2271"/>
      <c r="Z80" s="2271"/>
    </row>
    <row r="81" spans="1:26" ht="13.5" thickBot="1">
      <c r="A81" s="2202" t="s">
        <v>505</v>
      </c>
      <c r="B81" s="2272">
        <v>111</v>
      </c>
      <c r="C81" s="2272">
        <v>114</v>
      </c>
      <c r="D81" s="2272">
        <f t="shared" si="246"/>
        <v>114</v>
      </c>
      <c r="E81" s="2272">
        <v>108</v>
      </c>
      <c r="F81" s="2273">
        <v>104</v>
      </c>
      <c r="G81" s="3844">
        <v>2003</v>
      </c>
      <c r="H81" s="2262">
        <v>4</v>
      </c>
      <c r="I81" s="2274"/>
      <c r="J81" s="2274"/>
      <c r="K81" s="2274"/>
      <c r="L81" s="2274"/>
      <c r="N81" s="2275"/>
      <c r="O81" s="2274"/>
      <c r="P81" s="2274"/>
      <c r="Q81" s="2274"/>
      <c r="S81" s="2275"/>
      <c r="T81" s="2274"/>
      <c r="U81" s="2274"/>
      <c r="V81" s="2274"/>
      <c r="X81" s="2266"/>
      <c r="Y81" s="2266"/>
      <c r="Z81" s="2266"/>
    </row>
    <row r="82" spans="1:26">
      <c r="A82" s="2202" t="s">
        <v>506</v>
      </c>
      <c r="B82" s="2276">
        <f t="shared" ref="B82:C84" si="282">B83+(B$81-B$85)/4</f>
        <v>109.75</v>
      </c>
      <c r="C82" s="2276">
        <f t="shared" si="282"/>
        <v>112.25</v>
      </c>
      <c r="D82" s="2276">
        <f t="shared" si="246"/>
        <v>112.25</v>
      </c>
      <c r="E82" s="2276">
        <f t="shared" ref="E82:F84" si="283">E83+(E$81-E$85)/4</f>
        <v>107.25</v>
      </c>
      <c r="F82" s="2276">
        <f t="shared" si="283"/>
        <v>103.5</v>
      </c>
      <c r="G82" s="3845">
        <v>2003</v>
      </c>
      <c r="H82" s="2228">
        <v>3</v>
      </c>
      <c r="I82" s="2274"/>
      <c r="J82" s="2274"/>
      <c r="K82" s="2274"/>
      <c r="L82" s="2274"/>
      <c r="X82" s="2266"/>
      <c r="Y82" s="2266"/>
      <c r="Z82" s="2266"/>
    </row>
    <row r="83" spans="1:26">
      <c r="A83" s="2202" t="s">
        <v>507</v>
      </c>
      <c r="B83" s="2276">
        <f t="shared" si="282"/>
        <v>108.5</v>
      </c>
      <c r="C83" s="2276">
        <f t="shared" si="282"/>
        <v>110.5</v>
      </c>
      <c r="D83" s="2276">
        <f t="shared" si="246"/>
        <v>110.5</v>
      </c>
      <c r="E83" s="2276">
        <f t="shared" si="283"/>
        <v>106.5</v>
      </c>
      <c r="F83" s="2276">
        <f t="shared" si="283"/>
        <v>103</v>
      </c>
      <c r="G83" s="3845">
        <v>2003</v>
      </c>
      <c r="H83" s="2215">
        <v>2</v>
      </c>
      <c r="I83" s="2274"/>
      <c r="J83" s="2274"/>
      <c r="K83" s="2274"/>
      <c r="L83" s="2274"/>
      <c r="X83" s="2266"/>
      <c r="Y83" s="2266"/>
      <c r="Z83" s="2266"/>
    </row>
    <row r="84" spans="1:26" ht="13.5" thickBot="1">
      <c r="A84" s="2202" t="s">
        <v>508</v>
      </c>
      <c r="B84" s="2276">
        <f t="shared" si="282"/>
        <v>107.25</v>
      </c>
      <c r="C84" s="2276">
        <f t="shared" si="282"/>
        <v>108.75</v>
      </c>
      <c r="D84" s="2276">
        <f t="shared" si="246"/>
        <v>108.75</v>
      </c>
      <c r="E84" s="2276">
        <f t="shared" si="283"/>
        <v>105.75</v>
      </c>
      <c r="F84" s="2276">
        <f t="shared" si="283"/>
        <v>102.5</v>
      </c>
      <c r="G84" s="3846">
        <v>2003</v>
      </c>
      <c r="H84" s="2277">
        <v>1</v>
      </c>
      <c r="I84" s="2274"/>
      <c r="J84" s="2274"/>
      <c r="K84" s="2274"/>
      <c r="L84" s="2274"/>
      <c r="S84" s="2205"/>
      <c r="T84" s="2190"/>
      <c r="U84" s="2190"/>
      <c r="X84" s="2266"/>
      <c r="Y84" s="2266"/>
      <c r="Z84" s="2266"/>
    </row>
    <row r="85" spans="1:26" ht="13.5" thickBot="1">
      <c r="A85" s="2202" t="s">
        <v>509</v>
      </c>
      <c r="B85" s="2278">
        <v>106</v>
      </c>
      <c r="C85" s="2278">
        <v>107</v>
      </c>
      <c r="D85" s="2278">
        <f t="shared" si="246"/>
        <v>107</v>
      </c>
      <c r="E85" s="2278">
        <v>105</v>
      </c>
      <c r="F85" s="2279">
        <v>102</v>
      </c>
      <c r="G85" s="3844">
        <v>2002</v>
      </c>
      <c r="H85" s="2223">
        <v>4</v>
      </c>
      <c r="I85" s="2274"/>
      <c r="J85" s="2274"/>
      <c r="K85" s="2274"/>
      <c r="L85" s="2274"/>
      <c r="N85" s="2275"/>
      <c r="O85" s="2274"/>
      <c r="P85" s="2274"/>
      <c r="Q85" s="2274"/>
      <c r="S85" s="2275"/>
      <c r="T85" s="2274"/>
      <c r="U85" s="2274"/>
      <c r="V85" s="2274"/>
      <c r="X85" s="2266"/>
      <c r="Y85" s="2266"/>
      <c r="Z85" s="2266"/>
    </row>
    <row r="86" spans="1:26">
      <c r="A86" s="2202" t="s">
        <v>510</v>
      </c>
      <c r="B86" s="2276">
        <f t="shared" ref="B86:C88" si="284">B87+(B$85-B$89)/4</f>
        <v>105</v>
      </c>
      <c r="C86" s="2276">
        <f t="shared" si="284"/>
        <v>106</v>
      </c>
      <c r="D86" s="2276">
        <f t="shared" si="246"/>
        <v>106</v>
      </c>
      <c r="E86" s="2276">
        <f t="shared" ref="E86:F88" si="285">E87+(E$85-E$89)/4</f>
        <v>104.5</v>
      </c>
      <c r="F86" s="2276">
        <f t="shared" si="285"/>
        <v>101.5</v>
      </c>
      <c r="G86" s="3845">
        <v>2002</v>
      </c>
      <c r="H86" s="2228">
        <v>3</v>
      </c>
      <c r="I86" s="2274"/>
      <c r="J86" s="2274"/>
      <c r="K86" s="2274"/>
      <c r="L86" s="2274"/>
      <c r="X86" s="2266"/>
      <c r="Y86" s="2266"/>
      <c r="Z86" s="2266"/>
    </row>
    <row r="87" spans="1:26">
      <c r="A87" s="2202" t="s">
        <v>511</v>
      </c>
      <c r="B87" s="2276">
        <f t="shared" si="284"/>
        <v>104</v>
      </c>
      <c r="C87" s="2276">
        <f t="shared" si="284"/>
        <v>105</v>
      </c>
      <c r="D87" s="2276">
        <f t="shared" si="246"/>
        <v>105</v>
      </c>
      <c r="E87" s="2276">
        <f t="shared" si="285"/>
        <v>104</v>
      </c>
      <c r="F87" s="2276">
        <f t="shared" si="285"/>
        <v>101</v>
      </c>
      <c r="G87" s="3845">
        <v>2002</v>
      </c>
      <c r="H87" s="2215">
        <v>2</v>
      </c>
      <c r="I87" s="2274"/>
      <c r="J87" s="2274"/>
      <c r="K87" s="2274"/>
      <c r="L87" s="2274"/>
      <c r="X87" s="2266"/>
      <c r="Y87" s="2266"/>
      <c r="Z87" s="2266"/>
    </row>
    <row r="88" spans="1:26" s="2239" customFormat="1" ht="13.5" thickBot="1">
      <c r="A88" s="2235" t="s">
        <v>512</v>
      </c>
      <c r="B88" s="2242">
        <f t="shared" si="284"/>
        <v>103</v>
      </c>
      <c r="C88" s="2242">
        <f t="shared" si="284"/>
        <v>104</v>
      </c>
      <c r="D88" s="2242">
        <f t="shared" si="246"/>
        <v>104</v>
      </c>
      <c r="E88" s="2242">
        <f t="shared" si="285"/>
        <v>103.5</v>
      </c>
      <c r="F88" s="2242">
        <f t="shared" si="285"/>
        <v>100.5</v>
      </c>
      <c r="G88" s="3846">
        <v>2002</v>
      </c>
      <c r="H88" s="2280">
        <v>1</v>
      </c>
      <c r="I88" s="2281"/>
      <c r="J88" s="2281"/>
      <c r="K88" s="2281"/>
      <c r="L88" s="2281"/>
      <c r="N88" s="2282"/>
      <c r="S88" s="2282"/>
      <c r="X88" s="2283"/>
      <c r="Y88" s="2283"/>
      <c r="Z88" s="2283"/>
    </row>
    <row r="89" spans="1:26" ht="13.5" thickBot="1">
      <c r="B89" s="2284">
        <v>102</v>
      </c>
      <c r="C89" s="2285">
        <v>103</v>
      </c>
      <c r="D89" s="2285">
        <f t="shared" si="246"/>
        <v>103</v>
      </c>
      <c r="E89" s="2285">
        <v>103</v>
      </c>
      <c r="F89" s="2286">
        <v>100</v>
      </c>
      <c r="I89" s="2274"/>
      <c r="J89" s="2274"/>
      <c r="K89" s="2274"/>
      <c r="L89" s="2274"/>
      <c r="N89" s="2275"/>
      <c r="O89" s="2274"/>
      <c r="P89" s="2274"/>
      <c r="Q89" s="2274"/>
      <c r="S89" s="2275"/>
      <c r="T89" s="2274"/>
      <c r="U89" s="2274"/>
      <c r="V89" s="2274"/>
      <c r="X89" s="2220"/>
      <c r="Y89" s="2220"/>
      <c r="Z89" s="2220"/>
    </row>
    <row r="91" spans="1:26" s="2288" customFormat="1">
      <c r="A91" s="2287" t="s">
        <v>513</v>
      </c>
      <c r="G91" s="2289"/>
      <c r="N91" s="2289"/>
      <c r="S91" s="2289"/>
    </row>
    <row r="92" spans="1:26" s="2288" customFormat="1">
      <c r="A92" s="2288" t="s">
        <v>514</v>
      </c>
      <c r="G92" s="2289"/>
      <c r="N92" s="2289"/>
      <c r="S92" s="2289"/>
    </row>
    <row r="93" spans="1:26" s="2288" customFormat="1">
      <c r="A93" s="2288" t="s">
        <v>515</v>
      </c>
      <c r="G93" s="2289"/>
      <c r="I93" s="2290"/>
      <c r="J93" s="2290"/>
      <c r="K93" s="2290"/>
      <c r="L93" s="2290"/>
      <c r="N93" s="2291"/>
      <c r="O93" s="2290"/>
      <c r="P93" s="2290"/>
      <c r="Q93" s="2290"/>
      <c r="S93" s="2291"/>
      <c r="T93" s="2290"/>
      <c r="U93" s="2290"/>
      <c r="V93" s="2290"/>
    </row>
    <row r="94" spans="1:26" s="2288" customFormat="1">
      <c r="A94" s="2288" t="s">
        <v>516</v>
      </c>
      <c r="G94" s="2289"/>
      <c r="N94" s="2289"/>
      <c r="S94" s="2289"/>
    </row>
    <row r="101" spans="7:22" ht="13.5" thickBot="1"/>
    <row r="102" spans="7:22">
      <c r="G102" s="2189"/>
      <c r="S102" s="2292" t="s">
        <v>517</v>
      </c>
      <c r="T102" s="2293" t="s">
        <v>518</v>
      </c>
      <c r="U102" s="2293" t="s">
        <v>519</v>
      </c>
      <c r="V102" s="2293" t="s">
        <v>520</v>
      </c>
    </row>
    <row r="103" spans="7:22">
      <c r="G103" s="2189"/>
      <c r="N103" s="2219"/>
      <c r="O103" s="2220"/>
      <c r="P103" s="2220"/>
      <c r="Q103" s="2220"/>
      <c r="S103" s="2294">
        <v>2006</v>
      </c>
      <c r="T103" s="2295">
        <v>15.1</v>
      </c>
      <c r="U103" s="2295">
        <v>7.43</v>
      </c>
      <c r="V103" s="2295">
        <v>26.26</v>
      </c>
    </row>
    <row r="104" spans="7:22">
      <c r="G104" s="2189"/>
      <c r="N104" s="2219"/>
      <c r="O104" s="2220"/>
      <c r="P104" s="2220"/>
      <c r="Q104" s="2220"/>
      <c r="S104" s="2296">
        <v>2005</v>
      </c>
      <c r="T104" s="2297">
        <v>13.9</v>
      </c>
      <c r="U104" s="2297">
        <v>7.49</v>
      </c>
      <c r="V104" s="2297">
        <v>24.92</v>
      </c>
    </row>
    <row r="105" spans="7:22">
      <c r="G105" s="2189"/>
      <c r="N105" s="2219"/>
      <c r="O105" s="2220"/>
      <c r="P105" s="2220"/>
      <c r="Q105" s="2220"/>
      <c r="S105" s="2294">
        <v>2004</v>
      </c>
      <c r="T105" s="2295">
        <v>9.48</v>
      </c>
      <c r="U105" s="2295">
        <v>7.2</v>
      </c>
      <c r="V105" s="2295">
        <v>14.68</v>
      </c>
    </row>
    <row r="106" spans="7:22">
      <c r="G106" s="2189"/>
      <c r="N106" s="2219"/>
      <c r="O106" s="2220"/>
      <c r="P106" s="2220"/>
      <c r="Q106" s="2220"/>
      <c r="S106" s="2296">
        <v>2003</v>
      </c>
      <c r="T106" s="2297">
        <v>4.5</v>
      </c>
      <c r="U106" s="2297">
        <v>6.12</v>
      </c>
      <c r="V106" s="2297">
        <v>2.34</v>
      </c>
    </row>
    <row r="107" spans="7:22" ht="13.5" thickBot="1">
      <c r="G107" s="2189"/>
      <c r="N107" s="2219"/>
      <c r="O107" s="2220"/>
      <c r="P107" s="2220"/>
      <c r="Q107" s="2220"/>
      <c r="S107" s="2298">
        <v>2002</v>
      </c>
      <c r="T107" s="2299">
        <v>3.59</v>
      </c>
      <c r="U107" s="2299">
        <v>4.54</v>
      </c>
      <c r="V107" s="2299">
        <v>2.5499999999999998</v>
      </c>
    </row>
    <row r="108" spans="7:22">
      <c r="G108" s="2189"/>
      <c r="N108" s="2219"/>
      <c r="O108" s="2220"/>
      <c r="P108" s="2220"/>
      <c r="Q108" s="2220"/>
    </row>
    <row r="109" spans="7:22">
      <c r="G109" s="2189"/>
      <c r="N109" s="2219"/>
      <c r="O109" s="2220"/>
      <c r="P109" s="2220"/>
      <c r="Q109" s="2220"/>
    </row>
    <row r="110" spans="7:22">
      <c r="G110" s="2189"/>
      <c r="N110" s="2219"/>
      <c r="O110" s="2220"/>
      <c r="P110" s="2220"/>
      <c r="Q110" s="2220"/>
    </row>
    <row r="111" spans="7:22">
      <c r="G111" s="2189"/>
      <c r="N111" s="2219"/>
      <c r="O111" s="2220"/>
      <c r="P111" s="2220"/>
      <c r="Q111" s="2220"/>
    </row>
    <row r="112" spans="7:22">
      <c r="G112" s="2189"/>
      <c r="N112" s="2219"/>
      <c r="O112" s="2220"/>
      <c r="P112" s="2220"/>
      <c r="Q112" s="2220"/>
    </row>
    <row r="113" spans="7:19">
      <c r="G113" s="2189"/>
      <c r="N113" s="2219"/>
      <c r="O113" s="2220"/>
      <c r="P113" s="2220"/>
      <c r="Q113" s="2220"/>
    </row>
    <row r="114" spans="7:19">
      <c r="G114" s="2189"/>
      <c r="N114" s="2219"/>
      <c r="O114" s="2220"/>
      <c r="P114" s="2220"/>
      <c r="Q114" s="2220"/>
    </row>
    <row r="115" spans="7:19">
      <c r="G115" s="2189"/>
      <c r="N115" s="2219"/>
      <c r="O115" s="2220"/>
      <c r="P115" s="2220"/>
      <c r="Q115" s="2220"/>
    </row>
    <row r="116" spans="7:19">
      <c r="G116" s="2189"/>
      <c r="N116" s="2219"/>
      <c r="O116" s="2220"/>
      <c r="P116" s="2220"/>
      <c r="Q116" s="2220"/>
    </row>
    <row r="117" spans="7:19">
      <c r="G117" s="2189"/>
      <c r="N117" s="2219"/>
      <c r="O117" s="2220"/>
      <c r="P117" s="2220"/>
      <c r="Q117" s="2220"/>
    </row>
    <row r="118" spans="7:19">
      <c r="G118" s="2189"/>
      <c r="N118" s="2219"/>
      <c r="O118" s="2220"/>
      <c r="P118" s="2220"/>
      <c r="Q118" s="2220"/>
      <c r="S118" s="2189"/>
    </row>
    <row r="119" spans="7:19">
      <c r="G119" s="2189"/>
      <c r="N119" s="2219"/>
      <c r="O119" s="2220"/>
      <c r="P119" s="2220"/>
      <c r="Q119" s="2220"/>
      <c r="S119" s="2189"/>
    </row>
    <row r="120" spans="7:19">
      <c r="G120" s="2189"/>
      <c r="N120" s="2219"/>
      <c r="O120" s="2220"/>
      <c r="P120" s="2220"/>
      <c r="Q120" s="2220"/>
      <c r="S120" s="2189"/>
    </row>
    <row r="121" spans="7:19">
      <c r="G121" s="2189"/>
      <c r="N121" s="2219"/>
      <c r="O121" s="2220"/>
      <c r="P121" s="2220"/>
      <c r="Q121" s="2220"/>
      <c r="S121" s="2189"/>
    </row>
    <row r="122" spans="7:19">
      <c r="G122" s="2189"/>
      <c r="N122" s="2219"/>
      <c r="O122" s="2220"/>
      <c r="P122" s="2220"/>
      <c r="Q122" s="2220"/>
      <c r="S122" s="2189"/>
    </row>
    <row r="123" spans="7:19">
      <c r="G123" s="2189"/>
      <c r="N123" s="2219"/>
      <c r="O123" s="2220"/>
      <c r="P123" s="2220"/>
      <c r="Q123" s="2220"/>
      <c r="S123" s="2189"/>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240" customWidth="1"/>
    <col min="2" max="2" width="13.25" style="1246" customWidth="1"/>
    <col min="3" max="3" width="15.625" style="1246" customWidth="1"/>
    <col min="4" max="4" width="9.375" style="1246" bestFit="1" customWidth="1"/>
    <col min="5" max="5" width="13.5" style="1246" customWidth="1"/>
    <col min="6" max="6" width="9" style="1246"/>
    <col min="7" max="7" width="9.375" style="1246" bestFit="1" customWidth="1"/>
    <col min="8" max="8" width="12.25" style="1246" customWidth="1"/>
    <col min="9" max="9" width="9" style="1246"/>
    <col min="10" max="10" width="9.375" style="1246" bestFit="1" customWidth="1"/>
    <col min="11" max="11" width="4" style="1240" customWidth="1"/>
    <col min="12" max="12" width="5.125" style="1246" customWidth="1"/>
    <col min="13" max="13" width="13.75" style="1246" customWidth="1"/>
    <col min="14" max="256" width="9" style="1246"/>
    <col min="257" max="257" width="4.875" style="1237" customWidth="1"/>
    <col min="258" max="258" width="13.25" style="1237" customWidth="1"/>
    <col min="259" max="259" width="15.625" style="1237" customWidth="1"/>
    <col min="260" max="260" width="9.375" style="1237" bestFit="1" customWidth="1"/>
    <col min="261" max="261" width="13.5" style="1237" customWidth="1"/>
    <col min="262" max="262" width="9" style="1237"/>
    <col min="263" max="263" width="9.375" style="1237" bestFit="1" customWidth="1"/>
    <col min="264" max="265" width="9" style="1237"/>
    <col min="266" max="266" width="9.375" style="1237" bestFit="1" customWidth="1"/>
    <col min="267" max="267" width="4" style="1237" customWidth="1"/>
    <col min="268" max="268" width="5.125" style="1237" customWidth="1"/>
    <col min="269" max="269" width="13.75" style="1237" customWidth="1"/>
    <col min="270" max="512" width="9" style="1237"/>
    <col min="513" max="513" width="4.875" style="1237" customWidth="1"/>
    <col min="514" max="514" width="13.25" style="1237" customWidth="1"/>
    <col min="515" max="515" width="15.625" style="1237" customWidth="1"/>
    <col min="516" max="516" width="9.375" style="1237" bestFit="1" customWidth="1"/>
    <col min="517" max="517" width="13.5" style="1237" customWidth="1"/>
    <col min="518" max="518" width="9" style="1237"/>
    <col min="519" max="519" width="9.375" style="1237" bestFit="1" customWidth="1"/>
    <col min="520" max="521" width="9" style="1237"/>
    <col min="522" max="522" width="9.375" style="1237" bestFit="1" customWidth="1"/>
    <col min="523" max="523" width="4" style="1237" customWidth="1"/>
    <col min="524" max="524" width="5.125" style="1237" customWidth="1"/>
    <col min="525" max="525" width="13.75" style="1237" customWidth="1"/>
    <col min="526" max="768" width="9" style="1237"/>
    <col min="769" max="769" width="4.875" style="1237" customWidth="1"/>
    <col min="770" max="770" width="13.25" style="1237" customWidth="1"/>
    <col min="771" max="771" width="15.625" style="1237" customWidth="1"/>
    <col min="772" max="772" width="9.375" style="1237" bestFit="1" customWidth="1"/>
    <col min="773" max="773" width="13.5" style="1237" customWidth="1"/>
    <col min="774" max="774" width="9" style="1237"/>
    <col min="775" max="775" width="9.375" style="1237" bestFit="1" customWidth="1"/>
    <col min="776" max="777" width="9" style="1237"/>
    <col min="778" max="778" width="9.375" style="1237" bestFit="1" customWidth="1"/>
    <col min="779" max="779" width="4" style="1237" customWidth="1"/>
    <col min="780" max="780" width="5.125" style="1237" customWidth="1"/>
    <col min="781" max="781" width="13.75" style="1237" customWidth="1"/>
    <col min="782" max="1024" width="9" style="1237"/>
    <col min="1025" max="1025" width="4.875" style="1237" customWidth="1"/>
    <col min="1026" max="1026" width="13.25" style="1237" customWidth="1"/>
    <col min="1027" max="1027" width="15.625" style="1237" customWidth="1"/>
    <col min="1028" max="1028" width="9.375" style="1237" bestFit="1" customWidth="1"/>
    <col min="1029" max="1029" width="13.5" style="1237" customWidth="1"/>
    <col min="1030" max="1030" width="9" style="1237"/>
    <col min="1031" max="1031" width="9.375" style="1237" bestFit="1" customWidth="1"/>
    <col min="1032" max="1033" width="9" style="1237"/>
    <col min="1034" max="1034" width="9.375" style="1237" bestFit="1" customWidth="1"/>
    <col min="1035" max="1035" width="4" style="1237" customWidth="1"/>
    <col min="1036" max="1036" width="5.125" style="1237" customWidth="1"/>
    <col min="1037" max="1037" width="13.75" style="1237" customWidth="1"/>
    <col min="1038" max="1280" width="9" style="1237"/>
    <col min="1281" max="1281" width="4.875" style="1237" customWidth="1"/>
    <col min="1282" max="1282" width="13.25" style="1237" customWidth="1"/>
    <col min="1283" max="1283" width="15.625" style="1237" customWidth="1"/>
    <col min="1284" max="1284" width="9.375" style="1237" bestFit="1" customWidth="1"/>
    <col min="1285" max="1285" width="13.5" style="1237" customWidth="1"/>
    <col min="1286" max="1286" width="9" style="1237"/>
    <col min="1287" max="1287" width="9.375" style="1237" bestFit="1" customWidth="1"/>
    <col min="1288" max="1289" width="9" style="1237"/>
    <col min="1290" max="1290" width="9.375" style="1237" bestFit="1" customWidth="1"/>
    <col min="1291" max="1291" width="4" style="1237" customWidth="1"/>
    <col min="1292" max="1292" width="5.125" style="1237" customWidth="1"/>
    <col min="1293" max="1293" width="13.75" style="1237" customWidth="1"/>
    <col min="1294" max="1536" width="9" style="1237"/>
    <col min="1537" max="1537" width="4.875" style="1237" customWidth="1"/>
    <col min="1538" max="1538" width="13.25" style="1237" customWidth="1"/>
    <col min="1539" max="1539" width="15.625" style="1237" customWidth="1"/>
    <col min="1540" max="1540" width="9.375" style="1237" bestFit="1" customWidth="1"/>
    <col min="1541" max="1541" width="13.5" style="1237" customWidth="1"/>
    <col min="1542" max="1542" width="9" style="1237"/>
    <col min="1543" max="1543" width="9.375" style="1237" bestFit="1" customWidth="1"/>
    <col min="1544" max="1545" width="9" style="1237"/>
    <col min="1546" max="1546" width="9.375" style="1237" bestFit="1" customWidth="1"/>
    <col min="1547" max="1547" width="4" style="1237" customWidth="1"/>
    <col min="1548" max="1548" width="5.125" style="1237" customWidth="1"/>
    <col min="1549" max="1549" width="13.75" style="1237" customWidth="1"/>
    <col min="1550" max="1792" width="9" style="1237"/>
    <col min="1793" max="1793" width="4.875" style="1237" customWidth="1"/>
    <col min="1794" max="1794" width="13.25" style="1237" customWidth="1"/>
    <col min="1795" max="1795" width="15.625" style="1237" customWidth="1"/>
    <col min="1796" max="1796" width="9.375" style="1237" bestFit="1" customWidth="1"/>
    <col min="1797" max="1797" width="13.5" style="1237" customWidth="1"/>
    <col min="1798" max="1798" width="9" style="1237"/>
    <col min="1799" max="1799" width="9.375" style="1237" bestFit="1" customWidth="1"/>
    <col min="1800" max="1801" width="9" style="1237"/>
    <col min="1802" max="1802" width="9.375" style="1237" bestFit="1" customWidth="1"/>
    <col min="1803" max="1803" width="4" style="1237" customWidth="1"/>
    <col min="1804" max="1804" width="5.125" style="1237" customWidth="1"/>
    <col min="1805" max="1805" width="13.75" style="1237" customWidth="1"/>
    <col min="1806" max="2048" width="9" style="1237"/>
    <col min="2049" max="2049" width="4.875" style="1237" customWidth="1"/>
    <col min="2050" max="2050" width="13.25" style="1237" customWidth="1"/>
    <col min="2051" max="2051" width="15.625" style="1237" customWidth="1"/>
    <col min="2052" max="2052" width="9.375" style="1237" bestFit="1" customWidth="1"/>
    <col min="2053" max="2053" width="13.5" style="1237" customWidth="1"/>
    <col min="2054" max="2054" width="9" style="1237"/>
    <col min="2055" max="2055" width="9.375" style="1237" bestFit="1" customWidth="1"/>
    <col min="2056" max="2057" width="9" style="1237"/>
    <col min="2058" max="2058" width="9.375" style="1237" bestFit="1" customWidth="1"/>
    <col min="2059" max="2059" width="4" style="1237" customWidth="1"/>
    <col min="2060" max="2060" width="5.125" style="1237" customWidth="1"/>
    <col min="2061" max="2061" width="13.75" style="1237" customWidth="1"/>
    <col min="2062" max="2304" width="9" style="1237"/>
    <col min="2305" max="2305" width="4.875" style="1237" customWidth="1"/>
    <col min="2306" max="2306" width="13.25" style="1237" customWidth="1"/>
    <col min="2307" max="2307" width="15.625" style="1237" customWidth="1"/>
    <col min="2308" max="2308" width="9.375" style="1237" bestFit="1" customWidth="1"/>
    <col min="2309" max="2309" width="13.5" style="1237" customWidth="1"/>
    <col min="2310" max="2310" width="9" style="1237"/>
    <col min="2311" max="2311" width="9.375" style="1237" bestFit="1" customWidth="1"/>
    <col min="2312" max="2313" width="9" style="1237"/>
    <col min="2314" max="2314" width="9.375" style="1237" bestFit="1" customWidth="1"/>
    <col min="2315" max="2315" width="4" style="1237" customWidth="1"/>
    <col min="2316" max="2316" width="5.125" style="1237" customWidth="1"/>
    <col min="2317" max="2317" width="13.75" style="1237" customWidth="1"/>
    <col min="2318" max="2560" width="9" style="1237"/>
    <col min="2561" max="2561" width="4.875" style="1237" customWidth="1"/>
    <col min="2562" max="2562" width="13.25" style="1237" customWidth="1"/>
    <col min="2563" max="2563" width="15.625" style="1237" customWidth="1"/>
    <col min="2564" max="2564" width="9.375" style="1237" bestFit="1" customWidth="1"/>
    <col min="2565" max="2565" width="13.5" style="1237" customWidth="1"/>
    <col min="2566" max="2566" width="9" style="1237"/>
    <col min="2567" max="2567" width="9.375" style="1237" bestFit="1" customWidth="1"/>
    <col min="2568" max="2569" width="9" style="1237"/>
    <col min="2570" max="2570" width="9.375" style="1237" bestFit="1" customWidth="1"/>
    <col min="2571" max="2571" width="4" style="1237" customWidth="1"/>
    <col min="2572" max="2572" width="5.125" style="1237" customWidth="1"/>
    <col min="2573" max="2573" width="13.75" style="1237" customWidth="1"/>
    <col min="2574" max="2816" width="9" style="1237"/>
    <col min="2817" max="2817" width="4.875" style="1237" customWidth="1"/>
    <col min="2818" max="2818" width="13.25" style="1237" customWidth="1"/>
    <col min="2819" max="2819" width="15.625" style="1237" customWidth="1"/>
    <col min="2820" max="2820" width="9.375" style="1237" bestFit="1" customWidth="1"/>
    <col min="2821" max="2821" width="13.5" style="1237" customWidth="1"/>
    <col min="2822" max="2822" width="9" style="1237"/>
    <col min="2823" max="2823" width="9.375" style="1237" bestFit="1" customWidth="1"/>
    <col min="2824" max="2825" width="9" style="1237"/>
    <col min="2826" max="2826" width="9.375" style="1237" bestFit="1" customWidth="1"/>
    <col min="2827" max="2827" width="4" style="1237" customWidth="1"/>
    <col min="2828" max="2828" width="5.125" style="1237" customWidth="1"/>
    <col min="2829" max="2829" width="13.75" style="1237" customWidth="1"/>
    <col min="2830" max="3072" width="9" style="1237"/>
    <col min="3073" max="3073" width="4.875" style="1237" customWidth="1"/>
    <col min="3074" max="3074" width="13.25" style="1237" customWidth="1"/>
    <col min="3075" max="3075" width="15.625" style="1237" customWidth="1"/>
    <col min="3076" max="3076" width="9.375" style="1237" bestFit="1" customWidth="1"/>
    <col min="3077" max="3077" width="13.5" style="1237" customWidth="1"/>
    <col min="3078" max="3078" width="9" style="1237"/>
    <col min="3079" max="3079" width="9.375" style="1237" bestFit="1" customWidth="1"/>
    <col min="3080" max="3081" width="9" style="1237"/>
    <col min="3082" max="3082" width="9.375" style="1237" bestFit="1" customWidth="1"/>
    <col min="3083" max="3083" width="4" style="1237" customWidth="1"/>
    <col min="3084" max="3084" width="5.125" style="1237" customWidth="1"/>
    <col min="3085" max="3085" width="13.75" style="1237" customWidth="1"/>
    <col min="3086" max="3328" width="9" style="1237"/>
    <col min="3329" max="3329" width="4.875" style="1237" customWidth="1"/>
    <col min="3330" max="3330" width="13.25" style="1237" customWidth="1"/>
    <col min="3331" max="3331" width="15.625" style="1237" customWidth="1"/>
    <col min="3332" max="3332" width="9.375" style="1237" bestFit="1" customWidth="1"/>
    <col min="3333" max="3333" width="13.5" style="1237" customWidth="1"/>
    <col min="3334" max="3334" width="9" style="1237"/>
    <col min="3335" max="3335" width="9.375" style="1237" bestFit="1" customWidth="1"/>
    <col min="3336" max="3337" width="9" style="1237"/>
    <col min="3338" max="3338" width="9.375" style="1237" bestFit="1" customWidth="1"/>
    <col min="3339" max="3339" width="4" style="1237" customWidth="1"/>
    <col min="3340" max="3340" width="5.125" style="1237" customWidth="1"/>
    <col min="3341" max="3341" width="13.75" style="1237" customWidth="1"/>
    <col min="3342" max="3584" width="9" style="1237"/>
    <col min="3585" max="3585" width="4.875" style="1237" customWidth="1"/>
    <col min="3586" max="3586" width="13.25" style="1237" customWidth="1"/>
    <col min="3587" max="3587" width="15.625" style="1237" customWidth="1"/>
    <col min="3588" max="3588" width="9.375" style="1237" bestFit="1" customWidth="1"/>
    <col min="3589" max="3589" width="13.5" style="1237" customWidth="1"/>
    <col min="3590" max="3590" width="9" style="1237"/>
    <col min="3591" max="3591" width="9.375" style="1237" bestFit="1" customWidth="1"/>
    <col min="3592" max="3593" width="9" style="1237"/>
    <col min="3594" max="3594" width="9.375" style="1237" bestFit="1" customWidth="1"/>
    <col min="3595" max="3595" width="4" style="1237" customWidth="1"/>
    <col min="3596" max="3596" width="5.125" style="1237" customWidth="1"/>
    <col min="3597" max="3597" width="13.75" style="1237" customWidth="1"/>
    <col min="3598" max="3840" width="9" style="1237"/>
    <col min="3841" max="3841" width="4.875" style="1237" customWidth="1"/>
    <col min="3842" max="3842" width="13.25" style="1237" customWidth="1"/>
    <col min="3843" max="3843" width="15.625" style="1237" customWidth="1"/>
    <col min="3844" max="3844" width="9.375" style="1237" bestFit="1" customWidth="1"/>
    <col min="3845" max="3845" width="13.5" style="1237" customWidth="1"/>
    <col min="3846" max="3846" width="9" style="1237"/>
    <col min="3847" max="3847" width="9.375" style="1237" bestFit="1" customWidth="1"/>
    <col min="3848" max="3849" width="9" style="1237"/>
    <col min="3850" max="3850" width="9.375" style="1237" bestFit="1" customWidth="1"/>
    <col min="3851" max="3851" width="4" style="1237" customWidth="1"/>
    <col min="3852" max="3852" width="5.125" style="1237" customWidth="1"/>
    <col min="3853" max="3853" width="13.75" style="1237" customWidth="1"/>
    <col min="3854" max="4096" width="9" style="1237"/>
    <col min="4097" max="4097" width="4.875" style="1237" customWidth="1"/>
    <col min="4098" max="4098" width="13.25" style="1237" customWidth="1"/>
    <col min="4099" max="4099" width="15.625" style="1237" customWidth="1"/>
    <col min="4100" max="4100" width="9.375" style="1237" bestFit="1" customWidth="1"/>
    <col min="4101" max="4101" width="13.5" style="1237" customWidth="1"/>
    <col min="4102" max="4102" width="9" style="1237"/>
    <col min="4103" max="4103" width="9.375" style="1237" bestFit="1" customWidth="1"/>
    <col min="4104" max="4105" width="9" style="1237"/>
    <col min="4106" max="4106" width="9.375" style="1237" bestFit="1" customWidth="1"/>
    <col min="4107" max="4107" width="4" style="1237" customWidth="1"/>
    <col min="4108" max="4108" width="5.125" style="1237" customWidth="1"/>
    <col min="4109" max="4109" width="13.75" style="1237" customWidth="1"/>
    <col min="4110" max="4352" width="9" style="1237"/>
    <col min="4353" max="4353" width="4.875" style="1237" customWidth="1"/>
    <col min="4354" max="4354" width="13.25" style="1237" customWidth="1"/>
    <col min="4355" max="4355" width="15.625" style="1237" customWidth="1"/>
    <col min="4356" max="4356" width="9.375" style="1237" bestFit="1" customWidth="1"/>
    <col min="4357" max="4357" width="13.5" style="1237" customWidth="1"/>
    <col min="4358" max="4358" width="9" style="1237"/>
    <col min="4359" max="4359" width="9.375" style="1237" bestFit="1" customWidth="1"/>
    <col min="4360" max="4361" width="9" style="1237"/>
    <col min="4362" max="4362" width="9.375" style="1237" bestFit="1" customWidth="1"/>
    <col min="4363" max="4363" width="4" style="1237" customWidth="1"/>
    <col min="4364" max="4364" width="5.125" style="1237" customWidth="1"/>
    <col min="4365" max="4365" width="13.75" style="1237" customWidth="1"/>
    <col min="4366" max="4608" width="9" style="1237"/>
    <col min="4609" max="4609" width="4.875" style="1237" customWidth="1"/>
    <col min="4610" max="4610" width="13.25" style="1237" customWidth="1"/>
    <col min="4611" max="4611" width="15.625" style="1237" customWidth="1"/>
    <col min="4612" max="4612" width="9.375" style="1237" bestFit="1" customWidth="1"/>
    <col min="4613" max="4613" width="13.5" style="1237" customWidth="1"/>
    <col min="4614" max="4614" width="9" style="1237"/>
    <col min="4615" max="4615" width="9.375" style="1237" bestFit="1" customWidth="1"/>
    <col min="4616" max="4617" width="9" style="1237"/>
    <col min="4618" max="4618" width="9.375" style="1237" bestFit="1" customWidth="1"/>
    <col min="4619" max="4619" width="4" style="1237" customWidth="1"/>
    <col min="4620" max="4620" width="5.125" style="1237" customWidth="1"/>
    <col min="4621" max="4621" width="13.75" style="1237" customWidth="1"/>
    <col min="4622" max="4864" width="9" style="1237"/>
    <col min="4865" max="4865" width="4.875" style="1237" customWidth="1"/>
    <col min="4866" max="4866" width="13.25" style="1237" customWidth="1"/>
    <col min="4867" max="4867" width="15.625" style="1237" customWidth="1"/>
    <col min="4868" max="4868" width="9.375" style="1237" bestFit="1" customWidth="1"/>
    <col min="4869" max="4869" width="13.5" style="1237" customWidth="1"/>
    <col min="4870" max="4870" width="9" style="1237"/>
    <col min="4871" max="4871" width="9.375" style="1237" bestFit="1" customWidth="1"/>
    <col min="4872" max="4873" width="9" style="1237"/>
    <col min="4874" max="4874" width="9.375" style="1237" bestFit="1" customWidth="1"/>
    <col min="4875" max="4875" width="4" style="1237" customWidth="1"/>
    <col min="4876" max="4876" width="5.125" style="1237" customWidth="1"/>
    <col min="4877" max="4877" width="13.75" style="1237" customWidth="1"/>
    <col min="4878" max="5120" width="9" style="1237"/>
    <col min="5121" max="5121" width="4.875" style="1237" customWidth="1"/>
    <col min="5122" max="5122" width="13.25" style="1237" customWidth="1"/>
    <col min="5123" max="5123" width="15.625" style="1237" customWidth="1"/>
    <col min="5124" max="5124" width="9.375" style="1237" bestFit="1" customWidth="1"/>
    <col min="5125" max="5125" width="13.5" style="1237" customWidth="1"/>
    <col min="5126" max="5126" width="9" style="1237"/>
    <col min="5127" max="5127" width="9.375" style="1237" bestFit="1" customWidth="1"/>
    <col min="5128" max="5129" width="9" style="1237"/>
    <col min="5130" max="5130" width="9.375" style="1237" bestFit="1" customWidth="1"/>
    <col min="5131" max="5131" width="4" style="1237" customWidth="1"/>
    <col min="5132" max="5132" width="5.125" style="1237" customWidth="1"/>
    <col min="5133" max="5133" width="13.75" style="1237" customWidth="1"/>
    <col min="5134" max="5376" width="9" style="1237"/>
    <col min="5377" max="5377" width="4.875" style="1237" customWidth="1"/>
    <col min="5378" max="5378" width="13.25" style="1237" customWidth="1"/>
    <col min="5379" max="5379" width="15.625" style="1237" customWidth="1"/>
    <col min="5380" max="5380" width="9.375" style="1237" bestFit="1" customWidth="1"/>
    <col min="5381" max="5381" width="13.5" style="1237" customWidth="1"/>
    <col min="5382" max="5382" width="9" style="1237"/>
    <col min="5383" max="5383" width="9.375" style="1237" bestFit="1" customWidth="1"/>
    <col min="5384" max="5385" width="9" style="1237"/>
    <col min="5386" max="5386" width="9.375" style="1237" bestFit="1" customWidth="1"/>
    <col min="5387" max="5387" width="4" style="1237" customWidth="1"/>
    <col min="5388" max="5388" width="5.125" style="1237" customWidth="1"/>
    <col min="5389" max="5389" width="13.75" style="1237" customWidth="1"/>
    <col min="5390" max="5632" width="9" style="1237"/>
    <col min="5633" max="5633" width="4.875" style="1237" customWidth="1"/>
    <col min="5634" max="5634" width="13.25" style="1237" customWidth="1"/>
    <col min="5635" max="5635" width="15.625" style="1237" customWidth="1"/>
    <col min="5636" max="5636" width="9.375" style="1237" bestFit="1" customWidth="1"/>
    <col min="5637" max="5637" width="13.5" style="1237" customWidth="1"/>
    <col min="5638" max="5638" width="9" style="1237"/>
    <col min="5639" max="5639" width="9.375" style="1237" bestFit="1" customWidth="1"/>
    <col min="5640" max="5641" width="9" style="1237"/>
    <col min="5642" max="5642" width="9.375" style="1237" bestFit="1" customWidth="1"/>
    <col min="5643" max="5643" width="4" style="1237" customWidth="1"/>
    <col min="5644" max="5644" width="5.125" style="1237" customWidth="1"/>
    <col min="5645" max="5645" width="13.75" style="1237" customWidth="1"/>
    <col min="5646" max="5888" width="9" style="1237"/>
    <col min="5889" max="5889" width="4.875" style="1237" customWidth="1"/>
    <col min="5890" max="5890" width="13.25" style="1237" customWidth="1"/>
    <col min="5891" max="5891" width="15.625" style="1237" customWidth="1"/>
    <col min="5892" max="5892" width="9.375" style="1237" bestFit="1" customWidth="1"/>
    <col min="5893" max="5893" width="13.5" style="1237" customWidth="1"/>
    <col min="5894" max="5894" width="9" style="1237"/>
    <col min="5895" max="5895" width="9.375" style="1237" bestFit="1" customWidth="1"/>
    <col min="5896" max="5897" width="9" style="1237"/>
    <col min="5898" max="5898" width="9.375" style="1237" bestFit="1" customWidth="1"/>
    <col min="5899" max="5899" width="4" style="1237" customWidth="1"/>
    <col min="5900" max="5900" width="5.125" style="1237" customWidth="1"/>
    <col min="5901" max="5901" width="13.75" style="1237" customWidth="1"/>
    <col min="5902" max="6144" width="9" style="1237"/>
    <col min="6145" max="6145" width="4.875" style="1237" customWidth="1"/>
    <col min="6146" max="6146" width="13.25" style="1237" customWidth="1"/>
    <col min="6147" max="6147" width="15.625" style="1237" customWidth="1"/>
    <col min="6148" max="6148" width="9.375" style="1237" bestFit="1" customWidth="1"/>
    <col min="6149" max="6149" width="13.5" style="1237" customWidth="1"/>
    <col min="6150" max="6150" width="9" style="1237"/>
    <col min="6151" max="6151" width="9.375" style="1237" bestFit="1" customWidth="1"/>
    <col min="6152" max="6153" width="9" style="1237"/>
    <col min="6154" max="6154" width="9.375" style="1237" bestFit="1" customWidth="1"/>
    <col min="6155" max="6155" width="4" style="1237" customWidth="1"/>
    <col min="6156" max="6156" width="5.125" style="1237" customWidth="1"/>
    <col min="6157" max="6157" width="13.75" style="1237" customWidth="1"/>
    <col min="6158" max="6400" width="9" style="1237"/>
    <col min="6401" max="6401" width="4.875" style="1237" customWidth="1"/>
    <col min="6402" max="6402" width="13.25" style="1237" customWidth="1"/>
    <col min="6403" max="6403" width="15.625" style="1237" customWidth="1"/>
    <col min="6404" max="6404" width="9.375" style="1237" bestFit="1" customWidth="1"/>
    <col min="6405" max="6405" width="13.5" style="1237" customWidth="1"/>
    <col min="6406" max="6406" width="9" style="1237"/>
    <col min="6407" max="6407" width="9.375" style="1237" bestFit="1" customWidth="1"/>
    <col min="6408" max="6409" width="9" style="1237"/>
    <col min="6410" max="6410" width="9.375" style="1237" bestFit="1" customWidth="1"/>
    <col min="6411" max="6411" width="4" style="1237" customWidth="1"/>
    <col min="6412" max="6412" width="5.125" style="1237" customWidth="1"/>
    <col min="6413" max="6413" width="13.75" style="1237" customWidth="1"/>
    <col min="6414" max="6656" width="9" style="1237"/>
    <col min="6657" max="6657" width="4.875" style="1237" customWidth="1"/>
    <col min="6658" max="6658" width="13.25" style="1237" customWidth="1"/>
    <col min="6659" max="6659" width="15.625" style="1237" customWidth="1"/>
    <col min="6660" max="6660" width="9.375" style="1237" bestFit="1" customWidth="1"/>
    <col min="6661" max="6661" width="13.5" style="1237" customWidth="1"/>
    <col min="6662" max="6662" width="9" style="1237"/>
    <col min="6663" max="6663" width="9.375" style="1237" bestFit="1" customWidth="1"/>
    <col min="6664" max="6665" width="9" style="1237"/>
    <col min="6666" max="6666" width="9.375" style="1237" bestFit="1" customWidth="1"/>
    <col min="6667" max="6667" width="4" style="1237" customWidth="1"/>
    <col min="6668" max="6668" width="5.125" style="1237" customWidth="1"/>
    <col min="6669" max="6669" width="13.75" style="1237" customWidth="1"/>
    <col min="6670" max="6912" width="9" style="1237"/>
    <col min="6913" max="6913" width="4.875" style="1237" customWidth="1"/>
    <col min="6914" max="6914" width="13.25" style="1237" customWidth="1"/>
    <col min="6915" max="6915" width="15.625" style="1237" customWidth="1"/>
    <col min="6916" max="6916" width="9.375" style="1237" bestFit="1" customWidth="1"/>
    <col min="6917" max="6917" width="13.5" style="1237" customWidth="1"/>
    <col min="6918" max="6918" width="9" style="1237"/>
    <col min="6919" max="6919" width="9.375" style="1237" bestFit="1" customWidth="1"/>
    <col min="6920" max="6921" width="9" style="1237"/>
    <col min="6922" max="6922" width="9.375" style="1237" bestFit="1" customWidth="1"/>
    <col min="6923" max="6923" width="4" style="1237" customWidth="1"/>
    <col min="6924" max="6924" width="5.125" style="1237" customWidth="1"/>
    <col min="6925" max="6925" width="13.75" style="1237" customWidth="1"/>
    <col min="6926" max="7168" width="9" style="1237"/>
    <col min="7169" max="7169" width="4.875" style="1237" customWidth="1"/>
    <col min="7170" max="7170" width="13.25" style="1237" customWidth="1"/>
    <col min="7171" max="7171" width="15.625" style="1237" customWidth="1"/>
    <col min="7172" max="7172" width="9.375" style="1237" bestFit="1" customWidth="1"/>
    <col min="7173" max="7173" width="13.5" style="1237" customWidth="1"/>
    <col min="7174" max="7174" width="9" style="1237"/>
    <col min="7175" max="7175" width="9.375" style="1237" bestFit="1" customWidth="1"/>
    <col min="7176" max="7177" width="9" style="1237"/>
    <col min="7178" max="7178" width="9.375" style="1237" bestFit="1" customWidth="1"/>
    <col min="7179" max="7179" width="4" style="1237" customWidth="1"/>
    <col min="7180" max="7180" width="5.125" style="1237" customWidth="1"/>
    <col min="7181" max="7181" width="13.75" style="1237" customWidth="1"/>
    <col min="7182" max="7424" width="9" style="1237"/>
    <col min="7425" max="7425" width="4.875" style="1237" customWidth="1"/>
    <col min="7426" max="7426" width="13.25" style="1237" customWidth="1"/>
    <col min="7427" max="7427" width="15.625" style="1237" customWidth="1"/>
    <col min="7428" max="7428" width="9.375" style="1237" bestFit="1" customWidth="1"/>
    <col min="7429" max="7429" width="13.5" style="1237" customWidth="1"/>
    <col min="7430" max="7430" width="9" style="1237"/>
    <col min="7431" max="7431" width="9.375" style="1237" bestFit="1" customWidth="1"/>
    <col min="7432" max="7433" width="9" style="1237"/>
    <col min="7434" max="7434" width="9.375" style="1237" bestFit="1" customWidth="1"/>
    <col min="7435" max="7435" width="4" style="1237" customWidth="1"/>
    <col min="7436" max="7436" width="5.125" style="1237" customWidth="1"/>
    <col min="7437" max="7437" width="13.75" style="1237" customWidth="1"/>
    <col min="7438" max="7680" width="9" style="1237"/>
    <col min="7681" max="7681" width="4.875" style="1237" customWidth="1"/>
    <col min="7682" max="7682" width="13.25" style="1237" customWidth="1"/>
    <col min="7683" max="7683" width="15.625" style="1237" customWidth="1"/>
    <col min="7684" max="7684" width="9.375" style="1237" bestFit="1" customWidth="1"/>
    <col min="7685" max="7685" width="13.5" style="1237" customWidth="1"/>
    <col min="7686" max="7686" width="9" style="1237"/>
    <col min="7687" max="7687" width="9.375" style="1237" bestFit="1" customWidth="1"/>
    <col min="7688" max="7689" width="9" style="1237"/>
    <col min="7690" max="7690" width="9.375" style="1237" bestFit="1" customWidth="1"/>
    <col min="7691" max="7691" width="4" style="1237" customWidth="1"/>
    <col min="7692" max="7692" width="5.125" style="1237" customWidth="1"/>
    <col min="7693" max="7693" width="13.75" style="1237" customWidth="1"/>
    <col min="7694" max="7936" width="9" style="1237"/>
    <col min="7937" max="7937" width="4.875" style="1237" customWidth="1"/>
    <col min="7938" max="7938" width="13.25" style="1237" customWidth="1"/>
    <col min="7939" max="7939" width="15.625" style="1237" customWidth="1"/>
    <col min="7940" max="7940" width="9.375" style="1237" bestFit="1" customWidth="1"/>
    <col min="7941" max="7941" width="13.5" style="1237" customWidth="1"/>
    <col min="7942" max="7942" width="9" style="1237"/>
    <col min="7943" max="7943" width="9.375" style="1237" bestFit="1" customWidth="1"/>
    <col min="7944" max="7945" width="9" style="1237"/>
    <col min="7946" max="7946" width="9.375" style="1237" bestFit="1" customWidth="1"/>
    <col min="7947" max="7947" width="4" style="1237" customWidth="1"/>
    <col min="7948" max="7948" width="5.125" style="1237" customWidth="1"/>
    <col min="7949" max="7949" width="13.75" style="1237" customWidth="1"/>
    <col min="7950" max="8192" width="9" style="1237"/>
    <col min="8193" max="8193" width="4.875" style="1237" customWidth="1"/>
    <col min="8194" max="8194" width="13.25" style="1237" customWidth="1"/>
    <col min="8195" max="8195" width="15.625" style="1237" customWidth="1"/>
    <col min="8196" max="8196" width="9.375" style="1237" bestFit="1" customWidth="1"/>
    <col min="8197" max="8197" width="13.5" style="1237" customWidth="1"/>
    <col min="8198" max="8198" width="9" style="1237"/>
    <col min="8199" max="8199" width="9.375" style="1237" bestFit="1" customWidth="1"/>
    <col min="8200" max="8201" width="9" style="1237"/>
    <col min="8202" max="8202" width="9.375" style="1237" bestFit="1" customWidth="1"/>
    <col min="8203" max="8203" width="4" style="1237" customWidth="1"/>
    <col min="8204" max="8204" width="5.125" style="1237" customWidth="1"/>
    <col min="8205" max="8205" width="13.75" style="1237" customWidth="1"/>
    <col min="8206" max="8448" width="9" style="1237"/>
    <col min="8449" max="8449" width="4.875" style="1237" customWidth="1"/>
    <col min="8450" max="8450" width="13.25" style="1237" customWidth="1"/>
    <col min="8451" max="8451" width="15.625" style="1237" customWidth="1"/>
    <col min="8452" max="8452" width="9.375" style="1237" bestFit="1" customWidth="1"/>
    <col min="8453" max="8453" width="13.5" style="1237" customWidth="1"/>
    <col min="8454" max="8454" width="9" style="1237"/>
    <col min="8455" max="8455" width="9.375" style="1237" bestFit="1" customWidth="1"/>
    <col min="8456" max="8457" width="9" style="1237"/>
    <col min="8458" max="8458" width="9.375" style="1237" bestFit="1" customWidth="1"/>
    <col min="8459" max="8459" width="4" style="1237" customWidth="1"/>
    <col min="8460" max="8460" width="5.125" style="1237" customWidth="1"/>
    <col min="8461" max="8461" width="13.75" style="1237" customWidth="1"/>
    <col min="8462" max="8704" width="9" style="1237"/>
    <col min="8705" max="8705" width="4.875" style="1237" customWidth="1"/>
    <col min="8706" max="8706" width="13.25" style="1237" customWidth="1"/>
    <col min="8707" max="8707" width="15.625" style="1237" customWidth="1"/>
    <col min="8708" max="8708" width="9.375" style="1237" bestFit="1" customWidth="1"/>
    <col min="8709" max="8709" width="13.5" style="1237" customWidth="1"/>
    <col min="8710" max="8710" width="9" style="1237"/>
    <col min="8711" max="8711" width="9.375" style="1237" bestFit="1" customWidth="1"/>
    <col min="8712" max="8713" width="9" style="1237"/>
    <col min="8714" max="8714" width="9.375" style="1237" bestFit="1" customWidth="1"/>
    <col min="8715" max="8715" width="4" style="1237" customWidth="1"/>
    <col min="8716" max="8716" width="5.125" style="1237" customWidth="1"/>
    <col min="8717" max="8717" width="13.75" style="1237" customWidth="1"/>
    <col min="8718" max="8960" width="9" style="1237"/>
    <col min="8961" max="8961" width="4.875" style="1237" customWidth="1"/>
    <col min="8962" max="8962" width="13.25" style="1237" customWidth="1"/>
    <col min="8963" max="8963" width="15.625" style="1237" customWidth="1"/>
    <col min="8964" max="8964" width="9.375" style="1237" bestFit="1" customWidth="1"/>
    <col min="8965" max="8965" width="13.5" style="1237" customWidth="1"/>
    <col min="8966" max="8966" width="9" style="1237"/>
    <col min="8967" max="8967" width="9.375" style="1237" bestFit="1" customWidth="1"/>
    <col min="8968" max="8969" width="9" style="1237"/>
    <col min="8970" max="8970" width="9.375" style="1237" bestFit="1" customWidth="1"/>
    <col min="8971" max="8971" width="4" style="1237" customWidth="1"/>
    <col min="8972" max="8972" width="5.125" style="1237" customWidth="1"/>
    <col min="8973" max="8973" width="13.75" style="1237" customWidth="1"/>
    <col min="8974" max="9216" width="9" style="1237"/>
    <col min="9217" max="9217" width="4.875" style="1237" customWidth="1"/>
    <col min="9218" max="9218" width="13.25" style="1237" customWidth="1"/>
    <col min="9219" max="9219" width="15.625" style="1237" customWidth="1"/>
    <col min="9220" max="9220" width="9.375" style="1237" bestFit="1" customWidth="1"/>
    <col min="9221" max="9221" width="13.5" style="1237" customWidth="1"/>
    <col min="9222" max="9222" width="9" style="1237"/>
    <col min="9223" max="9223" width="9.375" style="1237" bestFit="1" customWidth="1"/>
    <col min="9224" max="9225" width="9" style="1237"/>
    <col min="9226" max="9226" width="9.375" style="1237" bestFit="1" customWidth="1"/>
    <col min="9227" max="9227" width="4" style="1237" customWidth="1"/>
    <col min="9228" max="9228" width="5.125" style="1237" customWidth="1"/>
    <col min="9229" max="9229" width="13.75" style="1237" customWidth="1"/>
    <col min="9230" max="9472" width="9" style="1237"/>
    <col min="9473" max="9473" width="4.875" style="1237" customWidth="1"/>
    <col min="9474" max="9474" width="13.25" style="1237" customWidth="1"/>
    <col min="9475" max="9475" width="15.625" style="1237" customWidth="1"/>
    <col min="9476" max="9476" width="9.375" style="1237" bestFit="1" customWidth="1"/>
    <col min="9477" max="9477" width="13.5" style="1237" customWidth="1"/>
    <col min="9478" max="9478" width="9" style="1237"/>
    <col min="9479" max="9479" width="9.375" style="1237" bestFit="1" customWidth="1"/>
    <col min="9480" max="9481" width="9" style="1237"/>
    <col min="9482" max="9482" width="9.375" style="1237" bestFit="1" customWidth="1"/>
    <col min="9483" max="9483" width="4" style="1237" customWidth="1"/>
    <col min="9484" max="9484" width="5.125" style="1237" customWidth="1"/>
    <col min="9485" max="9485" width="13.75" style="1237" customWidth="1"/>
    <col min="9486" max="9728" width="9" style="1237"/>
    <col min="9729" max="9729" width="4.875" style="1237" customWidth="1"/>
    <col min="9730" max="9730" width="13.25" style="1237" customWidth="1"/>
    <col min="9731" max="9731" width="15.625" style="1237" customWidth="1"/>
    <col min="9732" max="9732" width="9.375" style="1237" bestFit="1" customWidth="1"/>
    <col min="9733" max="9733" width="13.5" style="1237" customWidth="1"/>
    <col min="9734" max="9734" width="9" style="1237"/>
    <col min="9735" max="9735" width="9.375" style="1237" bestFit="1" customWidth="1"/>
    <col min="9736" max="9737" width="9" style="1237"/>
    <col min="9738" max="9738" width="9.375" style="1237" bestFit="1" customWidth="1"/>
    <col min="9739" max="9739" width="4" style="1237" customWidth="1"/>
    <col min="9740" max="9740" width="5.125" style="1237" customWidth="1"/>
    <col min="9741" max="9741" width="13.75" style="1237" customWidth="1"/>
    <col min="9742" max="9984" width="9" style="1237"/>
    <col min="9985" max="9985" width="4.875" style="1237" customWidth="1"/>
    <col min="9986" max="9986" width="13.25" style="1237" customWidth="1"/>
    <col min="9987" max="9987" width="15.625" style="1237" customWidth="1"/>
    <col min="9988" max="9988" width="9.375" style="1237" bestFit="1" customWidth="1"/>
    <col min="9989" max="9989" width="13.5" style="1237" customWidth="1"/>
    <col min="9990" max="9990" width="9" style="1237"/>
    <col min="9991" max="9991" width="9.375" style="1237" bestFit="1" customWidth="1"/>
    <col min="9992" max="9993" width="9" style="1237"/>
    <col min="9994" max="9994" width="9.375" style="1237" bestFit="1" customWidth="1"/>
    <col min="9995" max="9995" width="4" style="1237" customWidth="1"/>
    <col min="9996" max="9996" width="5.125" style="1237" customWidth="1"/>
    <col min="9997" max="9997" width="13.75" style="1237" customWidth="1"/>
    <col min="9998" max="10240" width="9" style="1237"/>
    <col min="10241" max="10241" width="4.875" style="1237" customWidth="1"/>
    <col min="10242" max="10242" width="13.25" style="1237" customWidth="1"/>
    <col min="10243" max="10243" width="15.625" style="1237" customWidth="1"/>
    <col min="10244" max="10244" width="9.375" style="1237" bestFit="1" customWidth="1"/>
    <col min="10245" max="10245" width="13.5" style="1237" customWidth="1"/>
    <col min="10246" max="10246" width="9" style="1237"/>
    <col min="10247" max="10247" width="9.375" style="1237" bestFit="1" customWidth="1"/>
    <col min="10248" max="10249" width="9" style="1237"/>
    <col min="10250" max="10250" width="9.375" style="1237" bestFit="1" customWidth="1"/>
    <col min="10251" max="10251" width="4" style="1237" customWidth="1"/>
    <col min="10252" max="10252" width="5.125" style="1237" customWidth="1"/>
    <col min="10253" max="10253" width="13.75" style="1237" customWidth="1"/>
    <col min="10254" max="10496" width="9" style="1237"/>
    <col min="10497" max="10497" width="4.875" style="1237" customWidth="1"/>
    <col min="10498" max="10498" width="13.25" style="1237" customWidth="1"/>
    <col min="10499" max="10499" width="15.625" style="1237" customWidth="1"/>
    <col min="10500" max="10500" width="9.375" style="1237" bestFit="1" customWidth="1"/>
    <col min="10501" max="10501" width="13.5" style="1237" customWidth="1"/>
    <col min="10502" max="10502" width="9" style="1237"/>
    <col min="10503" max="10503" width="9.375" style="1237" bestFit="1" customWidth="1"/>
    <col min="10504" max="10505" width="9" style="1237"/>
    <col min="10506" max="10506" width="9.375" style="1237" bestFit="1" customWidth="1"/>
    <col min="10507" max="10507" width="4" style="1237" customWidth="1"/>
    <col min="10508" max="10508" width="5.125" style="1237" customWidth="1"/>
    <col min="10509" max="10509" width="13.75" style="1237" customWidth="1"/>
    <col min="10510" max="10752" width="9" style="1237"/>
    <col min="10753" max="10753" width="4.875" style="1237" customWidth="1"/>
    <col min="10754" max="10754" width="13.25" style="1237" customWidth="1"/>
    <col min="10755" max="10755" width="15.625" style="1237" customWidth="1"/>
    <col min="10756" max="10756" width="9.375" style="1237" bestFit="1" customWidth="1"/>
    <col min="10757" max="10757" width="13.5" style="1237" customWidth="1"/>
    <col min="10758" max="10758" width="9" style="1237"/>
    <col min="10759" max="10759" width="9.375" style="1237" bestFit="1" customWidth="1"/>
    <col min="10760" max="10761" width="9" style="1237"/>
    <col min="10762" max="10762" width="9.375" style="1237" bestFit="1" customWidth="1"/>
    <col min="10763" max="10763" width="4" style="1237" customWidth="1"/>
    <col min="10764" max="10764" width="5.125" style="1237" customWidth="1"/>
    <col min="10765" max="10765" width="13.75" style="1237" customWidth="1"/>
    <col min="10766" max="11008" width="9" style="1237"/>
    <col min="11009" max="11009" width="4.875" style="1237" customWidth="1"/>
    <col min="11010" max="11010" width="13.25" style="1237" customWidth="1"/>
    <col min="11011" max="11011" width="15.625" style="1237" customWidth="1"/>
    <col min="11012" max="11012" width="9.375" style="1237" bestFit="1" customWidth="1"/>
    <col min="11013" max="11013" width="13.5" style="1237" customWidth="1"/>
    <col min="11014" max="11014" width="9" style="1237"/>
    <col min="11015" max="11015" width="9.375" style="1237" bestFit="1" customWidth="1"/>
    <col min="11016" max="11017" width="9" style="1237"/>
    <col min="11018" max="11018" width="9.375" style="1237" bestFit="1" customWidth="1"/>
    <col min="11019" max="11019" width="4" style="1237" customWidth="1"/>
    <col min="11020" max="11020" width="5.125" style="1237" customWidth="1"/>
    <col min="11021" max="11021" width="13.75" style="1237" customWidth="1"/>
    <col min="11022" max="11264" width="9" style="1237"/>
    <col min="11265" max="11265" width="4.875" style="1237" customWidth="1"/>
    <col min="11266" max="11266" width="13.25" style="1237" customWidth="1"/>
    <col min="11267" max="11267" width="15.625" style="1237" customWidth="1"/>
    <col min="11268" max="11268" width="9.375" style="1237" bestFit="1" customWidth="1"/>
    <col min="11269" max="11269" width="13.5" style="1237" customWidth="1"/>
    <col min="11270" max="11270" width="9" style="1237"/>
    <col min="11271" max="11271" width="9.375" style="1237" bestFit="1" customWidth="1"/>
    <col min="11272" max="11273" width="9" style="1237"/>
    <col min="11274" max="11274" width="9.375" style="1237" bestFit="1" customWidth="1"/>
    <col min="11275" max="11275" width="4" style="1237" customWidth="1"/>
    <col min="11276" max="11276" width="5.125" style="1237" customWidth="1"/>
    <col min="11277" max="11277" width="13.75" style="1237" customWidth="1"/>
    <col min="11278" max="11520" width="9" style="1237"/>
    <col min="11521" max="11521" width="4.875" style="1237" customWidth="1"/>
    <col min="11522" max="11522" width="13.25" style="1237" customWidth="1"/>
    <col min="11523" max="11523" width="15.625" style="1237" customWidth="1"/>
    <col min="11524" max="11524" width="9.375" style="1237" bestFit="1" customWidth="1"/>
    <col min="11525" max="11525" width="13.5" style="1237" customWidth="1"/>
    <col min="11526" max="11526" width="9" style="1237"/>
    <col min="11527" max="11527" width="9.375" style="1237" bestFit="1" customWidth="1"/>
    <col min="11528" max="11529" width="9" style="1237"/>
    <col min="11530" max="11530" width="9.375" style="1237" bestFit="1" customWidth="1"/>
    <col min="11531" max="11531" width="4" style="1237" customWidth="1"/>
    <col min="11532" max="11532" width="5.125" style="1237" customWidth="1"/>
    <col min="11533" max="11533" width="13.75" style="1237" customWidth="1"/>
    <col min="11534" max="11776" width="9" style="1237"/>
    <col min="11777" max="11777" width="4.875" style="1237" customWidth="1"/>
    <col min="11778" max="11778" width="13.25" style="1237" customWidth="1"/>
    <col min="11779" max="11779" width="15.625" style="1237" customWidth="1"/>
    <col min="11780" max="11780" width="9.375" style="1237" bestFit="1" customWidth="1"/>
    <col min="11781" max="11781" width="13.5" style="1237" customWidth="1"/>
    <col min="11782" max="11782" width="9" style="1237"/>
    <col min="11783" max="11783" width="9.375" style="1237" bestFit="1" customWidth="1"/>
    <col min="11784" max="11785" width="9" style="1237"/>
    <col min="11786" max="11786" width="9.375" style="1237" bestFit="1" customWidth="1"/>
    <col min="11787" max="11787" width="4" style="1237" customWidth="1"/>
    <col min="11788" max="11788" width="5.125" style="1237" customWidth="1"/>
    <col min="11789" max="11789" width="13.75" style="1237" customWidth="1"/>
    <col min="11790" max="12032" width="9" style="1237"/>
    <col min="12033" max="12033" width="4.875" style="1237" customWidth="1"/>
    <col min="12034" max="12034" width="13.25" style="1237" customWidth="1"/>
    <col min="12035" max="12035" width="15.625" style="1237" customWidth="1"/>
    <col min="12036" max="12036" width="9.375" style="1237" bestFit="1" customWidth="1"/>
    <col min="12037" max="12037" width="13.5" style="1237" customWidth="1"/>
    <col min="12038" max="12038" width="9" style="1237"/>
    <col min="12039" max="12039" width="9.375" style="1237" bestFit="1" customWidth="1"/>
    <col min="12040" max="12041" width="9" style="1237"/>
    <col min="12042" max="12042" width="9.375" style="1237" bestFit="1" customWidth="1"/>
    <col min="12043" max="12043" width="4" style="1237" customWidth="1"/>
    <col min="12044" max="12044" width="5.125" style="1237" customWidth="1"/>
    <col min="12045" max="12045" width="13.75" style="1237" customWidth="1"/>
    <col min="12046" max="12288" width="9" style="1237"/>
    <col min="12289" max="12289" width="4.875" style="1237" customWidth="1"/>
    <col min="12290" max="12290" width="13.25" style="1237" customWidth="1"/>
    <col min="12291" max="12291" width="15.625" style="1237" customWidth="1"/>
    <col min="12292" max="12292" width="9.375" style="1237" bestFit="1" customWidth="1"/>
    <col min="12293" max="12293" width="13.5" style="1237" customWidth="1"/>
    <col min="12294" max="12294" width="9" style="1237"/>
    <col min="12295" max="12295" width="9.375" style="1237" bestFit="1" customWidth="1"/>
    <col min="12296" max="12297" width="9" style="1237"/>
    <col min="12298" max="12298" width="9.375" style="1237" bestFit="1" customWidth="1"/>
    <col min="12299" max="12299" width="4" style="1237" customWidth="1"/>
    <col min="12300" max="12300" width="5.125" style="1237" customWidth="1"/>
    <col min="12301" max="12301" width="13.75" style="1237" customWidth="1"/>
    <col min="12302" max="12544" width="9" style="1237"/>
    <col min="12545" max="12545" width="4.875" style="1237" customWidth="1"/>
    <col min="12546" max="12546" width="13.25" style="1237" customWidth="1"/>
    <col min="12547" max="12547" width="15.625" style="1237" customWidth="1"/>
    <col min="12548" max="12548" width="9.375" style="1237" bestFit="1" customWidth="1"/>
    <col min="12549" max="12549" width="13.5" style="1237" customWidth="1"/>
    <col min="12550" max="12550" width="9" style="1237"/>
    <col min="12551" max="12551" width="9.375" style="1237" bestFit="1" customWidth="1"/>
    <col min="12552" max="12553" width="9" style="1237"/>
    <col min="12554" max="12554" width="9.375" style="1237" bestFit="1" customWidth="1"/>
    <col min="12555" max="12555" width="4" style="1237" customWidth="1"/>
    <col min="12556" max="12556" width="5.125" style="1237" customWidth="1"/>
    <col min="12557" max="12557" width="13.75" style="1237" customWidth="1"/>
    <col min="12558" max="12800" width="9" style="1237"/>
    <col min="12801" max="12801" width="4.875" style="1237" customWidth="1"/>
    <col min="12802" max="12802" width="13.25" style="1237" customWidth="1"/>
    <col min="12803" max="12803" width="15.625" style="1237" customWidth="1"/>
    <col min="12804" max="12804" width="9.375" style="1237" bestFit="1" customWidth="1"/>
    <col min="12805" max="12805" width="13.5" style="1237" customWidth="1"/>
    <col min="12806" max="12806" width="9" style="1237"/>
    <col min="12807" max="12807" width="9.375" style="1237" bestFit="1" customWidth="1"/>
    <col min="12808" max="12809" width="9" style="1237"/>
    <col min="12810" max="12810" width="9.375" style="1237" bestFit="1" customWidth="1"/>
    <col min="12811" max="12811" width="4" style="1237" customWidth="1"/>
    <col min="12812" max="12812" width="5.125" style="1237" customWidth="1"/>
    <col min="12813" max="12813" width="13.75" style="1237" customWidth="1"/>
    <col min="12814" max="13056" width="9" style="1237"/>
    <col min="13057" max="13057" width="4.875" style="1237" customWidth="1"/>
    <col min="13058" max="13058" width="13.25" style="1237" customWidth="1"/>
    <col min="13059" max="13059" width="15.625" style="1237" customWidth="1"/>
    <col min="13060" max="13060" width="9.375" style="1237" bestFit="1" customWidth="1"/>
    <col min="13061" max="13061" width="13.5" style="1237" customWidth="1"/>
    <col min="13062" max="13062" width="9" style="1237"/>
    <col min="13063" max="13063" width="9.375" style="1237" bestFit="1" customWidth="1"/>
    <col min="13064" max="13065" width="9" style="1237"/>
    <col min="13066" max="13066" width="9.375" style="1237" bestFit="1" customWidth="1"/>
    <col min="13067" max="13067" width="4" style="1237" customWidth="1"/>
    <col min="13068" max="13068" width="5.125" style="1237" customWidth="1"/>
    <col min="13069" max="13069" width="13.75" style="1237" customWidth="1"/>
    <col min="13070" max="13312" width="9" style="1237"/>
    <col min="13313" max="13313" width="4.875" style="1237" customWidth="1"/>
    <col min="13314" max="13314" width="13.25" style="1237" customWidth="1"/>
    <col min="13315" max="13315" width="15.625" style="1237" customWidth="1"/>
    <col min="13316" max="13316" width="9.375" style="1237" bestFit="1" customWidth="1"/>
    <col min="13317" max="13317" width="13.5" style="1237" customWidth="1"/>
    <col min="13318" max="13318" width="9" style="1237"/>
    <col min="13319" max="13319" width="9.375" style="1237" bestFit="1" customWidth="1"/>
    <col min="13320" max="13321" width="9" style="1237"/>
    <col min="13322" max="13322" width="9.375" style="1237" bestFit="1" customWidth="1"/>
    <col min="13323" max="13323" width="4" style="1237" customWidth="1"/>
    <col min="13324" max="13324" width="5.125" style="1237" customWidth="1"/>
    <col min="13325" max="13325" width="13.75" style="1237" customWidth="1"/>
    <col min="13326" max="13568" width="9" style="1237"/>
    <col min="13569" max="13569" width="4.875" style="1237" customWidth="1"/>
    <col min="13570" max="13570" width="13.25" style="1237" customWidth="1"/>
    <col min="13571" max="13571" width="15.625" style="1237" customWidth="1"/>
    <col min="13572" max="13572" width="9.375" style="1237" bestFit="1" customWidth="1"/>
    <col min="13573" max="13573" width="13.5" style="1237" customWidth="1"/>
    <col min="13574" max="13574" width="9" style="1237"/>
    <col min="13575" max="13575" width="9.375" style="1237" bestFit="1" customWidth="1"/>
    <col min="13576" max="13577" width="9" style="1237"/>
    <col min="13578" max="13578" width="9.375" style="1237" bestFit="1" customWidth="1"/>
    <col min="13579" max="13579" width="4" style="1237" customWidth="1"/>
    <col min="13580" max="13580" width="5.125" style="1237" customWidth="1"/>
    <col min="13581" max="13581" width="13.75" style="1237" customWidth="1"/>
    <col min="13582" max="13824" width="9" style="1237"/>
    <col min="13825" max="13825" width="4.875" style="1237" customWidth="1"/>
    <col min="13826" max="13826" width="13.25" style="1237" customWidth="1"/>
    <col min="13827" max="13827" width="15.625" style="1237" customWidth="1"/>
    <col min="13828" max="13828" width="9.375" style="1237" bestFit="1" customWidth="1"/>
    <col min="13829" max="13829" width="13.5" style="1237" customWidth="1"/>
    <col min="13830" max="13830" width="9" style="1237"/>
    <col min="13831" max="13831" width="9.375" style="1237" bestFit="1" customWidth="1"/>
    <col min="13832" max="13833" width="9" style="1237"/>
    <col min="13834" max="13834" width="9.375" style="1237" bestFit="1" customWidth="1"/>
    <col min="13835" max="13835" width="4" style="1237" customWidth="1"/>
    <col min="13836" max="13836" width="5.125" style="1237" customWidth="1"/>
    <col min="13837" max="13837" width="13.75" style="1237" customWidth="1"/>
    <col min="13838" max="14080" width="9" style="1237"/>
    <col min="14081" max="14081" width="4.875" style="1237" customWidth="1"/>
    <col min="14082" max="14082" width="13.25" style="1237" customWidth="1"/>
    <col min="14083" max="14083" width="15.625" style="1237" customWidth="1"/>
    <col min="14084" max="14084" width="9.375" style="1237" bestFit="1" customWidth="1"/>
    <col min="14085" max="14085" width="13.5" style="1237" customWidth="1"/>
    <col min="14086" max="14086" width="9" style="1237"/>
    <col min="14087" max="14087" width="9.375" style="1237" bestFit="1" customWidth="1"/>
    <col min="14088" max="14089" width="9" style="1237"/>
    <col min="14090" max="14090" width="9.375" style="1237" bestFit="1" customWidth="1"/>
    <col min="14091" max="14091" width="4" style="1237" customWidth="1"/>
    <col min="14092" max="14092" width="5.125" style="1237" customWidth="1"/>
    <col min="14093" max="14093" width="13.75" style="1237" customWidth="1"/>
    <col min="14094" max="14336" width="9" style="1237"/>
    <col min="14337" max="14337" width="4.875" style="1237" customWidth="1"/>
    <col min="14338" max="14338" width="13.25" style="1237" customWidth="1"/>
    <col min="14339" max="14339" width="15.625" style="1237" customWidth="1"/>
    <col min="14340" max="14340" width="9.375" style="1237" bestFit="1" customWidth="1"/>
    <col min="14341" max="14341" width="13.5" style="1237" customWidth="1"/>
    <col min="14342" max="14342" width="9" style="1237"/>
    <col min="14343" max="14343" width="9.375" style="1237" bestFit="1" customWidth="1"/>
    <col min="14344" max="14345" width="9" style="1237"/>
    <col min="14346" max="14346" width="9.375" style="1237" bestFit="1" customWidth="1"/>
    <col min="14347" max="14347" width="4" style="1237" customWidth="1"/>
    <col min="14348" max="14348" width="5.125" style="1237" customWidth="1"/>
    <col min="14349" max="14349" width="13.75" style="1237" customWidth="1"/>
    <col min="14350" max="14592" width="9" style="1237"/>
    <col min="14593" max="14593" width="4.875" style="1237" customWidth="1"/>
    <col min="14594" max="14594" width="13.25" style="1237" customWidth="1"/>
    <col min="14595" max="14595" width="15.625" style="1237" customWidth="1"/>
    <col min="14596" max="14596" width="9.375" style="1237" bestFit="1" customWidth="1"/>
    <col min="14597" max="14597" width="13.5" style="1237" customWidth="1"/>
    <col min="14598" max="14598" width="9" style="1237"/>
    <col min="14599" max="14599" width="9.375" style="1237" bestFit="1" customWidth="1"/>
    <col min="14600" max="14601" width="9" style="1237"/>
    <col min="14602" max="14602" width="9.375" style="1237" bestFit="1" customWidth="1"/>
    <col min="14603" max="14603" width="4" style="1237" customWidth="1"/>
    <col min="14604" max="14604" width="5.125" style="1237" customWidth="1"/>
    <col min="14605" max="14605" width="13.75" style="1237" customWidth="1"/>
    <col min="14606" max="14848" width="9" style="1237"/>
    <col min="14849" max="14849" width="4.875" style="1237" customWidth="1"/>
    <col min="14850" max="14850" width="13.25" style="1237" customWidth="1"/>
    <col min="14851" max="14851" width="15.625" style="1237" customWidth="1"/>
    <col min="14852" max="14852" width="9.375" style="1237" bestFit="1" customWidth="1"/>
    <col min="14853" max="14853" width="13.5" style="1237" customWidth="1"/>
    <col min="14854" max="14854" width="9" style="1237"/>
    <col min="14855" max="14855" width="9.375" style="1237" bestFit="1" customWidth="1"/>
    <col min="14856" max="14857" width="9" style="1237"/>
    <col min="14858" max="14858" width="9.375" style="1237" bestFit="1" customWidth="1"/>
    <col min="14859" max="14859" width="4" style="1237" customWidth="1"/>
    <col min="14860" max="14860" width="5.125" style="1237" customWidth="1"/>
    <col min="14861" max="14861" width="13.75" style="1237" customWidth="1"/>
    <col min="14862" max="15104" width="9" style="1237"/>
    <col min="15105" max="15105" width="4.875" style="1237" customWidth="1"/>
    <col min="15106" max="15106" width="13.25" style="1237" customWidth="1"/>
    <col min="15107" max="15107" width="15.625" style="1237" customWidth="1"/>
    <col min="15108" max="15108" width="9.375" style="1237" bestFit="1" customWidth="1"/>
    <col min="15109" max="15109" width="13.5" style="1237" customWidth="1"/>
    <col min="15110" max="15110" width="9" style="1237"/>
    <col min="15111" max="15111" width="9.375" style="1237" bestFit="1" customWidth="1"/>
    <col min="15112" max="15113" width="9" style="1237"/>
    <col min="15114" max="15114" width="9.375" style="1237" bestFit="1" customWidth="1"/>
    <col min="15115" max="15115" width="4" style="1237" customWidth="1"/>
    <col min="15116" max="15116" width="5.125" style="1237" customWidth="1"/>
    <col min="15117" max="15117" width="13.75" style="1237" customWidth="1"/>
    <col min="15118" max="15360" width="9" style="1237"/>
    <col min="15361" max="15361" width="4.875" style="1237" customWidth="1"/>
    <col min="15362" max="15362" width="13.25" style="1237" customWidth="1"/>
    <col min="15363" max="15363" width="15.625" style="1237" customWidth="1"/>
    <col min="15364" max="15364" width="9.375" style="1237" bestFit="1" customWidth="1"/>
    <col min="15365" max="15365" width="13.5" style="1237" customWidth="1"/>
    <col min="15366" max="15366" width="9" style="1237"/>
    <col min="15367" max="15367" width="9.375" style="1237" bestFit="1" customWidth="1"/>
    <col min="15368" max="15369" width="9" style="1237"/>
    <col min="15370" max="15370" width="9.375" style="1237" bestFit="1" customWidth="1"/>
    <col min="15371" max="15371" width="4" style="1237" customWidth="1"/>
    <col min="15372" max="15372" width="5.125" style="1237" customWidth="1"/>
    <col min="15373" max="15373" width="13.75" style="1237" customWidth="1"/>
    <col min="15374" max="15616" width="9" style="1237"/>
    <col min="15617" max="15617" width="4.875" style="1237" customWidth="1"/>
    <col min="15618" max="15618" width="13.25" style="1237" customWidth="1"/>
    <col min="15619" max="15619" width="15.625" style="1237" customWidth="1"/>
    <col min="15620" max="15620" width="9.375" style="1237" bestFit="1" customWidth="1"/>
    <col min="15621" max="15621" width="13.5" style="1237" customWidth="1"/>
    <col min="15622" max="15622" width="9" style="1237"/>
    <col min="15623" max="15623" width="9.375" style="1237" bestFit="1" customWidth="1"/>
    <col min="15624" max="15625" width="9" style="1237"/>
    <col min="15626" max="15626" width="9.375" style="1237" bestFit="1" customWidth="1"/>
    <col min="15627" max="15627" width="4" style="1237" customWidth="1"/>
    <col min="15628" max="15628" width="5.125" style="1237" customWidth="1"/>
    <col min="15629" max="15629" width="13.75" style="1237" customWidth="1"/>
    <col min="15630" max="15872" width="9" style="1237"/>
    <col min="15873" max="15873" width="4.875" style="1237" customWidth="1"/>
    <col min="15874" max="15874" width="13.25" style="1237" customWidth="1"/>
    <col min="15875" max="15875" width="15.625" style="1237" customWidth="1"/>
    <col min="15876" max="15876" width="9.375" style="1237" bestFit="1" customWidth="1"/>
    <col min="15877" max="15877" width="13.5" style="1237" customWidth="1"/>
    <col min="15878" max="15878" width="9" style="1237"/>
    <col min="15879" max="15879" width="9.375" style="1237" bestFit="1" customWidth="1"/>
    <col min="15880" max="15881" width="9" style="1237"/>
    <col min="15882" max="15882" width="9.375" style="1237" bestFit="1" customWidth="1"/>
    <col min="15883" max="15883" width="4" style="1237" customWidth="1"/>
    <col min="15884" max="15884" width="5.125" style="1237" customWidth="1"/>
    <col min="15885" max="15885" width="13.75" style="1237" customWidth="1"/>
    <col min="15886" max="16128" width="9" style="1237"/>
    <col min="16129" max="16129" width="4.875" style="1237" customWidth="1"/>
    <col min="16130" max="16130" width="13.25" style="1237" customWidth="1"/>
    <col min="16131" max="16131" width="15.625" style="1237" customWidth="1"/>
    <col min="16132" max="16132" width="9.375" style="1237" bestFit="1" customWidth="1"/>
    <col min="16133" max="16133" width="13.5" style="1237" customWidth="1"/>
    <col min="16134" max="16134" width="9" style="1237"/>
    <col min="16135" max="16135" width="9.375" style="1237" bestFit="1" customWidth="1"/>
    <col min="16136" max="16137" width="9" style="1237"/>
    <col min="16138" max="16138" width="9.375" style="1237" bestFit="1" customWidth="1"/>
    <col min="16139" max="16139" width="4" style="1237" customWidth="1"/>
    <col min="16140" max="16140" width="5.125" style="1237" customWidth="1"/>
    <col min="16141" max="16141" width="13.75" style="1237" customWidth="1"/>
    <col min="16142" max="16384" width="9" style="1237"/>
  </cols>
  <sheetData>
    <row r="1" spans="1:257" s="1299" customFormat="1" ht="14.25" thickBot="1">
      <c r="A1" s="1293"/>
      <c r="B1" s="1300" t="s">
        <v>602</v>
      </c>
      <c r="C1" s="1294">
        <f>项目基本情况!D3</f>
        <v>45068</v>
      </c>
      <c r="D1" s="1300" t="s">
        <v>603</v>
      </c>
      <c r="E1" s="1295">
        <f>'数据-取费表'!B22</f>
        <v>2</v>
      </c>
      <c r="F1" s="1300" t="s">
        <v>604</v>
      </c>
      <c r="G1" s="1296">
        <f ca="1">INDIRECT("d"&amp;$K$1)/100</f>
        <v>3.6499999999999998E-2</v>
      </c>
      <c r="H1" s="1300" t="s">
        <v>634</v>
      </c>
      <c r="I1" s="1296">
        <f ca="1">F4/100</f>
        <v>1.4999999999999999E-2</v>
      </c>
      <c r="J1" s="1301">
        <f>IF(C1&gt;C13,0,MATCH(C1,C$13:C$109,-1))+IF(SUMIF(C13:C109,C1,D13:D109)=0,13,12)</f>
        <v>13</v>
      </c>
      <c r="K1" s="1301">
        <f>MATCH(E1,C3:C7,1)+IF(SUMIF(C3:C7,E1,D3:D7)=0,2,1)</f>
        <v>5</v>
      </c>
      <c r="L1" s="1301">
        <f>IF(C1&gt;M13,0,MATCH(C1,M$13:M$100,-1))+IF(SUMIF(M13:M100,C1,N13:N100)=0,13,12)</f>
        <v>13</v>
      </c>
      <c r="M1" s="1293"/>
      <c r="N1" s="1293"/>
      <c r="O1" s="1293"/>
      <c r="P1" s="1293"/>
      <c r="Q1" s="1293"/>
      <c r="R1" s="1293"/>
      <c r="S1" s="1293"/>
      <c r="T1" s="1293"/>
      <c r="U1" s="1293"/>
      <c r="V1" s="1293"/>
      <c r="W1" s="1293"/>
      <c r="X1" s="1293"/>
      <c r="Y1" s="1293"/>
      <c r="Z1" s="1293"/>
      <c r="AA1" s="1297"/>
      <c r="AB1" s="1297"/>
      <c r="AC1" s="1297"/>
      <c r="AD1" s="1297"/>
      <c r="AE1" s="1297"/>
      <c r="AF1" s="1297"/>
      <c r="AG1" s="1297"/>
      <c r="AH1" s="1297"/>
      <c r="AI1" s="1297"/>
      <c r="AJ1" s="1297"/>
      <c r="AK1" s="1297"/>
      <c r="AL1" s="1297"/>
      <c r="AM1" s="1297"/>
      <c r="AN1" s="1297"/>
      <c r="AO1" s="1297"/>
      <c r="AP1" s="1297"/>
      <c r="AQ1" s="1297"/>
      <c r="AR1" s="1297"/>
      <c r="AS1" s="1297"/>
      <c r="AT1" s="1297"/>
      <c r="AU1" s="1297"/>
      <c r="AV1" s="1297"/>
      <c r="AW1" s="1297"/>
      <c r="AX1" s="1297"/>
      <c r="AY1" s="1297"/>
      <c r="AZ1" s="1297"/>
      <c r="BA1" s="1297"/>
      <c r="BB1" s="1297"/>
      <c r="BC1" s="1297"/>
      <c r="BD1" s="1297"/>
      <c r="BE1" s="1297"/>
      <c r="BF1" s="1297"/>
      <c r="BG1" s="1297"/>
      <c r="BH1" s="1297"/>
      <c r="BI1" s="1297"/>
      <c r="BJ1" s="1297"/>
      <c r="BK1" s="1297"/>
      <c r="BL1" s="1297"/>
      <c r="BM1" s="1297"/>
      <c r="BN1" s="1297"/>
      <c r="BO1" s="1297"/>
      <c r="BP1" s="1297"/>
      <c r="BQ1" s="1297"/>
      <c r="BR1" s="1297"/>
      <c r="BS1" s="1297"/>
      <c r="BT1" s="1297"/>
      <c r="BU1" s="1297"/>
      <c r="BV1" s="1297"/>
      <c r="BW1" s="1297"/>
      <c r="BX1" s="1297"/>
      <c r="BY1" s="1297"/>
      <c r="BZ1" s="1297"/>
      <c r="CA1" s="1297"/>
      <c r="CB1" s="1297"/>
      <c r="CC1" s="1297"/>
      <c r="CD1" s="1297"/>
      <c r="CE1" s="1297"/>
      <c r="CF1" s="1297"/>
      <c r="CG1" s="1297"/>
      <c r="CH1" s="1297"/>
      <c r="CI1" s="1297"/>
      <c r="CJ1" s="1297"/>
      <c r="CK1" s="1297"/>
      <c r="CL1" s="1297"/>
      <c r="CM1" s="1297"/>
      <c r="CN1" s="1297"/>
      <c r="CO1" s="1297"/>
      <c r="CP1" s="1297"/>
      <c r="CQ1" s="1297"/>
      <c r="CR1" s="1297"/>
      <c r="CS1" s="1297"/>
      <c r="CT1" s="1297"/>
      <c r="CU1" s="1297"/>
      <c r="CV1" s="1297"/>
      <c r="CW1" s="1297"/>
      <c r="CX1" s="1297"/>
      <c r="CY1" s="1297"/>
      <c r="CZ1" s="1297"/>
      <c r="DA1" s="1297"/>
      <c r="DB1" s="1297"/>
      <c r="DC1" s="1297"/>
      <c r="DD1" s="1297"/>
      <c r="DE1" s="1297"/>
      <c r="DF1" s="1297"/>
      <c r="DG1" s="1297"/>
      <c r="DH1" s="1297"/>
      <c r="DI1" s="1297"/>
      <c r="DJ1" s="1297"/>
      <c r="DK1" s="1297"/>
      <c r="DL1" s="1297"/>
      <c r="DM1" s="1297"/>
      <c r="DN1" s="1297"/>
      <c r="DO1" s="1297"/>
      <c r="DP1" s="1297"/>
      <c r="DQ1" s="1297"/>
      <c r="DR1" s="1297"/>
      <c r="DS1" s="1297"/>
      <c r="DT1" s="1297"/>
      <c r="DU1" s="1297"/>
      <c r="DV1" s="1297"/>
      <c r="DW1" s="1297"/>
      <c r="DX1" s="1297"/>
      <c r="DY1" s="1297"/>
      <c r="DZ1" s="1297"/>
      <c r="EA1" s="1297"/>
      <c r="EB1" s="1297"/>
      <c r="EC1" s="1297"/>
      <c r="ED1" s="1297"/>
      <c r="EE1" s="1297"/>
      <c r="EF1" s="1297"/>
      <c r="EG1" s="1297"/>
      <c r="EH1" s="1297"/>
      <c r="EI1" s="1297"/>
      <c r="EJ1" s="1297"/>
      <c r="EK1" s="1297"/>
      <c r="EL1" s="1297"/>
      <c r="EM1" s="1297"/>
      <c r="EN1" s="1297"/>
      <c r="EO1" s="1297"/>
      <c r="EP1" s="1297"/>
      <c r="EQ1" s="1297"/>
      <c r="ER1" s="1297"/>
      <c r="ES1" s="1297"/>
      <c r="ET1" s="1297"/>
      <c r="EU1" s="1297"/>
      <c r="EV1" s="1297"/>
      <c r="EW1" s="1297"/>
      <c r="EX1" s="1297"/>
      <c r="EY1" s="1297"/>
      <c r="EZ1" s="1297"/>
      <c r="FA1" s="1297"/>
      <c r="FB1" s="1297"/>
      <c r="FC1" s="1297"/>
      <c r="FD1" s="1297"/>
      <c r="FE1" s="1297"/>
      <c r="FF1" s="1297"/>
      <c r="FG1" s="1297"/>
      <c r="FH1" s="1297"/>
      <c r="FI1" s="1297"/>
      <c r="FJ1" s="1297"/>
      <c r="FK1" s="1297"/>
      <c r="FL1" s="1297"/>
      <c r="FM1" s="1297"/>
      <c r="FN1" s="1297"/>
      <c r="FO1" s="1297"/>
      <c r="FP1" s="1297"/>
      <c r="FQ1" s="1297"/>
      <c r="FR1" s="1297"/>
      <c r="FS1" s="1297"/>
      <c r="FT1" s="1297"/>
      <c r="FU1" s="1297"/>
      <c r="FV1" s="1297"/>
      <c r="FW1" s="1297"/>
      <c r="FX1" s="1297"/>
      <c r="FY1" s="1297"/>
      <c r="FZ1" s="1297"/>
      <c r="GA1" s="1297"/>
      <c r="GB1" s="1297"/>
      <c r="GC1" s="1297"/>
      <c r="GD1" s="1297"/>
      <c r="GE1" s="1297"/>
      <c r="GF1" s="1297"/>
      <c r="GG1" s="1297"/>
      <c r="GH1" s="1297"/>
      <c r="GI1" s="1297"/>
      <c r="GJ1" s="1297"/>
      <c r="GK1" s="1297"/>
      <c r="GL1" s="1297"/>
      <c r="GM1" s="1297"/>
      <c r="GN1" s="1297"/>
      <c r="GO1" s="1297"/>
      <c r="GP1" s="1297"/>
      <c r="GQ1" s="1297"/>
      <c r="GR1" s="1297"/>
      <c r="GS1" s="1297"/>
      <c r="GT1" s="1297"/>
      <c r="GU1" s="1297"/>
      <c r="GV1" s="1297"/>
      <c r="GW1" s="1297"/>
      <c r="GX1" s="1297"/>
      <c r="GY1" s="1297"/>
      <c r="GZ1" s="1297"/>
      <c r="HA1" s="1297"/>
      <c r="HB1" s="1297"/>
      <c r="HC1" s="1297"/>
      <c r="HD1" s="1297"/>
      <c r="HE1" s="1297"/>
      <c r="HF1" s="1297"/>
      <c r="HG1" s="1297"/>
      <c r="HH1" s="1297"/>
      <c r="HI1" s="1297"/>
      <c r="HJ1" s="1297"/>
      <c r="HK1" s="1297"/>
      <c r="HL1" s="1297"/>
      <c r="HM1" s="1297"/>
      <c r="HN1" s="1297"/>
      <c r="HO1" s="1297"/>
      <c r="HP1" s="1297"/>
      <c r="HQ1" s="1297"/>
      <c r="HR1" s="1297"/>
      <c r="HS1" s="1297"/>
      <c r="HT1" s="1297"/>
      <c r="HU1" s="1297"/>
      <c r="HV1" s="1297"/>
      <c r="HW1" s="1297"/>
      <c r="HX1" s="1297"/>
      <c r="HY1" s="1297"/>
      <c r="HZ1" s="1297"/>
      <c r="IA1" s="1297"/>
      <c r="IB1" s="1297"/>
      <c r="IC1" s="1297"/>
      <c r="ID1" s="1297"/>
      <c r="IE1" s="1297"/>
      <c r="IF1" s="1297"/>
      <c r="IG1" s="1297"/>
      <c r="IH1" s="1297"/>
      <c r="II1" s="1297"/>
      <c r="IJ1" s="1297"/>
      <c r="IK1" s="1297"/>
      <c r="IL1" s="1297"/>
      <c r="IM1" s="1297"/>
      <c r="IN1" s="1297"/>
      <c r="IO1" s="1297"/>
      <c r="IP1" s="1297"/>
      <c r="IQ1" s="1297"/>
      <c r="IR1" s="1297"/>
      <c r="IS1" s="1297"/>
      <c r="IT1" s="1297"/>
      <c r="IU1" s="1297"/>
      <c r="IV1" s="1297"/>
      <c r="IW1" s="1298"/>
    </row>
    <row r="2" spans="1:257" ht="15" thickTop="1" thickBot="1">
      <c r="A2" s="1238"/>
      <c r="B2" s="1238"/>
      <c r="C2" s="1238"/>
      <c r="D2" s="1238" t="s">
        <v>605</v>
      </c>
      <c r="E2" s="1238"/>
      <c r="F2" s="1238" t="s">
        <v>606</v>
      </c>
      <c r="G2" s="1239"/>
      <c r="H2" s="1238"/>
      <c r="I2" s="1238"/>
      <c r="J2" s="1238"/>
      <c r="K2" s="1238"/>
      <c r="L2" s="1238"/>
      <c r="M2" s="1238"/>
      <c r="N2" s="1238"/>
      <c r="O2" s="1238"/>
      <c r="P2" s="1238"/>
      <c r="Q2" s="1238"/>
      <c r="R2" s="1238"/>
      <c r="S2" s="1238"/>
      <c r="T2" s="1238"/>
      <c r="U2" s="1238"/>
      <c r="V2" s="1238"/>
      <c r="W2" s="1238"/>
      <c r="X2" s="1238"/>
      <c r="Y2" s="1238"/>
      <c r="Z2" s="1238"/>
      <c r="AA2" s="1238"/>
      <c r="AB2" s="1238"/>
      <c r="AC2" s="1238"/>
      <c r="AD2" s="1238"/>
      <c r="AE2" s="1238"/>
      <c r="AF2" s="1238"/>
      <c r="AG2" s="1238"/>
      <c r="AH2" s="1238"/>
      <c r="AI2" s="1238"/>
      <c r="AJ2" s="1238"/>
      <c r="AK2" s="1238"/>
      <c r="AL2" s="1238"/>
      <c r="AM2" s="1238"/>
      <c r="AN2" s="1238"/>
      <c r="AO2" s="1238"/>
      <c r="AP2" s="1238"/>
      <c r="AQ2" s="1238"/>
      <c r="AR2" s="1238"/>
      <c r="AS2" s="1238"/>
      <c r="AT2" s="1238"/>
      <c r="AU2" s="1238"/>
      <c r="AV2" s="1238"/>
      <c r="AW2" s="1238"/>
      <c r="AX2" s="1238"/>
      <c r="AY2" s="1238"/>
      <c r="AZ2" s="1238"/>
      <c r="BA2" s="1238"/>
      <c r="BB2" s="1238"/>
      <c r="BC2" s="1238"/>
      <c r="BD2" s="1238"/>
      <c r="BE2" s="1238"/>
      <c r="BF2" s="1238"/>
      <c r="BG2" s="1238"/>
      <c r="BH2" s="1238"/>
      <c r="BI2" s="1238"/>
      <c r="BJ2" s="1238"/>
      <c r="BK2" s="1238"/>
      <c r="BL2" s="1238"/>
      <c r="BM2" s="1238"/>
      <c r="BN2" s="1238"/>
      <c r="BO2" s="1238"/>
      <c r="BP2" s="1238"/>
      <c r="BQ2" s="1238"/>
      <c r="BR2" s="1238"/>
      <c r="BS2" s="1238"/>
      <c r="BT2" s="1238"/>
      <c r="BU2" s="1238"/>
      <c r="BV2" s="1238"/>
      <c r="BW2" s="1238"/>
      <c r="BX2" s="1238"/>
      <c r="BY2" s="1238"/>
      <c r="BZ2" s="1238"/>
      <c r="CA2" s="1238"/>
      <c r="CB2" s="1238"/>
      <c r="CC2" s="1238"/>
      <c r="CD2" s="1238"/>
      <c r="CE2" s="1238"/>
      <c r="CF2" s="1238"/>
      <c r="CG2" s="1238"/>
      <c r="CH2" s="1238"/>
      <c r="CI2" s="1238"/>
      <c r="CJ2" s="1238"/>
      <c r="CK2" s="1238"/>
      <c r="CL2" s="1238"/>
      <c r="CM2" s="1238"/>
      <c r="CN2" s="1238"/>
      <c r="CO2" s="1238"/>
      <c r="CP2" s="1238"/>
      <c r="CQ2" s="1238"/>
      <c r="CR2" s="1238"/>
      <c r="CS2" s="1238"/>
      <c r="CT2" s="1238"/>
      <c r="CU2" s="1238"/>
      <c r="CV2" s="1238"/>
      <c r="CW2" s="1238"/>
      <c r="CX2" s="1238"/>
      <c r="CY2" s="1238"/>
      <c r="CZ2" s="1238"/>
      <c r="DA2" s="1238"/>
      <c r="DB2" s="1238"/>
      <c r="DC2" s="1238"/>
      <c r="DD2" s="1238"/>
      <c r="DE2" s="1238"/>
      <c r="DF2" s="1238"/>
      <c r="DG2" s="1238"/>
      <c r="DH2" s="1238"/>
      <c r="DI2" s="1238"/>
      <c r="DJ2" s="1238"/>
      <c r="DK2" s="1238"/>
      <c r="DL2" s="1238"/>
      <c r="DM2" s="1238"/>
      <c r="DN2" s="1238"/>
      <c r="DO2" s="1238"/>
      <c r="DP2" s="1238"/>
      <c r="DQ2" s="1238"/>
      <c r="DR2" s="1238"/>
      <c r="DS2" s="1238"/>
      <c r="DT2" s="1238"/>
      <c r="DU2" s="1238"/>
      <c r="DV2" s="1238"/>
      <c r="DW2" s="1238"/>
      <c r="DX2" s="1238"/>
      <c r="DY2" s="1238"/>
      <c r="DZ2" s="1238"/>
      <c r="EA2" s="1238"/>
      <c r="EB2" s="1238"/>
      <c r="EC2" s="1238"/>
      <c r="ED2" s="1238"/>
      <c r="EE2" s="1238"/>
      <c r="EF2" s="1238"/>
      <c r="EG2" s="1238"/>
      <c r="EH2" s="1238"/>
      <c r="EI2" s="1238"/>
      <c r="EJ2" s="1238"/>
      <c r="EK2" s="1238"/>
      <c r="EL2" s="1238"/>
      <c r="EM2" s="1238"/>
      <c r="EN2" s="1238"/>
      <c r="EO2" s="1238"/>
      <c r="EP2" s="1238"/>
      <c r="EQ2" s="1238"/>
      <c r="ER2" s="1238"/>
      <c r="ES2" s="1238"/>
      <c r="ET2" s="1238"/>
      <c r="EU2" s="1238"/>
      <c r="EV2" s="1238"/>
      <c r="EW2" s="1238"/>
      <c r="EX2" s="1238"/>
      <c r="EY2" s="1238"/>
      <c r="EZ2" s="1238"/>
      <c r="FA2" s="1238"/>
      <c r="FB2" s="1238"/>
      <c r="FC2" s="1238"/>
      <c r="FD2" s="1238"/>
      <c r="FE2" s="1238"/>
      <c r="FF2" s="1238"/>
      <c r="FG2" s="1238"/>
      <c r="FH2" s="1238"/>
      <c r="FI2" s="1238"/>
      <c r="FJ2" s="1238"/>
      <c r="FK2" s="1238"/>
      <c r="FL2" s="1238"/>
      <c r="FM2" s="1238"/>
      <c r="FN2" s="1238"/>
      <c r="FO2" s="1238"/>
      <c r="FP2" s="1238"/>
      <c r="FQ2" s="1238"/>
      <c r="FR2" s="1238"/>
      <c r="FS2" s="1238"/>
      <c r="FT2" s="1238"/>
      <c r="FU2" s="1238"/>
      <c r="FV2" s="1238"/>
      <c r="FW2" s="1238"/>
      <c r="FX2" s="1238"/>
      <c r="FY2" s="1238"/>
      <c r="FZ2" s="1238"/>
      <c r="GA2" s="1238"/>
      <c r="GB2" s="1238"/>
      <c r="GC2" s="1238"/>
      <c r="GD2" s="1238"/>
      <c r="GE2" s="1238"/>
      <c r="GF2" s="1238"/>
      <c r="GG2" s="1238"/>
      <c r="GH2" s="1238"/>
      <c r="GI2" s="1238"/>
      <c r="GJ2" s="1238"/>
      <c r="GK2" s="1238"/>
      <c r="GL2" s="1238"/>
      <c r="GM2" s="1238"/>
      <c r="GN2" s="1238"/>
      <c r="GO2" s="1238"/>
      <c r="GP2" s="1238"/>
      <c r="GQ2" s="1238"/>
      <c r="GR2" s="1238"/>
      <c r="GS2" s="1238"/>
      <c r="GT2" s="1238"/>
      <c r="GU2" s="1238"/>
      <c r="GV2" s="1238"/>
      <c r="GW2" s="1238"/>
      <c r="GX2" s="1238"/>
      <c r="GY2" s="1238"/>
      <c r="GZ2" s="1238"/>
      <c r="HA2" s="1238"/>
      <c r="HB2" s="1238"/>
      <c r="HC2" s="1238"/>
      <c r="HD2" s="1238"/>
      <c r="HE2" s="1238"/>
      <c r="HF2" s="1238"/>
      <c r="HG2" s="1238"/>
      <c r="HH2" s="1238"/>
      <c r="HI2" s="1238"/>
      <c r="HJ2" s="1238"/>
      <c r="HK2" s="1238"/>
      <c r="HL2" s="1238"/>
      <c r="HM2" s="1238"/>
      <c r="HN2" s="1238"/>
      <c r="HO2" s="1238"/>
      <c r="HP2" s="1238"/>
      <c r="HQ2" s="1238"/>
      <c r="HR2" s="1238"/>
      <c r="HS2" s="1238"/>
      <c r="HT2" s="1238"/>
      <c r="HU2" s="1238"/>
      <c r="HV2" s="1238"/>
      <c r="HW2" s="1238"/>
      <c r="HX2" s="1238"/>
      <c r="HY2" s="1238"/>
      <c r="HZ2" s="1238"/>
      <c r="IA2" s="1238"/>
      <c r="IB2" s="1238"/>
      <c r="IC2" s="1238"/>
      <c r="ID2" s="1238"/>
      <c r="IE2" s="1238"/>
      <c r="IF2" s="1238"/>
      <c r="IG2" s="1238"/>
      <c r="IH2" s="1238"/>
      <c r="II2" s="1238"/>
      <c r="IJ2" s="1238"/>
      <c r="IK2" s="1238"/>
      <c r="IL2" s="1238"/>
      <c r="IM2" s="1238"/>
      <c r="IN2" s="1238"/>
      <c r="IO2" s="1238"/>
      <c r="IP2" s="1238"/>
      <c r="IQ2" s="1238"/>
      <c r="IR2" s="1238"/>
      <c r="IS2" s="1238"/>
      <c r="IT2" s="1238"/>
      <c r="IU2" s="1238"/>
      <c r="IV2" s="1238"/>
      <c r="IW2" s="1238"/>
    </row>
    <row r="3" spans="1:257">
      <c r="B3" s="1241" t="s">
        <v>607</v>
      </c>
      <c r="C3" s="1242">
        <v>0</v>
      </c>
      <c r="D3" s="1243">
        <f ca="1">INDIRECT("d"&amp;$J$1)</f>
        <v>3.65</v>
      </c>
      <c r="E3" s="1244">
        <v>0.5</v>
      </c>
      <c r="F3" s="1245">
        <f ca="1">INDIRECT("p"&amp;$L$1)</f>
        <v>1.3</v>
      </c>
      <c r="G3" s="1240"/>
      <c r="H3" s="1240"/>
      <c r="I3" s="1240"/>
      <c r="J3" s="1240"/>
      <c r="L3" s="1240"/>
      <c r="M3" s="1240"/>
      <c r="N3" s="1240"/>
      <c r="O3" s="1240"/>
      <c r="P3" s="1240"/>
      <c r="Q3" s="1240"/>
      <c r="R3" s="1240"/>
      <c r="S3" s="1240"/>
      <c r="T3" s="1240"/>
      <c r="U3" s="1240"/>
      <c r="V3" s="1240"/>
      <c r="W3" s="1240"/>
      <c r="X3" s="1240"/>
      <c r="Y3" s="1240"/>
      <c r="Z3" s="1240"/>
    </row>
    <row r="4" spans="1:257">
      <c r="B4" s="1247" t="s">
        <v>608</v>
      </c>
      <c r="C4" s="1248">
        <v>0.5</v>
      </c>
      <c r="D4" s="1249">
        <f ca="1">INDIRECT("e"&amp;$J$1)</f>
        <v>3.65</v>
      </c>
      <c r="E4" s="1250">
        <v>1</v>
      </c>
      <c r="F4" s="1251">
        <f ca="1">INDIRECT("q"&amp;$L$1)</f>
        <v>1.5</v>
      </c>
      <c r="G4" s="1240"/>
      <c r="H4" s="1240"/>
      <c r="I4" s="1240"/>
      <c r="J4" s="1240"/>
      <c r="L4" s="1240"/>
      <c r="M4" s="1240"/>
      <c r="N4" s="1240"/>
      <c r="O4" s="1240"/>
      <c r="P4" s="1240"/>
      <c r="Q4" s="1240"/>
      <c r="R4" s="1240"/>
      <c r="S4" s="1240"/>
      <c r="T4" s="1240"/>
      <c r="U4" s="1240"/>
      <c r="V4" s="1240"/>
      <c r="W4" s="1240"/>
      <c r="X4" s="1240"/>
      <c r="Y4" s="1240"/>
      <c r="Z4" s="1240"/>
    </row>
    <row r="5" spans="1:257">
      <c r="B5" s="1247" t="s">
        <v>609</v>
      </c>
      <c r="C5" s="1248">
        <v>1</v>
      </c>
      <c r="D5" s="1249">
        <f ca="1">INDIRECT("f"&amp;$J$1)</f>
        <v>3.65</v>
      </c>
      <c r="E5" s="1250">
        <v>2</v>
      </c>
      <c r="F5" s="1251">
        <f ca="1">INDIRECT("r"&amp;$L$1)</f>
        <v>2.1</v>
      </c>
      <c r="G5" s="1240"/>
      <c r="H5" s="1240"/>
      <c r="I5" s="1240"/>
      <c r="J5" s="1240"/>
      <c r="L5" s="1240"/>
      <c r="M5" s="1240"/>
      <c r="N5" s="1240"/>
      <c r="O5" s="1240"/>
      <c r="P5" s="1240"/>
      <c r="Q5" s="1240"/>
      <c r="R5" s="1240"/>
      <c r="S5" s="1240"/>
      <c r="T5" s="1240"/>
      <c r="U5" s="1240"/>
      <c r="V5" s="1240"/>
      <c r="W5" s="1240"/>
      <c r="X5" s="1240"/>
      <c r="Y5" s="1240"/>
      <c r="Z5" s="1240"/>
    </row>
    <row r="6" spans="1:257">
      <c r="B6" s="1247" t="s">
        <v>610</v>
      </c>
      <c r="C6" s="1248">
        <v>3</v>
      </c>
      <c r="D6" s="1249">
        <f ca="1">INDIRECT("g"&amp;$J$1)</f>
        <v>3.65</v>
      </c>
      <c r="E6" s="1250">
        <v>3</v>
      </c>
      <c r="F6" s="1251">
        <f ca="1">INDIRECT("s"&amp;$L$1)</f>
        <v>2.75</v>
      </c>
      <c r="G6" s="1240"/>
      <c r="H6" s="1240"/>
      <c r="I6" s="1240"/>
      <c r="J6" s="1240"/>
      <c r="L6" s="1240"/>
      <c r="M6" s="1240"/>
      <c r="N6" s="1240"/>
      <c r="O6" s="1240"/>
      <c r="P6" s="1240"/>
      <c r="Q6" s="1240"/>
      <c r="R6" s="1240"/>
      <c r="S6" s="1240"/>
      <c r="T6" s="1240"/>
      <c r="U6" s="1240"/>
      <c r="V6" s="1240"/>
      <c r="W6" s="1240"/>
      <c r="X6" s="1240"/>
      <c r="Y6" s="1240"/>
      <c r="Z6" s="1240"/>
    </row>
    <row r="7" spans="1:257" ht="14.25" thickBot="1">
      <c r="B7" s="1252" t="s">
        <v>611</v>
      </c>
      <c r="C7" s="1253">
        <v>5</v>
      </c>
      <c r="D7" s="1254">
        <f ca="1">INDIRECT("h"&amp;$J$1)</f>
        <v>4.3</v>
      </c>
      <c r="E7" s="1255">
        <v>5</v>
      </c>
      <c r="F7" s="1256">
        <f ca="1">INDIRECT("t"&amp;$L$1)</f>
        <v>0</v>
      </c>
      <c r="G7" s="1240"/>
      <c r="H7" s="1240"/>
      <c r="I7" s="1240"/>
      <c r="J7" s="1240"/>
      <c r="L7" s="1240"/>
      <c r="M7" s="1240"/>
      <c r="N7" s="1240"/>
      <c r="O7" s="1240"/>
      <c r="P7" s="1240"/>
      <c r="Q7" s="1240"/>
      <c r="R7" s="1240"/>
      <c r="S7" s="1240"/>
      <c r="T7" s="1240"/>
      <c r="U7" s="1240"/>
      <c r="V7" s="1240"/>
      <c r="W7" s="1240"/>
      <c r="X7" s="1240"/>
      <c r="Y7" s="1240"/>
      <c r="Z7" s="1240"/>
    </row>
    <row r="8" spans="1:257">
      <c r="A8" s="1257"/>
      <c r="B8" s="1258"/>
      <c r="C8" s="1259"/>
      <c r="D8" s="1240"/>
      <c r="E8" s="1240"/>
      <c r="F8" s="1240"/>
      <c r="G8" s="1240"/>
      <c r="H8" s="1240"/>
      <c r="I8" s="1240"/>
      <c r="J8" s="1240"/>
      <c r="L8" s="1240"/>
      <c r="M8" s="1240"/>
      <c r="N8" s="1240"/>
      <c r="O8" s="1240"/>
      <c r="P8" s="1240"/>
      <c r="Q8" s="1240"/>
      <c r="R8" s="1240"/>
      <c r="S8" s="1240"/>
      <c r="T8" s="1240"/>
      <c r="U8" s="1240"/>
      <c r="V8" s="1240"/>
      <c r="W8" s="1240"/>
      <c r="X8" s="1240"/>
      <c r="Y8" s="1240"/>
      <c r="Z8" s="1240"/>
    </row>
    <row r="9" spans="1:257" ht="20.25">
      <c r="A9" s="1260"/>
      <c r="B9" s="1261" t="s">
        <v>612</v>
      </c>
      <c r="C9" s="1262"/>
      <c r="D9" s="1263"/>
      <c r="E9" s="1263"/>
      <c r="F9" s="1263"/>
      <c r="G9" s="1263"/>
      <c r="H9" s="1263"/>
      <c r="I9" s="1263"/>
      <c r="J9" s="1263"/>
      <c r="K9" s="1263"/>
      <c r="L9" s="1263"/>
      <c r="M9" s="1263"/>
      <c r="N9" s="1263"/>
      <c r="O9" s="1263"/>
      <c r="P9" s="1263"/>
      <c r="Q9" s="1263"/>
      <c r="R9" s="1263"/>
      <c r="S9" s="1263"/>
      <c r="T9" s="1263"/>
      <c r="U9" s="1263"/>
      <c r="V9" s="1263"/>
      <c r="W9" s="1263"/>
      <c r="X9" s="1263"/>
      <c r="Y9" s="1263"/>
      <c r="Z9" s="1263"/>
      <c r="AA9" s="1264"/>
      <c r="AB9" s="1264"/>
      <c r="AC9" s="1264"/>
      <c r="AD9" s="1264"/>
      <c r="AE9" s="1264"/>
      <c r="AF9" s="1264"/>
      <c r="AG9" s="1264"/>
      <c r="AH9" s="1264"/>
      <c r="AI9" s="1264"/>
      <c r="AJ9" s="1264"/>
      <c r="AK9" s="1264"/>
      <c r="AL9" s="1264"/>
      <c r="AM9" s="1264"/>
      <c r="AN9" s="1264"/>
      <c r="AO9" s="1264"/>
      <c r="AP9" s="1264"/>
      <c r="AQ9" s="1264"/>
      <c r="AR9" s="1264"/>
      <c r="AS9" s="1264"/>
      <c r="AT9" s="1264"/>
      <c r="AU9" s="1264"/>
      <c r="AV9" s="1264"/>
      <c r="AW9" s="1264"/>
      <c r="AX9" s="1264"/>
      <c r="AY9" s="1264"/>
      <c r="AZ9" s="1264"/>
      <c r="BA9" s="1264"/>
      <c r="BB9" s="1264"/>
      <c r="BC9" s="1264"/>
      <c r="BD9" s="1264"/>
      <c r="BE9" s="1264"/>
      <c r="BF9" s="1264"/>
      <c r="BG9" s="1264"/>
      <c r="BH9" s="1264"/>
      <c r="BI9" s="1264"/>
      <c r="BJ9" s="1264"/>
      <c r="BK9" s="1264"/>
      <c r="BL9" s="1264"/>
      <c r="BM9" s="1264"/>
      <c r="BN9" s="1264"/>
      <c r="BO9" s="1264"/>
      <c r="BP9" s="1264"/>
      <c r="BQ9" s="1264"/>
      <c r="BR9" s="1264"/>
      <c r="BS9" s="1264"/>
      <c r="BT9" s="1264"/>
      <c r="BU9" s="1264"/>
      <c r="BV9" s="1264"/>
      <c r="BW9" s="1264"/>
      <c r="BX9" s="1264"/>
      <c r="BY9" s="1264"/>
      <c r="BZ9" s="1264"/>
      <c r="CA9" s="1264"/>
      <c r="CB9" s="1264"/>
      <c r="CC9" s="1264"/>
      <c r="CD9" s="1264"/>
      <c r="CE9" s="1264"/>
      <c r="CF9" s="1264"/>
      <c r="CG9" s="1264"/>
      <c r="CH9" s="1264"/>
      <c r="CI9" s="1264"/>
      <c r="CJ9" s="1264"/>
      <c r="CK9" s="1264"/>
      <c r="CL9" s="1264"/>
      <c r="CM9" s="1264"/>
      <c r="CN9" s="1264"/>
      <c r="CO9" s="1264"/>
      <c r="CP9" s="1264"/>
      <c r="CQ9" s="1264"/>
      <c r="CR9" s="1264"/>
      <c r="CS9" s="1264"/>
      <c r="CT9" s="1264"/>
      <c r="CU9" s="1264"/>
      <c r="CV9" s="1264"/>
      <c r="CW9" s="1264"/>
      <c r="CX9" s="1264"/>
      <c r="CY9" s="1264"/>
      <c r="CZ9" s="1264"/>
      <c r="DA9" s="1264"/>
      <c r="DB9" s="1264"/>
      <c r="DC9" s="1264"/>
      <c r="DD9" s="1264"/>
      <c r="DE9" s="1264"/>
      <c r="DF9" s="1264"/>
      <c r="DG9" s="1264"/>
      <c r="DH9" s="1264"/>
      <c r="DI9" s="1264"/>
      <c r="DJ9" s="1264"/>
      <c r="DK9" s="1264"/>
      <c r="DL9" s="1264"/>
      <c r="DM9" s="1264"/>
      <c r="DN9" s="1264"/>
      <c r="DO9" s="1264"/>
      <c r="DP9" s="1264"/>
      <c r="DQ9" s="1264"/>
      <c r="DR9" s="1264"/>
      <c r="DS9" s="1264"/>
      <c r="DT9" s="1264"/>
      <c r="DU9" s="1264"/>
      <c r="DV9" s="1264"/>
      <c r="DW9" s="1264"/>
      <c r="DX9" s="1264"/>
      <c r="DY9" s="1264"/>
      <c r="DZ9" s="1264"/>
      <c r="EA9" s="1264"/>
      <c r="EB9" s="1264"/>
      <c r="EC9" s="1264"/>
      <c r="ED9" s="1264"/>
      <c r="EE9" s="1264"/>
      <c r="EF9" s="1264"/>
      <c r="EG9" s="1264"/>
      <c r="EH9" s="1264"/>
      <c r="EI9" s="1264"/>
      <c r="EJ9" s="1264"/>
      <c r="EK9" s="1264"/>
      <c r="EL9" s="1264"/>
      <c r="EM9" s="1264"/>
      <c r="EN9" s="1264"/>
      <c r="EO9" s="1264"/>
      <c r="EP9" s="1264"/>
      <c r="EQ9" s="1264"/>
      <c r="ER9" s="1264"/>
      <c r="ES9" s="1264"/>
      <c r="ET9" s="1264"/>
      <c r="EU9" s="1264"/>
      <c r="EV9" s="1264"/>
      <c r="EW9" s="1264"/>
      <c r="EX9" s="1264"/>
      <c r="EY9" s="1264"/>
      <c r="EZ9" s="1264"/>
      <c r="FA9" s="1264"/>
      <c r="FB9" s="1264"/>
      <c r="FC9" s="1264"/>
      <c r="FD9" s="1264"/>
      <c r="FE9" s="1264"/>
      <c r="FF9" s="1264"/>
      <c r="FG9" s="1264"/>
      <c r="FH9" s="1264"/>
      <c r="FI9" s="1264"/>
      <c r="FJ9" s="1264"/>
      <c r="FK9" s="1264"/>
      <c r="FL9" s="1264"/>
      <c r="FM9" s="1264"/>
      <c r="FN9" s="1264"/>
      <c r="FO9" s="1264"/>
      <c r="FP9" s="1264"/>
      <c r="FQ9" s="1264"/>
      <c r="FR9" s="1264"/>
      <c r="FS9" s="1264"/>
      <c r="FT9" s="1264"/>
      <c r="FU9" s="1264"/>
      <c r="FV9" s="1264"/>
      <c r="FW9" s="1264"/>
      <c r="FX9" s="1264"/>
      <c r="FY9" s="1264"/>
      <c r="FZ9" s="1264"/>
      <c r="GA9" s="1264"/>
      <c r="GB9" s="1264"/>
      <c r="GC9" s="1264"/>
      <c r="GD9" s="1264"/>
      <c r="GE9" s="1264"/>
      <c r="GF9" s="1264"/>
      <c r="GG9" s="1264"/>
      <c r="GH9" s="1264"/>
      <c r="GI9" s="1264"/>
      <c r="GJ9" s="1264"/>
      <c r="GK9" s="1264"/>
      <c r="GL9" s="1264"/>
      <c r="GM9" s="1264"/>
      <c r="GN9" s="1264"/>
      <c r="GO9" s="1264"/>
      <c r="GP9" s="1264"/>
      <c r="GQ9" s="1264"/>
      <c r="GR9" s="1264"/>
      <c r="GS9" s="1264"/>
      <c r="GT9" s="1264"/>
      <c r="GU9" s="1264"/>
      <c r="GV9" s="1264"/>
      <c r="GW9" s="1264"/>
      <c r="GX9" s="1264"/>
      <c r="GY9" s="1264"/>
      <c r="GZ9" s="1264"/>
      <c r="HA9" s="1264"/>
      <c r="HB9" s="1264"/>
      <c r="HC9" s="1264"/>
      <c r="HD9" s="1264"/>
      <c r="HE9" s="1264"/>
      <c r="HF9" s="1264"/>
      <c r="HG9" s="1264"/>
      <c r="HH9" s="1264"/>
      <c r="HI9" s="1264"/>
      <c r="HJ9" s="1264"/>
      <c r="HK9" s="1264"/>
      <c r="HL9" s="1264"/>
      <c r="HM9" s="1264"/>
      <c r="HN9" s="1264"/>
      <c r="HO9" s="1264"/>
      <c r="HP9" s="1264"/>
      <c r="HQ9" s="1264"/>
      <c r="HR9" s="1264"/>
      <c r="HS9" s="1264"/>
      <c r="HT9" s="1264"/>
      <c r="HU9" s="1264"/>
      <c r="HV9" s="1264"/>
      <c r="HW9" s="1264"/>
      <c r="HX9" s="1264"/>
      <c r="HY9" s="1264"/>
      <c r="HZ9" s="1264"/>
      <c r="IA9" s="1264"/>
      <c r="IB9" s="1264"/>
      <c r="IC9" s="1264"/>
      <c r="ID9" s="1264"/>
      <c r="IE9" s="1264"/>
      <c r="IF9" s="1264"/>
      <c r="IG9" s="1264"/>
      <c r="IH9" s="1264"/>
      <c r="II9" s="1264"/>
      <c r="IJ9" s="1264"/>
      <c r="IK9" s="1264"/>
      <c r="IL9" s="1264"/>
      <c r="IM9" s="1264"/>
      <c r="IN9" s="1264"/>
      <c r="IO9" s="1264"/>
      <c r="IP9" s="1264"/>
      <c r="IQ9" s="1264"/>
      <c r="IR9" s="1264"/>
      <c r="IS9" s="1264"/>
      <c r="IT9" s="1264"/>
      <c r="IU9" s="1264"/>
      <c r="IV9" s="1264"/>
      <c r="IW9" s="1265"/>
    </row>
    <row r="10" spans="1:257" ht="22.5">
      <c r="A10" s="1266"/>
      <c r="B10" s="1267" t="s">
        <v>613</v>
      </c>
      <c r="C10" s="1266"/>
      <c r="D10" s="1266"/>
      <c r="E10" s="1266"/>
      <c r="F10" s="1266"/>
      <c r="G10" s="1266"/>
      <c r="H10" s="1266"/>
      <c r="I10" s="1240"/>
      <c r="J10" s="1240"/>
      <c r="K10" s="1266"/>
      <c r="L10" s="1267" t="s">
        <v>614</v>
      </c>
      <c r="M10" s="1266"/>
      <c r="N10" s="1266"/>
      <c r="O10" s="1266"/>
      <c r="P10" s="1266"/>
      <c r="Q10" s="1266"/>
      <c r="R10" s="1266"/>
      <c r="S10" s="1266"/>
      <c r="T10" s="1266"/>
      <c r="U10" s="1266"/>
      <c r="V10" s="1266"/>
      <c r="W10" s="1266"/>
      <c r="X10" s="1266"/>
      <c r="Y10" s="1266"/>
      <c r="Z10" s="1266"/>
      <c r="AA10" s="1268"/>
      <c r="AB10" s="1268"/>
      <c r="AC10" s="1268"/>
      <c r="AD10" s="1268"/>
      <c r="AE10" s="1268"/>
      <c r="AF10" s="1268"/>
      <c r="AG10" s="1268"/>
      <c r="AH10" s="1268"/>
      <c r="AI10" s="1268"/>
      <c r="AJ10" s="1268"/>
      <c r="AK10" s="1268"/>
      <c r="AL10" s="1268"/>
      <c r="AM10" s="1268"/>
      <c r="AN10" s="1268"/>
      <c r="AO10" s="1268"/>
      <c r="AP10" s="1268"/>
      <c r="AQ10" s="1268"/>
      <c r="AR10" s="1268"/>
      <c r="AS10" s="1268"/>
      <c r="AT10" s="1268"/>
      <c r="AU10" s="1268"/>
      <c r="AV10" s="1268"/>
      <c r="AW10" s="1268"/>
      <c r="AX10" s="1268"/>
      <c r="AY10" s="1268"/>
      <c r="AZ10" s="1268"/>
      <c r="BA10" s="1268"/>
      <c r="BB10" s="1268"/>
      <c r="BC10" s="1268"/>
      <c r="BD10" s="1268"/>
      <c r="BE10" s="1268"/>
      <c r="BF10" s="1268"/>
      <c r="BG10" s="1268"/>
      <c r="BH10" s="1268"/>
      <c r="BI10" s="1268"/>
      <c r="BJ10" s="1268"/>
      <c r="BK10" s="1268"/>
      <c r="BL10" s="1268"/>
      <c r="BM10" s="1268"/>
      <c r="BN10" s="1268"/>
      <c r="BO10" s="1268"/>
      <c r="BP10" s="1268"/>
      <c r="BQ10" s="1268"/>
      <c r="BR10" s="1268"/>
      <c r="BS10" s="1268"/>
      <c r="BT10" s="1268"/>
      <c r="BU10" s="1268"/>
      <c r="BV10" s="1268"/>
      <c r="BW10" s="1268"/>
      <c r="BX10" s="1268"/>
      <c r="BY10" s="1268"/>
      <c r="BZ10" s="1268"/>
      <c r="CA10" s="1268"/>
      <c r="CB10" s="1268"/>
      <c r="CC10" s="1268"/>
      <c r="CD10" s="1268"/>
      <c r="CE10" s="1268"/>
      <c r="CF10" s="1268"/>
      <c r="CG10" s="1268"/>
      <c r="CH10" s="1268"/>
      <c r="CI10" s="1268"/>
      <c r="CJ10" s="1268"/>
      <c r="CK10" s="1268"/>
      <c r="CL10" s="1268"/>
      <c r="CM10" s="1268"/>
      <c r="CN10" s="1268"/>
      <c r="CO10" s="1268"/>
      <c r="CP10" s="1268"/>
      <c r="CQ10" s="1268"/>
      <c r="CR10" s="1268"/>
      <c r="CS10" s="1268"/>
      <c r="CT10" s="1268"/>
      <c r="CU10" s="1268"/>
      <c r="CV10" s="1268"/>
      <c r="CW10" s="1268"/>
      <c r="CX10" s="1268"/>
      <c r="CY10" s="1268"/>
      <c r="CZ10" s="1268"/>
      <c r="DA10" s="1268"/>
      <c r="DB10" s="1268"/>
      <c r="DC10" s="1268"/>
      <c r="DD10" s="1268"/>
      <c r="DE10" s="1268"/>
      <c r="DF10" s="1268"/>
      <c r="DG10" s="1268"/>
      <c r="DH10" s="1268"/>
      <c r="DI10" s="1268"/>
      <c r="DJ10" s="1268"/>
      <c r="DK10" s="1268"/>
      <c r="DL10" s="1268"/>
      <c r="DM10" s="1268"/>
      <c r="DN10" s="1268"/>
      <c r="DO10" s="1268"/>
      <c r="DP10" s="1268"/>
      <c r="DQ10" s="1268"/>
      <c r="DR10" s="1268"/>
      <c r="DS10" s="1268"/>
      <c r="DT10" s="1268"/>
      <c r="DU10" s="1268"/>
      <c r="DV10" s="1268"/>
      <c r="DW10" s="1268"/>
      <c r="DX10" s="1268"/>
      <c r="DY10" s="1268"/>
      <c r="DZ10" s="1268"/>
      <c r="EA10" s="1268"/>
      <c r="EB10" s="1268"/>
      <c r="EC10" s="1268"/>
      <c r="ED10" s="1268"/>
      <c r="EE10" s="1268"/>
      <c r="EF10" s="1268"/>
      <c r="EG10" s="1268"/>
      <c r="EH10" s="1268"/>
      <c r="EI10" s="1268"/>
      <c r="EJ10" s="1268"/>
      <c r="EK10" s="1268"/>
      <c r="EL10" s="1268"/>
      <c r="EM10" s="1268"/>
      <c r="EN10" s="1268"/>
      <c r="EO10" s="1268"/>
      <c r="EP10" s="1268"/>
      <c r="EQ10" s="1268"/>
      <c r="ER10" s="1268"/>
      <c r="ES10" s="1268"/>
      <c r="ET10" s="1268"/>
      <c r="EU10" s="1268"/>
      <c r="EV10" s="1268"/>
      <c r="EW10" s="1268"/>
      <c r="EX10" s="1268"/>
      <c r="EY10" s="1268"/>
      <c r="EZ10" s="1268"/>
      <c r="FA10" s="1268"/>
      <c r="FB10" s="1268"/>
      <c r="FC10" s="1268"/>
      <c r="FD10" s="1268"/>
      <c r="FE10" s="1268"/>
      <c r="FF10" s="1268"/>
      <c r="FG10" s="1268"/>
      <c r="FH10" s="1268"/>
      <c r="FI10" s="1268"/>
      <c r="FJ10" s="1268"/>
      <c r="FK10" s="1268"/>
      <c r="FL10" s="1268"/>
      <c r="FM10" s="1268"/>
      <c r="FN10" s="1268"/>
      <c r="FO10" s="1268"/>
      <c r="FP10" s="1268"/>
      <c r="FQ10" s="1268"/>
      <c r="FR10" s="1268"/>
      <c r="FS10" s="1268"/>
      <c r="FT10" s="1268"/>
      <c r="FU10" s="1268"/>
      <c r="FV10" s="1268"/>
      <c r="FW10" s="1268"/>
      <c r="FX10" s="1268"/>
      <c r="FY10" s="1268"/>
      <c r="FZ10" s="1268"/>
      <c r="GA10" s="1268"/>
      <c r="GB10" s="1268"/>
      <c r="GC10" s="1268"/>
      <c r="GD10" s="1268"/>
      <c r="GE10" s="1268"/>
      <c r="GF10" s="1268"/>
      <c r="GG10" s="1268"/>
      <c r="GH10" s="1268"/>
      <c r="GI10" s="1268"/>
      <c r="GJ10" s="1268"/>
      <c r="GK10" s="1268"/>
      <c r="GL10" s="1268"/>
      <c r="GM10" s="1268"/>
      <c r="GN10" s="1268"/>
      <c r="GO10" s="1268"/>
      <c r="GP10" s="1268"/>
      <c r="GQ10" s="1268"/>
      <c r="GR10" s="1268"/>
      <c r="GS10" s="1268"/>
      <c r="GT10" s="1268"/>
      <c r="GU10" s="1268"/>
      <c r="GV10" s="1268"/>
      <c r="GW10" s="1268"/>
      <c r="GX10" s="1268"/>
      <c r="GY10" s="1268"/>
      <c r="GZ10" s="1268"/>
      <c r="HA10" s="1268"/>
      <c r="HB10" s="1268"/>
      <c r="HC10" s="1268"/>
      <c r="HD10" s="1268"/>
      <c r="HE10" s="1268"/>
      <c r="HF10" s="1268"/>
      <c r="HG10" s="1268"/>
      <c r="HH10" s="1268"/>
      <c r="HI10" s="1268"/>
      <c r="HJ10" s="1268"/>
      <c r="HK10" s="1268"/>
      <c r="HL10" s="1268"/>
      <c r="HM10" s="1268"/>
      <c r="HN10" s="1268"/>
      <c r="HO10" s="1268"/>
      <c r="HP10" s="1268"/>
      <c r="HQ10" s="1268"/>
      <c r="HR10" s="1268"/>
      <c r="HS10" s="1268"/>
      <c r="HT10" s="1268"/>
      <c r="HU10" s="1268"/>
      <c r="HV10" s="1268"/>
      <c r="HW10" s="1268"/>
      <c r="HX10" s="1268"/>
      <c r="HY10" s="1268"/>
      <c r="HZ10" s="1268"/>
      <c r="IA10" s="1268"/>
      <c r="IB10" s="1268"/>
      <c r="IC10" s="1268"/>
      <c r="ID10" s="1268"/>
      <c r="IE10" s="1268"/>
      <c r="IF10" s="1268"/>
      <c r="IG10" s="1268"/>
      <c r="IH10" s="1268"/>
      <c r="II10" s="1268"/>
      <c r="IJ10" s="1268"/>
      <c r="IK10" s="1268"/>
      <c r="IL10" s="1268"/>
      <c r="IM10" s="1268"/>
      <c r="IN10" s="1268"/>
      <c r="IO10" s="1268"/>
      <c r="IP10" s="1268"/>
      <c r="IQ10" s="1268"/>
      <c r="IR10" s="1268"/>
      <c r="IS10" s="1268"/>
      <c r="IT10" s="1268"/>
      <c r="IU10" s="1268"/>
      <c r="IV10" s="1268"/>
    </row>
    <row r="11" spans="1:257">
      <c r="A11" s="1269"/>
      <c r="B11" s="1270" t="s">
        <v>615</v>
      </c>
      <c r="C11" s="1271" t="s">
        <v>616</v>
      </c>
      <c r="D11" s="1272" t="s">
        <v>617</v>
      </c>
      <c r="E11" s="1273"/>
      <c r="F11" s="1272" t="s">
        <v>618</v>
      </c>
      <c r="G11" s="1274"/>
      <c r="H11" s="1273"/>
      <c r="I11" s="1272" t="s">
        <v>619</v>
      </c>
      <c r="J11" s="1273"/>
      <c r="K11" s="1269"/>
      <c r="L11" s="1270" t="s">
        <v>615</v>
      </c>
      <c r="M11" s="1271" t="s">
        <v>616</v>
      </c>
      <c r="N11" s="1270" t="s">
        <v>620</v>
      </c>
      <c r="O11" s="1272" t="s">
        <v>621</v>
      </c>
      <c r="P11" s="1274"/>
      <c r="Q11" s="1274"/>
      <c r="R11" s="1274"/>
      <c r="S11" s="1274"/>
      <c r="T11" s="1273"/>
      <c r="U11" s="1272" t="s">
        <v>622</v>
      </c>
      <c r="V11" s="1274"/>
      <c r="W11" s="1273"/>
      <c r="X11" s="1270" t="s">
        <v>623</v>
      </c>
      <c r="Y11" s="1270" t="s">
        <v>624</v>
      </c>
      <c r="Z11" s="1270" t="s">
        <v>625</v>
      </c>
      <c r="AA11" s="1275"/>
      <c r="AB11" s="1275"/>
      <c r="AC11" s="1275"/>
      <c r="AD11" s="1275"/>
      <c r="AE11" s="1275"/>
      <c r="AF11" s="1275"/>
      <c r="AG11" s="1275"/>
      <c r="AH11" s="1275"/>
      <c r="AI11" s="1275"/>
      <c r="AJ11" s="1275"/>
      <c r="AK11" s="1275"/>
      <c r="AL11" s="1275"/>
      <c r="AM11" s="1275"/>
      <c r="AN11" s="1275"/>
      <c r="AO11" s="1275"/>
      <c r="AP11" s="1275"/>
      <c r="AQ11" s="1275"/>
      <c r="AR11" s="1275"/>
      <c r="AS11" s="1275"/>
      <c r="AT11" s="1275"/>
      <c r="AU11" s="1275"/>
      <c r="AV11" s="1275"/>
      <c r="AW11" s="1275"/>
      <c r="AX11" s="1275"/>
      <c r="AY11" s="1275"/>
      <c r="AZ11" s="1275"/>
      <c r="BA11" s="1275"/>
      <c r="BB11" s="1275"/>
      <c r="BC11" s="1275"/>
      <c r="BD11" s="1275"/>
      <c r="BE11" s="1275"/>
      <c r="BF11" s="1275"/>
      <c r="BG11" s="1275"/>
      <c r="BH11" s="1275"/>
      <c r="BI11" s="1275"/>
      <c r="BJ11" s="1275"/>
      <c r="BK11" s="1275"/>
      <c r="BL11" s="1275"/>
      <c r="BM11" s="1275"/>
      <c r="BN11" s="1275"/>
      <c r="BO11" s="1275"/>
      <c r="BP11" s="1275"/>
      <c r="BQ11" s="1275"/>
      <c r="BR11" s="1275"/>
      <c r="BS11" s="1275"/>
      <c r="BT11" s="1275"/>
      <c r="BU11" s="1275"/>
      <c r="BV11" s="1275"/>
      <c r="BW11" s="1275"/>
      <c r="BX11" s="1275"/>
      <c r="BY11" s="1275"/>
      <c r="BZ11" s="1275"/>
      <c r="CA11" s="1275"/>
      <c r="CB11" s="1275"/>
      <c r="CC11" s="1275"/>
      <c r="CD11" s="1275"/>
      <c r="CE11" s="1275"/>
      <c r="CF11" s="1275"/>
      <c r="CG11" s="1275"/>
      <c r="CH11" s="1275"/>
      <c r="CI11" s="1275"/>
      <c r="CJ11" s="1275"/>
      <c r="CK11" s="1275"/>
      <c r="CL11" s="1275"/>
      <c r="CM11" s="1275"/>
      <c r="CN11" s="1275"/>
      <c r="CO11" s="1275"/>
      <c r="CP11" s="1275"/>
      <c r="CQ11" s="1275"/>
      <c r="CR11" s="1275"/>
      <c r="CS11" s="1275"/>
      <c r="CT11" s="1275"/>
      <c r="CU11" s="1275"/>
      <c r="CV11" s="1275"/>
      <c r="CW11" s="1275"/>
      <c r="CX11" s="1275"/>
      <c r="CY11" s="1275"/>
      <c r="CZ11" s="1275"/>
      <c r="DA11" s="1275"/>
      <c r="DB11" s="1275"/>
      <c r="DC11" s="1275"/>
      <c r="DD11" s="1275"/>
      <c r="DE11" s="1275"/>
      <c r="DF11" s="1275"/>
      <c r="DG11" s="1275"/>
      <c r="DH11" s="1275"/>
      <c r="DI11" s="1275"/>
      <c r="DJ11" s="1275"/>
      <c r="DK11" s="1275"/>
      <c r="DL11" s="1275"/>
      <c r="DM11" s="1275"/>
      <c r="DN11" s="1275"/>
      <c r="DO11" s="1275"/>
      <c r="DP11" s="1275"/>
      <c r="DQ11" s="1275"/>
      <c r="DR11" s="1275"/>
      <c r="DS11" s="1275"/>
      <c r="DT11" s="1275"/>
      <c r="DU11" s="1275"/>
      <c r="DV11" s="1275"/>
      <c r="DW11" s="1275"/>
      <c r="DX11" s="1275"/>
      <c r="DY11" s="1275"/>
      <c r="DZ11" s="1275"/>
      <c r="EA11" s="1275"/>
      <c r="EB11" s="1275"/>
      <c r="EC11" s="1275"/>
      <c r="ED11" s="1275"/>
      <c r="EE11" s="1275"/>
      <c r="EF11" s="1275"/>
      <c r="EG11" s="1275"/>
      <c r="EH11" s="1275"/>
      <c r="EI11" s="1275"/>
      <c r="EJ11" s="1275"/>
      <c r="EK11" s="1275"/>
      <c r="EL11" s="1275"/>
      <c r="EM11" s="1275"/>
      <c r="EN11" s="1275"/>
      <c r="EO11" s="1275"/>
      <c r="EP11" s="1275"/>
      <c r="EQ11" s="1275"/>
      <c r="ER11" s="1275"/>
      <c r="ES11" s="1275"/>
      <c r="ET11" s="1275"/>
      <c r="EU11" s="1275"/>
      <c r="EV11" s="1275"/>
      <c r="EW11" s="1275"/>
      <c r="EX11" s="1275"/>
      <c r="EY11" s="1275"/>
      <c r="EZ11" s="1275"/>
      <c r="FA11" s="1275"/>
      <c r="FB11" s="1275"/>
      <c r="FC11" s="1275"/>
      <c r="FD11" s="1275"/>
      <c r="FE11" s="1275"/>
      <c r="FF11" s="1275"/>
      <c r="FG11" s="1275"/>
      <c r="FH11" s="1275"/>
      <c r="FI11" s="1275"/>
      <c r="FJ11" s="1275"/>
      <c r="FK11" s="1275"/>
      <c r="FL11" s="1275"/>
      <c r="FM11" s="1275"/>
      <c r="FN11" s="1275"/>
      <c r="FO11" s="1275"/>
      <c r="FP11" s="1275"/>
      <c r="FQ11" s="1275"/>
      <c r="FR11" s="1275"/>
      <c r="FS11" s="1275"/>
      <c r="FT11" s="1275"/>
      <c r="FU11" s="1275"/>
      <c r="FV11" s="1275"/>
      <c r="FW11" s="1275"/>
      <c r="FX11" s="1275"/>
      <c r="FY11" s="1275"/>
      <c r="FZ11" s="1275"/>
      <c r="GA11" s="1275"/>
      <c r="GB11" s="1275"/>
      <c r="GC11" s="1275"/>
      <c r="GD11" s="1275"/>
      <c r="GE11" s="1275"/>
      <c r="GF11" s="1275"/>
      <c r="GG11" s="1275"/>
      <c r="GH11" s="1275"/>
      <c r="GI11" s="1275"/>
      <c r="GJ11" s="1275"/>
      <c r="GK11" s="1275"/>
      <c r="GL11" s="1275"/>
      <c r="GM11" s="1275"/>
      <c r="GN11" s="1275"/>
      <c r="GO11" s="1275"/>
      <c r="GP11" s="1275"/>
      <c r="GQ11" s="1275"/>
      <c r="GR11" s="1275"/>
      <c r="GS11" s="1275"/>
      <c r="GT11" s="1275"/>
      <c r="GU11" s="1275"/>
      <c r="GV11" s="1275"/>
      <c r="GW11" s="1275"/>
      <c r="GX11" s="1275"/>
      <c r="GY11" s="1275"/>
      <c r="GZ11" s="1275"/>
      <c r="HA11" s="1275"/>
      <c r="HB11" s="1275"/>
      <c r="HC11" s="1275"/>
      <c r="HD11" s="1275"/>
      <c r="HE11" s="1275"/>
      <c r="HF11" s="1275"/>
      <c r="HG11" s="1275"/>
      <c r="HH11" s="1275"/>
      <c r="HI11" s="1275"/>
      <c r="HJ11" s="1275"/>
      <c r="HK11" s="1275"/>
      <c r="HL11" s="1275"/>
      <c r="HM11" s="1275"/>
      <c r="HN11" s="1275"/>
      <c r="HO11" s="1275"/>
      <c r="HP11" s="1275"/>
      <c r="HQ11" s="1275"/>
      <c r="HR11" s="1275"/>
      <c r="HS11" s="1275"/>
      <c r="HT11" s="1275"/>
      <c r="HU11" s="1275"/>
      <c r="HV11" s="1275"/>
      <c r="HW11" s="1275"/>
      <c r="HX11" s="1275"/>
      <c r="HY11" s="1275"/>
      <c r="HZ11" s="1275"/>
      <c r="IA11" s="1275"/>
      <c r="IB11" s="1275"/>
      <c r="IC11" s="1275"/>
      <c r="ID11" s="1275"/>
      <c r="IE11" s="1275"/>
      <c r="IF11" s="1275"/>
      <c r="IG11" s="1275"/>
      <c r="IH11" s="1275"/>
      <c r="II11" s="1275"/>
      <c r="IJ11" s="1275"/>
      <c r="IK11" s="1275"/>
      <c r="IL11" s="1275"/>
      <c r="IM11" s="1275"/>
      <c r="IN11" s="1275"/>
      <c r="IO11" s="1275"/>
      <c r="IP11" s="1275"/>
      <c r="IQ11" s="1275"/>
      <c r="IR11" s="1275"/>
      <c r="IS11" s="1275"/>
      <c r="IT11" s="1275"/>
      <c r="IU11" s="1275"/>
      <c r="IV11" s="1275"/>
    </row>
    <row r="12" spans="1:257">
      <c r="A12" s="1276"/>
      <c r="B12" s="1277"/>
      <c r="C12" s="1278"/>
      <c r="D12" s="1279" t="s">
        <v>626</v>
      </c>
      <c r="E12" s="1279" t="s">
        <v>627</v>
      </c>
      <c r="F12" s="1279" t="s">
        <v>628</v>
      </c>
      <c r="G12" s="1279" t="s">
        <v>629</v>
      </c>
      <c r="H12" s="1279" t="s">
        <v>611</v>
      </c>
      <c r="I12" s="1280" t="s">
        <v>630</v>
      </c>
      <c r="J12" s="1280" t="s">
        <v>630</v>
      </c>
      <c r="K12" s="1276"/>
      <c r="L12" s="1277"/>
      <c r="M12" s="1278"/>
      <c r="N12" s="1277"/>
      <c r="O12" s="1280" t="s">
        <v>631</v>
      </c>
      <c r="P12" s="1280">
        <v>0.5</v>
      </c>
      <c r="Q12" s="1280">
        <v>1</v>
      </c>
      <c r="R12" s="1280">
        <v>2</v>
      </c>
      <c r="S12" s="1280">
        <v>3</v>
      </c>
      <c r="T12" s="1280">
        <v>5</v>
      </c>
      <c r="U12" s="1280">
        <v>1</v>
      </c>
      <c r="V12" s="1280">
        <v>3</v>
      </c>
      <c r="W12" s="1280">
        <v>5</v>
      </c>
      <c r="X12" s="1277"/>
      <c r="Y12" s="1277"/>
      <c r="Z12" s="1277"/>
      <c r="AA12" s="1281"/>
      <c r="AB12" s="1281"/>
      <c r="AC12" s="1281"/>
      <c r="AD12" s="1281"/>
      <c r="AE12" s="1281"/>
      <c r="AF12" s="1281"/>
      <c r="AG12" s="1281"/>
      <c r="AH12" s="1281"/>
      <c r="AI12" s="1281"/>
      <c r="AJ12" s="1281"/>
      <c r="AK12" s="1281"/>
      <c r="AL12" s="1281"/>
      <c r="AM12" s="1281"/>
      <c r="AN12" s="1281"/>
      <c r="AO12" s="1281"/>
      <c r="AP12" s="1281"/>
      <c r="AQ12" s="1281"/>
      <c r="AR12" s="1281"/>
      <c r="AS12" s="1281"/>
      <c r="AT12" s="1281"/>
      <c r="AU12" s="1281"/>
      <c r="AV12" s="1281"/>
      <c r="AW12" s="1281"/>
      <c r="AX12" s="1281"/>
      <c r="AY12" s="1281"/>
      <c r="AZ12" s="1281"/>
      <c r="BA12" s="1281"/>
      <c r="BB12" s="1281"/>
      <c r="BC12" s="1281"/>
      <c r="BD12" s="1281"/>
      <c r="BE12" s="1281"/>
      <c r="BF12" s="1281"/>
      <c r="BG12" s="1281"/>
      <c r="BH12" s="1281"/>
      <c r="BI12" s="1281"/>
      <c r="BJ12" s="1281"/>
      <c r="BK12" s="1281"/>
      <c r="BL12" s="1281"/>
      <c r="BM12" s="1281"/>
      <c r="BN12" s="1281"/>
      <c r="BO12" s="1281"/>
      <c r="BP12" s="1281"/>
      <c r="BQ12" s="1281"/>
      <c r="BR12" s="1281"/>
      <c r="BS12" s="1281"/>
      <c r="BT12" s="1281"/>
      <c r="BU12" s="1281"/>
      <c r="BV12" s="1281"/>
      <c r="BW12" s="1281"/>
      <c r="BX12" s="1281"/>
      <c r="BY12" s="1281"/>
      <c r="BZ12" s="1281"/>
      <c r="CA12" s="1281"/>
      <c r="CB12" s="1281"/>
      <c r="CC12" s="1281"/>
      <c r="CD12" s="1281"/>
      <c r="CE12" s="1281"/>
      <c r="CF12" s="1281"/>
      <c r="CG12" s="1281"/>
      <c r="CH12" s="1281"/>
      <c r="CI12" s="1281"/>
      <c r="CJ12" s="1281"/>
      <c r="CK12" s="1281"/>
      <c r="CL12" s="1281"/>
      <c r="CM12" s="1281"/>
      <c r="CN12" s="1281"/>
      <c r="CO12" s="1281"/>
      <c r="CP12" s="1281"/>
      <c r="CQ12" s="1281"/>
      <c r="CR12" s="1281"/>
      <c r="CS12" s="1281"/>
      <c r="CT12" s="1281"/>
      <c r="CU12" s="1281"/>
      <c r="CV12" s="1281"/>
      <c r="CW12" s="1281"/>
      <c r="CX12" s="1281"/>
      <c r="CY12" s="1281"/>
      <c r="CZ12" s="1281"/>
      <c r="DA12" s="1281"/>
      <c r="DB12" s="1281"/>
      <c r="DC12" s="1281"/>
      <c r="DD12" s="1281"/>
      <c r="DE12" s="1281"/>
      <c r="DF12" s="1281"/>
      <c r="DG12" s="1281"/>
      <c r="DH12" s="1281"/>
      <c r="DI12" s="1281"/>
      <c r="DJ12" s="1281"/>
      <c r="DK12" s="1281"/>
      <c r="DL12" s="1281"/>
      <c r="DM12" s="1281"/>
      <c r="DN12" s="1281"/>
      <c r="DO12" s="1281"/>
      <c r="DP12" s="1281"/>
      <c r="DQ12" s="1281"/>
      <c r="DR12" s="1281"/>
      <c r="DS12" s="1281"/>
      <c r="DT12" s="1281"/>
      <c r="DU12" s="1281"/>
      <c r="DV12" s="1281"/>
      <c r="DW12" s="1281"/>
      <c r="DX12" s="1281"/>
      <c r="DY12" s="1281"/>
      <c r="DZ12" s="1281"/>
      <c r="EA12" s="1281"/>
      <c r="EB12" s="1281"/>
      <c r="EC12" s="1281"/>
      <c r="ED12" s="1281"/>
      <c r="EE12" s="1281"/>
      <c r="EF12" s="1281"/>
      <c r="EG12" s="1281"/>
      <c r="EH12" s="1281"/>
      <c r="EI12" s="1281"/>
      <c r="EJ12" s="1281"/>
      <c r="EK12" s="1281"/>
      <c r="EL12" s="1281"/>
      <c r="EM12" s="1281"/>
      <c r="EN12" s="1281"/>
      <c r="EO12" s="1281"/>
      <c r="EP12" s="1281"/>
      <c r="EQ12" s="1281"/>
      <c r="ER12" s="1281"/>
      <c r="ES12" s="1281"/>
      <c r="ET12" s="1281"/>
      <c r="EU12" s="1281"/>
      <c r="EV12" s="1281"/>
      <c r="EW12" s="1281"/>
      <c r="EX12" s="1281"/>
      <c r="EY12" s="1281"/>
      <c r="EZ12" s="1281"/>
      <c r="FA12" s="1281"/>
      <c r="FB12" s="1281"/>
      <c r="FC12" s="1281"/>
      <c r="FD12" s="1281"/>
      <c r="FE12" s="1281"/>
      <c r="FF12" s="1281"/>
      <c r="FG12" s="1281"/>
      <c r="FH12" s="1281"/>
      <c r="FI12" s="1281"/>
      <c r="FJ12" s="1281"/>
      <c r="FK12" s="1281"/>
      <c r="FL12" s="1281"/>
      <c r="FM12" s="1281"/>
      <c r="FN12" s="1281"/>
      <c r="FO12" s="1281"/>
      <c r="FP12" s="1281"/>
      <c r="FQ12" s="1281"/>
      <c r="FR12" s="1281"/>
      <c r="FS12" s="1281"/>
      <c r="FT12" s="1281"/>
      <c r="FU12" s="1281"/>
      <c r="FV12" s="1281"/>
      <c r="FW12" s="1281"/>
      <c r="FX12" s="1281"/>
      <c r="FY12" s="1281"/>
      <c r="FZ12" s="1281"/>
      <c r="GA12" s="1281"/>
      <c r="GB12" s="1281"/>
      <c r="GC12" s="1281"/>
      <c r="GD12" s="1281"/>
      <c r="GE12" s="1281"/>
      <c r="GF12" s="1281"/>
      <c r="GG12" s="1281"/>
      <c r="GH12" s="1281"/>
      <c r="GI12" s="1281"/>
      <c r="GJ12" s="1281"/>
      <c r="GK12" s="1281"/>
      <c r="GL12" s="1281"/>
      <c r="GM12" s="1281"/>
      <c r="GN12" s="1281"/>
      <c r="GO12" s="1281"/>
      <c r="GP12" s="1281"/>
      <c r="GQ12" s="1281"/>
      <c r="GR12" s="1281"/>
      <c r="GS12" s="1281"/>
      <c r="GT12" s="1281"/>
      <c r="GU12" s="1281"/>
      <c r="GV12" s="1281"/>
      <c r="GW12" s="1281"/>
      <c r="GX12" s="1281"/>
      <c r="GY12" s="1281"/>
      <c r="GZ12" s="1281"/>
      <c r="HA12" s="1281"/>
      <c r="HB12" s="1281"/>
      <c r="HC12" s="1281"/>
      <c r="HD12" s="1281"/>
      <c r="HE12" s="1281"/>
      <c r="HF12" s="1281"/>
      <c r="HG12" s="1281"/>
      <c r="HH12" s="1281"/>
      <c r="HI12" s="1281"/>
      <c r="HJ12" s="1281"/>
      <c r="HK12" s="1281"/>
      <c r="HL12" s="1281"/>
      <c r="HM12" s="1281"/>
      <c r="HN12" s="1281"/>
      <c r="HO12" s="1281"/>
      <c r="HP12" s="1281"/>
      <c r="HQ12" s="1281"/>
      <c r="HR12" s="1281"/>
      <c r="HS12" s="1281"/>
      <c r="HT12" s="1281"/>
      <c r="HU12" s="1281"/>
      <c r="HV12" s="1281"/>
      <c r="HW12" s="1281"/>
      <c r="HX12" s="1281"/>
      <c r="HY12" s="1281"/>
      <c r="HZ12" s="1281"/>
      <c r="IA12" s="1281"/>
      <c r="IB12" s="1281"/>
      <c r="IC12" s="1281"/>
      <c r="ID12" s="1281"/>
      <c r="IE12" s="1281"/>
      <c r="IF12" s="1281"/>
      <c r="IG12" s="1281"/>
      <c r="IH12" s="1281"/>
      <c r="II12" s="1281"/>
      <c r="IJ12" s="1281"/>
      <c r="IK12" s="1281"/>
      <c r="IL12" s="1281"/>
      <c r="IM12" s="1281"/>
      <c r="IN12" s="1281"/>
      <c r="IO12" s="1281"/>
      <c r="IP12" s="1281"/>
      <c r="IQ12" s="1281"/>
      <c r="IR12" s="1281"/>
      <c r="IS12" s="1281"/>
      <c r="IT12" s="1281"/>
      <c r="IU12" s="1281"/>
      <c r="IV12" s="1281"/>
    </row>
    <row r="13" spans="1:257" ht="14.25">
      <c r="A13" s="1282"/>
      <c r="B13" s="1283" t="s">
        <v>632</v>
      </c>
      <c r="C13" s="2817">
        <v>44795</v>
      </c>
      <c r="D13" s="2818">
        <v>3.65</v>
      </c>
      <c r="E13" s="2818">
        <f>D13</f>
        <v>3.65</v>
      </c>
      <c r="F13" s="2818">
        <f>D13</f>
        <v>3.65</v>
      </c>
      <c r="G13" s="2818">
        <f>D13</f>
        <v>3.65</v>
      </c>
      <c r="H13" s="2818">
        <v>4.3</v>
      </c>
      <c r="I13" s="1284"/>
      <c r="J13" s="1284"/>
      <c r="K13" s="1282"/>
      <c r="L13" s="1283" t="s">
        <v>632</v>
      </c>
      <c r="M13" s="1285">
        <v>42301</v>
      </c>
      <c r="N13" s="1284">
        <v>0.35</v>
      </c>
      <c r="O13" s="1284">
        <v>1.1000000000000001</v>
      </c>
      <c r="P13" s="1284">
        <v>1.3</v>
      </c>
      <c r="Q13" s="1284">
        <v>1.5</v>
      </c>
      <c r="R13" s="1284">
        <v>2.1</v>
      </c>
      <c r="S13" s="1284">
        <v>2.75</v>
      </c>
      <c r="T13" s="1284"/>
      <c r="U13" s="1284"/>
      <c r="V13" s="1284"/>
      <c r="W13" s="1284"/>
      <c r="X13" s="1284"/>
      <c r="Y13" s="1284"/>
      <c r="Z13" s="1284"/>
      <c r="AA13" s="1286"/>
      <c r="AB13" s="1286"/>
      <c r="AC13" s="1286"/>
      <c r="AD13" s="1286"/>
      <c r="AE13" s="1286"/>
      <c r="AF13" s="1286"/>
      <c r="AG13" s="1286"/>
      <c r="AH13" s="1286"/>
      <c r="AI13" s="1286"/>
      <c r="AJ13" s="1286"/>
      <c r="AK13" s="1286"/>
      <c r="AL13" s="1286"/>
      <c r="AM13" s="1286"/>
      <c r="AN13" s="1286"/>
      <c r="AO13" s="1286"/>
      <c r="AP13" s="1286"/>
      <c r="AQ13" s="1286"/>
      <c r="AR13" s="1286"/>
      <c r="AS13" s="1286"/>
      <c r="AT13" s="1286"/>
      <c r="AU13" s="1286"/>
      <c r="AV13" s="1286"/>
      <c r="AW13" s="1286"/>
      <c r="AX13" s="1286"/>
      <c r="AY13" s="1286"/>
      <c r="AZ13" s="1286"/>
      <c r="BA13" s="1286"/>
      <c r="BB13" s="1286"/>
      <c r="BC13" s="1286"/>
      <c r="BD13" s="1286"/>
      <c r="BE13" s="1286"/>
      <c r="BF13" s="1286"/>
      <c r="BG13" s="1286"/>
      <c r="BH13" s="1286"/>
      <c r="BI13" s="1286"/>
      <c r="BJ13" s="1286"/>
      <c r="BK13" s="1286"/>
      <c r="BL13" s="1286"/>
      <c r="BM13" s="1286"/>
      <c r="BN13" s="1286"/>
      <c r="BO13" s="1286"/>
      <c r="BP13" s="1286"/>
      <c r="BQ13" s="1286"/>
      <c r="BR13" s="1286"/>
      <c r="BS13" s="1286"/>
      <c r="BT13" s="1286"/>
      <c r="BU13" s="1286"/>
      <c r="BV13" s="1286"/>
      <c r="BW13" s="1286"/>
      <c r="BX13" s="1286"/>
      <c r="BY13" s="1286"/>
      <c r="BZ13" s="1286"/>
      <c r="CA13" s="1286"/>
      <c r="CB13" s="1286"/>
      <c r="CC13" s="1286"/>
      <c r="CD13" s="1286"/>
      <c r="CE13" s="1286"/>
      <c r="CF13" s="1286"/>
      <c r="CG13" s="1286"/>
      <c r="CH13" s="1286"/>
      <c r="CI13" s="1286"/>
      <c r="CJ13" s="1286"/>
      <c r="CK13" s="1286"/>
      <c r="CL13" s="1286"/>
      <c r="CM13" s="1286"/>
      <c r="CN13" s="1286"/>
      <c r="CO13" s="1286"/>
      <c r="CP13" s="1286"/>
      <c r="CQ13" s="1286"/>
      <c r="CR13" s="1286"/>
      <c r="CS13" s="1286"/>
      <c r="CT13" s="1286"/>
      <c r="CU13" s="1286"/>
      <c r="CV13" s="1286"/>
      <c r="CW13" s="1286"/>
      <c r="CX13" s="1286"/>
      <c r="CY13" s="1286"/>
      <c r="CZ13" s="1286"/>
      <c r="DA13" s="1286"/>
      <c r="DB13" s="1286"/>
      <c r="DC13" s="1286"/>
      <c r="DD13" s="1286"/>
      <c r="DE13" s="1286"/>
      <c r="DF13" s="1286"/>
      <c r="DG13" s="1286"/>
      <c r="DH13" s="1286"/>
      <c r="DI13" s="1286"/>
      <c r="DJ13" s="1286"/>
      <c r="DK13" s="1286"/>
      <c r="DL13" s="1286"/>
      <c r="DM13" s="1286"/>
      <c r="DN13" s="1286"/>
      <c r="DO13" s="1286"/>
      <c r="DP13" s="1286"/>
      <c r="DQ13" s="1286"/>
      <c r="DR13" s="1286"/>
      <c r="DS13" s="1286"/>
      <c r="DT13" s="1286"/>
      <c r="DU13" s="1286"/>
      <c r="DV13" s="1286"/>
      <c r="DW13" s="1286"/>
      <c r="DX13" s="1286"/>
      <c r="DY13" s="1286"/>
      <c r="DZ13" s="1286"/>
      <c r="EA13" s="1286"/>
      <c r="EB13" s="1286"/>
      <c r="EC13" s="1286"/>
      <c r="ED13" s="1286"/>
      <c r="EE13" s="1286"/>
      <c r="EF13" s="1286"/>
      <c r="EG13" s="1286"/>
      <c r="EH13" s="1286"/>
      <c r="EI13" s="1286"/>
      <c r="EJ13" s="1286"/>
      <c r="EK13" s="1286"/>
      <c r="EL13" s="1286"/>
      <c r="EM13" s="1286"/>
      <c r="EN13" s="1286"/>
      <c r="EO13" s="1286"/>
      <c r="EP13" s="1286"/>
      <c r="EQ13" s="1286"/>
      <c r="ER13" s="1286"/>
      <c r="ES13" s="1286"/>
      <c r="ET13" s="1286"/>
      <c r="EU13" s="1286"/>
      <c r="EV13" s="1286"/>
      <c r="EW13" s="1286"/>
      <c r="EX13" s="1286"/>
      <c r="EY13" s="1286"/>
      <c r="EZ13" s="1286"/>
      <c r="FA13" s="1286"/>
      <c r="FB13" s="1286"/>
      <c r="FC13" s="1286"/>
      <c r="FD13" s="1286"/>
      <c r="FE13" s="1286"/>
      <c r="FF13" s="1286"/>
      <c r="FG13" s="1286"/>
      <c r="FH13" s="1286"/>
      <c r="FI13" s="1286"/>
      <c r="FJ13" s="1286"/>
      <c r="FK13" s="1286"/>
      <c r="FL13" s="1286"/>
      <c r="FM13" s="1286"/>
      <c r="FN13" s="1286"/>
      <c r="FO13" s="1286"/>
      <c r="FP13" s="1286"/>
      <c r="FQ13" s="1286"/>
      <c r="FR13" s="1286"/>
      <c r="FS13" s="1286"/>
      <c r="FT13" s="1286"/>
      <c r="FU13" s="1286"/>
      <c r="FV13" s="1286"/>
      <c r="FW13" s="1286"/>
      <c r="FX13" s="1286"/>
      <c r="FY13" s="1286"/>
      <c r="FZ13" s="1286"/>
      <c r="GA13" s="1286"/>
      <c r="GB13" s="1286"/>
      <c r="GC13" s="1286"/>
      <c r="GD13" s="1286"/>
      <c r="GE13" s="1286"/>
      <c r="GF13" s="1286"/>
      <c r="GG13" s="1286"/>
      <c r="GH13" s="1286"/>
      <c r="GI13" s="1286"/>
      <c r="GJ13" s="1286"/>
      <c r="GK13" s="1286"/>
      <c r="GL13" s="1286"/>
      <c r="GM13" s="1286"/>
      <c r="GN13" s="1286"/>
      <c r="GO13" s="1286"/>
      <c r="GP13" s="1286"/>
      <c r="GQ13" s="1286"/>
      <c r="GR13" s="1286"/>
      <c r="GS13" s="1286"/>
      <c r="GT13" s="1286"/>
      <c r="GU13" s="1286"/>
      <c r="GV13" s="1286"/>
      <c r="GW13" s="1286"/>
      <c r="GX13" s="1286"/>
      <c r="GY13" s="1286"/>
      <c r="GZ13" s="1286"/>
      <c r="HA13" s="1286"/>
      <c r="HB13" s="1286"/>
      <c r="HC13" s="1286"/>
      <c r="HD13" s="1286"/>
      <c r="HE13" s="1286"/>
      <c r="HF13" s="1286"/>
      <c r="HG13" s="1286"/>
      <c r="HH13" s="1286"/>
      <c r="HI13" s="1286"/>
      <c r="HJ13" s="1286"/>
      <c r="HK13" s="1286"/>
      <c r="HL13" s="1286"/>
      <c r="HM13" s="1286"/>
      <c r="HN13" s="1286"/>
      <c r="HO13" s="1286"/>
      <c r="HP13" s="1286"/>
      <c r="HQ13" s="1286"/>
      <c r="HR13" s="1286"/>
      <c r="HS13" s="1286"/>
      <c r="HT13" s="1286"/>
      <c r="HU13" s="1286"/>
      <c r="HV13" s="1286"/>
      <c r="HW13" s="1286"/>
      <c r="HX13" s="1286"/>
      <c r="HY13" s="1286"/>
      <c r="HZ13" s="1286"/>
      <c r="IA13" s="1286"/>
      <c r="IB13" s="1286"/>
      <c r="IC13" s="1286"/>
      <c r="ID13" s="1286"/>
      <c r="IE13" s="1286"/>
      <c r="IF13" s="1286"/>
      <c r="IG13" s="1286"/>
      <c r="IH13" s="1286"/>
      <c r="II13" s="1286"/>
      <c r="IJ13" s="1286"/>
      <c r="IK13" s="1286"/>
      <c r="IL13" s="1286"/>
      <c r="IM13" s="1286"/>
      <c r="IN13" s="1286"/>
      <c r="IO13" s="1286"/>
      <c r="IP13" s="1286"/>
      <c r="IQ13" s="1286"/>
      <c r="IR13" s="1286"/>
      <c r="IS13" s="1286"/>
      <c r="IT13" s="1286"/>
      <c r="IU13" s="1286"/>
      <c r="IV13" s="1286"/>
      <c r="IW13" s="1287"/>
    </row>
    <row r="14" spans="1:257" ht="14.25">
      <c r="A14" s="1282"/>
      <c r="B14" s="2812"/>
      <c r="C14" s="2814">
        <v>44701</v>
      </c>
      <c r="D14" s="2813">
        <v>3.7</v>
      </c>
      <c r="E14" s="2813">
        <f>D14</f>
        <v>3.7</v>
      </c>
      <c r="F14" s="2813">
        <f>D14</f>
        <v>3.7</v>
      </c>
      <c r="G14" s="2813">
        <f>D14</f>
        <v>3.7</v>
      </c>
      <c r="H14" s="2813">
        <v>4.45</v>
      </c>
      <c r="I14" s="2818"/>
      <c r="J14" s="2818"/>
      <c r="K14" s="1282"/>
      <c r="L14" s="1288"/>
      <c r="M14" s="1289">
        <v>42242</v>
      </c>
      <c r="N14" s="1288">
        <v>0.35</v>
      </c>
      <c r="O14" s="1288">
        <v>1.35</v>
      </c>
      <c r="P14" s="1288">
        <v>1.55</v>
      </c>
      <c r="Q14" s="1288">
        <v>1.75</v>
      </c>
      <c r="R14" s="1288">
        <v>2.35</v>
      </c>
      <c r="S14" s="1288">
        <v>3</v>
      </c>
      <c r="T14" s="1288"/>
      <c r="U14" s="1288"/>
      <c r="V14" s="1288"/>
      <c r="W14" s="1288"/>
      <c r="X14" s="1288"/>
      <c r="Y14" s="1288"/>
      <c r="Z14" s="1288"/>
    </row>
    <row r="15" spans="1:257" ht="14.25">
      <c r="A15" s="1282"/>
      <c r="B15" s="2812"/>
      <c r="C15" s="2814">
        <v>44581</v>
      </c>
      <c r="D15" s="2813">
        <v>3.7</v>
      </c>
      <c r="E15" s="2813">
        <f>D15</f>
        <v>3.7</v>
      </c>
      <c r="F15" s="2813">
        <f>D15</f>
        <v>3.7</v>
      </c>
      <c r="G15" s="2813">
        <f>D15</f>
        <v>3.7</v>
      </c>
      <c r="H15" s="2813">
        <v>4.5999999999999996</v>
      </c>
      <c r="I15" s="2818"/>
      <c r="J15" s="2818"/>
      <c r="K15" s="1282"/>
      <c r="L15" s="1288"/>
      <c r="M15" s="1289">
        <v>42183</v>
      </c>
      <c r="N15" s="1288">
        <v>0.35</v>
      </c>
      <c r="O15" s="1288">
        <v>1.6</v>
      </c>
      <c r="P15" s="1288">
        <v>1.8</v>
      </c>
      <c r="Q15" s="1288">
        <v>2</v>
      </c>
      <c r="R15" s="1288">
        <v>2.6</v>
      </c>
      <c r="S15" s="1288">
        <v>3.25</v>
      </c>
      <c r="T15" s="1288"/>
      <c r="U15" s="1288"/>
      <c r="V15" s="1288"/>
      <c r="W15" s="1288"/>
      <c r="X15" s="1288"/>
      <c r="Y15" s="1288"/>
      <c r="Z15" s="1288"/>
    </row>
    <row r="16" spans="1:257" ht="14.25">
      <c r="A16" s="1282"/>
      <c r="B16" s="2813"/>
      <c r="C16" s="2814">
        <v>44550</v>
      </c>
      <c r="D16" s="2813">
        <v>3.8</v>
      </c>
      <c r="E16" s="2813">
        <f>D16</f>
        <v>3.8</v>
      </c>
      <c r="F16" s="2813">
        <f>D16</f>
        <v>3.8</v>
      </c>
      <c r="G16" s="2813">
        <f>D16</f>
        <v>3.8</v>
      </c>
      <c r="H16" s="2813">
        <v>4.6500000000000004</v>
      </c>
      <c r="I16" s="2813"/>
      <c r="J16" s="2818"/>
      <c r="L16" s="1288"/>
      <c r="M16" s="1289">
        <v>42135</v>
      </c>
      <c r="N16" s="1288">
        <v>0.35</v>
      </c>
      <c r="O16" s="1288">
        <v>1.85</v>
      </c>
      <c r="P16" s="1288">
        <v>2.0499999999999998</v>
      </c>
      <c r="Q16" s="1288">
        <v>2.25</v>
      </c>
      <c r="R16" s="1288">
        <v>2.85</v>
      </c>
      <c r="S16" s="1288">
        <v>3.5</v>
      </c>
      <c r="T16" s="1288"/>
      <c r="U16" s="1288"/>
      <c r="V16" s="1288"/>
      <c r="W16" s="1288"/>
      <c r="X16" s="1288"/>
      <c r="Y16" s="1288"/>
      <c r="Z16" s="1288"/>
    </row>
    <row r="17" spans="1:256" ht="14.25">
      <c r="A17" s="1282"/>
      <c r="B17" s="2813"/>
      <c r="C17" s="2814">
        <v>43941</v>
      </c>
      <c r="D17" s="2813">
        <v>3.85</v>
      </c>
      <c r="E17" s="2813">
        <v>3.85</v>
      </c>
      <c r="F17" s="2813">
        <v>3.85</v>
      </c>
      <c r="G17" s="2813">
        <v>3.85</v>
      </c>
      <c r="H17" s="2813">
        <v>4.6500000000000004</v>
      </c>
      <c r="I17" s="2813"/>
      <c r="J17" s="2813"/>
      <c r="L17" s="1288"/>
      <c r="M17" s="1289">
        <v>42064</v>
      </c>
      <c r="N17" s="1288">
        <v>0.35</v>
      </c>
      <c r="O17" s="1288">
        <v>2.1</v>
      </c>
      <c r="P17" s="1288">
        <v>2.2999999999999998</v>
      </c>
      <c r="Q17" s="1288">
        <v>2.5</v>
      </c>
      <c r="R17" s="1288">
        <v>3.1</v>
      </c>
      <c r="S17" s="1288">
        <v>3.75</v>
      </c>
      <c r="T17" s="1288">
        <v>4.5</v>
      </c>
      <c r="U17" s="1288">
        <v>2.35</v>
      </c>
      <c r="V17" s="1288">
        <v>2.5499999999999998</v>
      </c>
      <c r="W17" s="1288">
        <v>2.75</v>
      </c>
      <c r="X17" s="1288"/>
      <c r="Y17" s="1288">
        <v>0.8</v>
      </c>
      <c r="Z17" s="1288">
        <v>1.35</v>
      </c>
    </row>
    <row r="18" spans="1:256" ht="15">
      <c r="A18" s="1282"/>
      <c r="B18" s="2813"/>
      <c r="C18" s="2814">
        <v>43881</v>
      </c>
      <c r="D18" s="2813">
        <v>4.05</v>
      </c>
      <c r="E18" s="2813">
        <v>4.05</v>
      </c>
      <c r="F18" s="2813">
        <v>4.05</v>
      </c>
      <c r="G18" s="2813">
        <v>4.05</v>
      </c>
      <c r="H18" s="2813">
        <v>4.75</v>
      </c>
      <c r="I18" s="2813"/>
      <c r="J18" s="2813"/>
      <c r="L18" s="2822"/>
      <c r="M18" s="2821">
        <v>41965</v>
      </c>
      <c r="N18" s="2822">
        <v>0.35</v>
      </c>
      <c r="O18" s="2822">
        <v>2.35</v>
      </c>
      <c r="P18" s="2822">
        <v>2.5499999999999998</v>
      </c>
      <c r="Q18" s="2822">
        <v>2.75</v>
      </c>
      <c r="R18" s="2822">
        <v>3.35</v>
      </c>
      <c r="S18" s="2822">
        <v>4</v>
      </c>
      <c r="T18" s="2822">
        <v>4.75</v>
      </c>
      <c r="U18" s="2823">
        <v>2.35</v>
      </c>
      <c r="V18" s="2823">
        <v>2.5499999999999998</v>
      </c>
      <c r="W18" s="2823">
        <v>2.75</v>
      </c>
      <c r="X18" s="2822"/>
      <c r="Y18" s="2823">
        <v>0.8</v>
      </c>
      <c r="Z18" s="2823">
        <v>1.35</v>
      </c>
    </row>
    <row r="19" spans="1:256" s="2824" customFormat="1" ht="14.25">
      <c r="A19" s="1282"/>
      <c r="B19" s="2813"/>
      <c r="C19" s="2814">
        <v>43789</v>
      </c>
      <c r="D19" s="2813">
        <v>4.1500000000000004</v>
      </c>
      <c r="E19" s="2813">
        <v>4.1500000000000004</v>
      </c>
      <c r="F19" s="2813">
        <v>4.1500000000000004</v>
      </c>
      <c r="G19" s="2813">
        <v>4.1500000000000004</v>
      </c>
      <c r="H19" s="2813">
        <v>4.8</v>
      </c>
      <c r="I19" s="2813"/>
      <c r="J19" s="2813"/>
      <c r="K19" s="1240"/>
      <c r="L19" s="1288"/>
      <c r="M19" s="1289">
        <v>41096</v>
      </c>
      <c r="N19" s="1288">
        <v>0.35</v>
      </c>
      <c r="O19" s="1288">
        <v>2.6</v>
      </c>
      <c r="P19" s="1288">
        <v>2.8</v>
      </c>
      <c r="Q19" s="1288">
        <v>3</v>
      </c>
      <c r="R19" s="1288">
        <v>3.75</v>
      </c>
      <c r="S19" s="1288">
        <v>4.25</v>
      </c>
      <c r="T19" s="1288">
        <v>4.75</v>
      </c>
      <c r="U19" s="1288">
        <v>2.85</v>
      </c>
      <c r="V19" s="1288">
        <v>2.9</v>
      </c>
      <c r="W19" s="1288">
        <v>3</v>
      </c>
      <c r="X19" s="1288">
        <v>1.1499999999999999</v>
      </c>
      <c r="Y19" s="1288">
        <v>0.8</v>
      </c>
      <c r="Z19" s="1288">
        <v>1.35</v>
      </c>
      <c r="AA19" s="1281"/>
      <c r="AB19" s="1281"/>
      <c r="AC19" s="1281"/>
      <c r="AD19" s="1281"/>
      <c r="AE19" s="1281"/>
      <c r="AF19" s="1281"/>
      <c r="AG19" s="1281"/>
      <c r="AH19" s="1281"/>
      <c r="AI19" s="1281"/>
      <c r="AJ19" s="1281"/>
      <c r="AK19" s="1281"/>
      <c r="AL19" s="1281"/>
      <c r="AM19" s="1281"/>
      <c r="AN19" s="1281"/>
      <c r="AO19" s="1281"/>
      <c r="AP19" s="1281"/>
      <c r="AQ19" s="1281"/>
      <c r="AR19" s="1281"/>
      <c r="AS19" s="1281"/>
      <c r="AT19" s="1281"/>
      <c r="AU19" s="1281"/>
      <c r="AV19" s="1281"/>
      <c r="AW19" s="1281"/>
      <c r="AX19" s="1281"/>
      <c r="AY19" s="1281"/>
      <c r="AZ19" s="1281"/>
      <c r="BA19" s="1281"/>
      <c r="BB19" s="1281"/>
      <c r="BC19" s="1281"/>
      <c r="BD19" s="1281"/>
      <c r="BE19" s="1281"/>
      <c r="BF19" s="1281"/>
      <c r="BG19" s="1281"/>
      <c r="BH19" s="1281"/>
      <c r="BI19" s="1281"/>
      <c r="BJ19" s="1281"/>
      <c r="BK19" s="1281"/>
      <c r="BL19" s="1281"/>
      <c r="BM19" s="1281"/>
      <c r="BN19" s="1281"/>
      <c r="BO19" s="1281"/>
      <c r="BP19" s="1281"/>
      <c r="BQ19" s="1281"/>
      <c r="BR19" s="1281"/>
      <c r="BS19" s="1281"/>
      <c r="BT19" s="1281"/>
      <c r="BU19" s="1281"/>
      <c r="BV19" s="1281"/>
      <c r="BW19" s="1281"/>
      <c r="BX19" s="1281"/>
      <c r="BY19" s="1281"/>
      <c r="BZ19" s="1281"/>
      <c r="CA19" s="1281"/>
      <c r="CB19" s="1281"/>
      <c r="CC19" s="1281"/>
      <c r="CD19" s="1281"/>
      <c r="CE19" s="1281"/>
      <c r="CF19" s="1281"/>
      <c r="CG19" s="1281"/>
      <c r="CH19" s="1281"/>
      <c r="CI19" s="1281"/>
      <c r="CJ19" s="1281"/>
      <c r="CK19" s="1281"/>
      <c r="CL19" s="1281"/>
      <c r="CM19" s="1281"/>
      <c r="CN19" s="1281"/>
      <c r="CO19" s="1281"/>
      <c r="CP19" s="1281"/>
      <c r="CQ19" s="1281"/>
      <c r="CR19" s="1281"/>
      <c r="CS19" s="1281"/>
      <c r="CT19" s="1281"/>
      <c r="CU19" s="1281"/>
      <c r="CV19" s="1281"/>
      <c r="CW19" s="1281"/>
      <c r="CX19" s="1281"/>
      <c r="CY19" s="1281"/>
      <c r="CZ19" s="1281"/>
      <c r="DA19" s="1281"/>
      <c r="DB19" s="1281"/>
      <c r="DC19" s="1281"/>
      <c r="DD19" s="1281"/>
      <c r="DE19" s="1281"/>
      <c r="DF19" s="1281"/>
      <c r="DG19" s="1281"/>
      <c r="DH19" s="1281"/>
      <c r="DI19" s="1281"/>
      <c r="DJ19" s="1281"/>
      <c r="DK19" s="1281"/>
      <c r="DL19" s="1281"/>
      <c r="DM19" s="1281"/>
      <c r="DN19" s="1281"/>
      <c r="DO19" s="1281"/>
      <c r="DP19" s="1281"/>
      <c r="DQ19" s="1281"/>
      <c r="DR19" s="1281"/>
      <c r="DS19" s="1281"/>
      <c r="DT19" s="1281"/>
      <c r="DU19" s="1281"/>
      <c r="DV19" s="1281"/>
      <c r="DW19" s="1281"/>
      <c r="DX19" s="1281"/>
      <c r="DY19" s="1281"/>
      <c r="DZ19" s="1281"/>
      <c r="EA19" s="1281"/>
      <c r="EB19" s="1281"/>
      <c r="EC19" s="1281"/>
      <c r="ED19" s="1281"/>
      <c r="EE19" s="1281"/>
      <c r="EF19" s="1281"/>
      <c r="EG19" s="1281"/>
      <c r="EH19" s="1281"/>
      <c r="EI19" s="1281"/>
      <c r="EJ19" s="1281"/>
      <c r="EK19" s="1281"/>
      <c r="EL19" s="1281"/>
      <c r="EM19" s="1281"/>
      <c r="EN19" s="1281"/>
      <c r="EO19" s="1281"/>
      <c r="EP19" s="1281"/>
      <c r="EQ19" s="1281"/>
      <c r="ER19" s="1281"/>
      <c r="ES19" s="1281"/>
      <c r="ET19" s="1281"/>
      <c r="EU19" s="1281"/>
      <c r="EV19" s="1281"/>
      <c r="EW19" s="1281"/>
      <c r="EX19" s="1281"/>
      <c r="EY19" s="1281"/>
      <c r="EZ19" s="1281"/>
      <c r="FA19" s="1281"/>
      <c r="FB19" s="1281"/>
      <c r="FC19" s="1281"/>
      <c r="FD19" s="1281"/>
      <c r="FE19" s="1281"/>
      <c r="FF19" s="1281"/>
      <c r="FG19" s="1281"/>
      <c r="FH19" s="1281"/>
      <c r="FI19" s="1281"/>
      <c r="FJ19" s="1281"/>
      <c r="FK19" s="1281"/>
      <c r="FL19" s="1281"/>
      <c r="FM19" s="1281"/>
      <c r="FN19" s="1281"/>
      <c r="FO19" s="1281"/>
      <c r="FP19" s="1281"/>
      <c r="FQ19" s="1281"/>
      <c r="FR19" s="1281"/>
      <c r="FS19" s="1281"/>
      <c r="FT19" s="1281"/>
      <c r="FU19" s="1281"/>
      <c r="FV19" s="1281"/>
      <c r="FW19" s="1281"/>
      <c r="FX19" s="1281"/>
      <c r="FY19" s="1281"/>
      <c r="FZ19" s="1281"/>
      <c r="GA19" s="1281"/>
      <c r="GB19" s="1281"/>
      <c r="GC19" s="1281"/>
      <c r="GD19" s="1281"/>
      <c r="GE19" s="1281"/>
      <c r="GF19" s="1281"/>
      <c r="GG19" s="1281"/>
      <c r="GH19" s="1281"/>
      <c r="GI19" s="1281"/>
      <c r="GJ19" s="1281"/>
      <c r="GK19" s="1281"/>
      <c r="GL19" s="1281"/>
      <c r="GM19" s="1281"/>
      <c r="GN19" s="1281"/>
      <c r="GO19" s="1281"/>
      <c r="GP19" s="1281"/>
      <c r="GQ19" s="1281"/>
      <c r="GR19" s="1281"/>
      <c r="GS19" s="1281"/>
      <c r="GT19" s="1281"/>
      <c r="GU19" s="1281"/>
      <c r="GV19" s="1281"/>
      <c r="GW19" s="1281"/>
      <c r="GX19" s="1281"/>
      <c r="GY19" s="1281"/>
      <c r="GZ19" s="1281"/>
      <c r="HA19" s="1281"/>
      <c r="HB19" s="1281"/>
      <c r="HC19" s="1281"/>
      <c r="HD19" s="1281"/>
      <c r="HE19" s="1281"/>
      <c r="HF19" s="1281"/>
      <c r="HG19" s="1281"/>
      <c r="HH19" s="1281"/>
      <c r="HI19" s="1281"/>
      <c r="HJ19" s="1281"/>
      <c r="HK19" s="1281"/>
      <c r="HL19" s="1281"/>
      <c r="HM19" s="1281"/>
      <c r="HN19" s="1281"/>
      <c r="HO19" s="1281"/>
      <c r="HP19" s="1281"/>
      <c r="HQ19" s="1281"/>
      <c r="HR19" s="1281"/>
      <c r="HS19" s="1281"/>
      <c r="HT19" s="1281"/>
      <c r="HU19" s="1281"/>
      <c r="HV19" s="1281"/>
      <c r="HW19" s="1281"/>
      <c r="HX19" s="1281"/>
      <c r="HY19" s="1281"/>
      <c r="HZ19" s="1281"/>
      <c r="IA19" s="1281"/>
      <c r="IB19" s="1281"/>
      <c r="IC19" s="1281"/>
      <c r="ID19" s="1281"/>
      <c r="IE19" s="1281"/>
      <c r="IF19" s="1281"/>
      <c r="IG19" s="1281"/>
      <c r="IH19" s="1281"/>
      <c r="II19" s="1281"/>
      <c r="IJ19" s="1281"/>
      <c r="IK19" s="1281"/>
      <c r="IL19" s="1281"/>
      <c r="IM19" s="1281"/>
      <c r="IN19" s="1281"/>
      <c r="IO19" s="1281"/>
      <c r="IP19" s="1281"/>
      <c r="IQ19" s="1281"/>
      <c r="IR19" s="1281"/>
      <c r="IS19" s="1281"/>
      <c r="IT19" s="1281"/>
      <c r="IU19" s="1281"/>
      <c r="IV19" s="1281"/>
    </row>
    <row r="20" spans="1:256" ht="14.25">
      <c r="A20" s="1282"/>
      <c r="B20" s="2813"/>
      <c r="C20" s="2814">
        <v>43728</v>
      </c>
      <c r="D20" s="2813">
        <v>4.2</v>
      </c>
      <c r="E20" s="2813">
        <v>4.2</v>
      </c>
      <c r="F20" s="2813">
        <v>4.2</v>
      </c>
      <c r="G20" s="2813">
        <v>4.2</v>
      </c>
      <c r="H20" s="2813">
        <v>4.8499999999999996</v>
      </c>
      <c r="I20" s="2813"/>
      <c r="J20" s="2813"/>
      <c r="L20" s="1288"/>
      <c r="M20" s="1289">
        <v>41068</v>
      </c>
      <c r="N20" s="1288">
        <v>0.4</v>
      </c>
      <c r="O20" s="1288">
        <v>2.85</v>
      </c>
      <c r="P20" s="1288">
        <v>3.05</v>
      </c>
      <c r="Q20" s="1288">
        <v>3.25</v>
      </c>
      <c r="R20" s="1288">
        <v>4.0999999999999996</v>
      </c>
      <c r="S20" s="1288">
        <v>4.6500000000000004</v>
      </c>
      <c r="T20" s="1288">
        <v>5.0999999999999996</v>
      </c>
      <c r="U20" s="1288">
        <v>3.1</v>
      </c>
      <c r="V20" s="1288">
        <v>3.15</v>
      </c>
      <c r="W20" s="1288">
        <v>3.25</v>
      </c>
      <c r="X20" s="1288">
        <v>1.31</v>
      </c>
      <c r="Y20" s="1288">
        <v>0.94</v>
      </c>
      <c r="Z20" s="1288">
        <v>1.49</v>
      </c>
    </row>
    <row r="21" spans="1:256" ht="14.25">
      <c r="A21" s="1282"/>
      <c r="B21" s="2812" t="s">
        <v>2311</v>
      </c>
      <c r="C21" s="2815">
        <v>43697</v>
      </c>
      <c r="D21" s="2816">
        <v>4.25</v>
      </c>
      <c r="E21" s="2816">
        <v>4.25</v>
      </c>
      <c r="F21" s="2816">
        <v>4.25</v>
      </c>
      <c r="G21" s="2816">
        <v>4.25</v>
      </c>
      <c r="H21" s="2816">
        <v>4.8499999999999996</v>
      </c>
      <c r="I21" s="2816"/>
      <c r="J21" s="2816"/>
      <c r="K21" s="1276"/>
      <c r="L21" s="1288"/>
      <c r="M21" s="1289">
        <v>40731</v>
      </c>
      <c r="N21" s="1288">
        <v>0.5</v>
      </c>
      <c r="O21" s="1288">
        <v>3.1</v>
      </c>
      <c r="P21" s="1288">
        <v>3.3</v>
      </c>
      <c r="Q21" s="1288">
        <v>3.5</v>
      </c>
      <c r="R21" s="1288">
        <v>4.4000000000000004</v>
      </c>
      <c r="S21" s="1288">
        <v>5</v>
      </c>
      <c r="T21" s="1288">
        <v>5.5</v>
      </c>
      <c r="U21" s="1288">
        <v>3.1</v>
      </c>
      <c r="V21" s="1288">
        <v>3.3</v>
      </c>
      <c r="W21" s="1288">
        <v>3.5</v>
      </c>
      <c r="X21" s="1288">
        <v>1.31</v>
      </c>
      <c r="Y21" s="1288">
        <v>0.95</v>
      </c>
      <c r="Z21" s="1288">
        <v>1.49</v>
      </c>
    </row>
    <row r="22" spans="1:256" ht="14.25">
      <c r="A22" s="2819"/>
      <c r="B22" s="2820"/>
      <c r="C22" s="2821">
        <v>42301</v>
      </c>
      <c r="D22" s="2822">
        <v>4.3499999999999996</v>
      </c>
      <c r="E22" s="2822">
        <v>4.3499999999999996</v>
      </c>
      <c r="F22" s="2822">
        <v>4.75</v>
      </c>
      <c r="G22" s="2822">
        <v>4.75</v>
      </c>
      <c r="H22" s="2822">
        <v>4.9000000000000004</v>
      </c>
      <c r="I22" s="2822"/>
      <c r="J22" s="2822"/>
      <c r="L22" s="1288"/>
      <c r="M22" s="1289">
        <v>40639</v>
      </c>
      <c r="N22" s="1288">
        <v>0.5</v>
      </c>
      <c r="O22" s="1288">
        <v>2.85</v>
      </c>
      <c r="P22" s="1288">
        <v>3.05</v>
      </c>
      <c r="Q22" s="1288">
        <v>3.25</v>
      </c>
      <c r="R22" s="1288">
        <v>4.1500000000000004</v>
      </c>
      <c r="S22" s="1288">
        <v>4.75</v>
      </c>
      <c r="T22" s="1288">
        <v>5.25</v>
      </c>
      <c r="U22" s="1288">
        <v>2.85</v>
      </c>
      <c r="V22" s="1288">
        <v>3.05</v>
      </c>
      <c r="W22" s="1288">
        <v>3.25</v>
      </c>
      <c r="X22" s="1288">
        <v>1.31</v>
      </c>
      <c r="Y22" s="1288">
        <v>0.95</v>
      </c>
      <c r="Z22" s="1288">
        <v>1.49</v>
      </c>
    </row>
    <row r="23" spans="1:256">
      <c r="B23" s="1288"/>
      <c r="C23" s="1289">
        <v>42242</v>
      </c>
      <c r="D23" s="1288">
        <v>4.5999999999999996</v>
      </c>
      <c r="E23" s="1288">
        <v>4.5999999999999996</v>
      </c>
      <c r="F23" s="1288">
        <v>5</v>
      </c>
      <c r="G23" s="1288">
        <v>5</v>
      </c>
      <c r="H23" s="1288">
        <v>5.15</v>
      </c>
      <c r="I23" s="1288">
        <v>2.75</v>
      </c>
      <c r="J23" s="1288">
        <v>3.25</v>
      </c>
      <c r="L23" s="1288"/>
      <c r="M23" s="1289">
        <v>40583</v>
      </c>
      <c r="N23" s="1288">
        <v>0.4</v>
      </c>
      <c r="O23" s="1288">
        <v>2.6</v>
      </c>
      <c r="P23" s="1288">
        <v>2.8</v>
      </c>
      <c r="Q23" s="1288">
        <v>3</v>
      </c>
      <c r="R23" s="1288">
        <v>3.9</v>
      </c>
      <c r="S23" s="1288">
        <v>4.5</v>
      </c>
      <c r="T23" s="1288">
        <v>5</v>
      </c>
      <c r="U23" s="1288">
        <v>2.6</v>
      </c>
      <c r="V23" s="1288">
        <v>2.8</v>
      </c>
      <c r="W23" s="1288">
        <v>3</v>
      </c>
      <c r="X23" s="1288">
        <v>1.21</v>
      </c>
      <c r="Y23" s="1288">
        <v>0.85</v>
      </c>
      <c r="Z23" s="1288">
        <v>1.39</v>
      </c>
    </row>
    <row r="24" spans="1:256">
      <c r="B24" s="1288"/>
      <c r="C24" s="1289">
        <v>42183</v>
      </c>
      <c r="D24" s="1288">
        <v>4.8499999999999996</v>
      </c>
      <c r="E24" s="1288">
        <v>4.8499999999999996</v>
      </c>
      <c r="F24" s="1288">
        <v>5.25</v>
      </c>
      <c r="G24" s="1288">
        <v>5.25</v>
      </c>
      <c r="H24" s="1288">
        <v>5.4</v>
      </c>
      <c r="I24" s="1288">
        <v>3</v>
      </c>
      <c r="J24" s="1288">
        <v>3.5</v>
      </c>
      <c r="L24" s="1288"/>
      <c r="M24" s="1289">
        <v>40538</v>
      </c>
      <c r="N24" s="1288">
        <v>0.36</v>
      </c>
      <c r="O24" s="1288">
        <v>2.25</v>
      </c>
      <c r="P24" s="1288">
        <v>2.5</v>
      </c>
      <c r="Q24" s="1288">
        <v>2.75</v>
      </c>
      <c r="R24" s="1288">
        <v>3.55</v>
      </c>
      <c r="S24" s="1288">
        <v>4.1500000000000004</v>
      </c>
      <c r="T24" s="1288">
        <v>4.55</v>
      </c>
      <c r="U24" s="1288">
        <v>2.16</v>
      </c>
      <c r="V24" s="1288">
        <v>2.5</v>
      </c>
      <c r="W24" s="1288">
        <v>2.85</v>
      </c>
      <c r="X24" s="1288">
        <v>1.17</v>
      </c>
      <c r="Y24" s="1288">
        <v>0.81</v>
      </c>
      <c r="Z24" s="1288">
        <v>1.35</v>
      </c>
    </row>
    <row r="25" spans="1:256">
      <c r="B25" s="1288"/>
      <c r="C25" s="1289">
        <v>42135</v>
      </c>
      <c r="D25" s="1288">
        <v>5.0999999999999996</v>
      </c>
      <c r="E25" s="1288">
        <v>5.0999999999999996</v>
      </c>
      <c r="F25" s="1288">
        <v>5.5</v>
      </c>
      <c r="G25" s="1288">
        <v>5.5</v>
      </c>
      <c r="H25" s="1288">
        <v>5.65</v>
      </c>
      <c r="I25" s="1288">
        <v>3.25</v>
      </c>
      <c r="J25" s="1288">
        <v>3.75</v>
      </c>
      <c r="L25" s="1288"/>
      <c r="M25" s="1289">
        <v>40471</v>
      </c>
      <c r="N25" s="1288">
        <v>0.36</v>
      </c>
      <c r="O25" s="1288">
        <v>1.91</v>
      </c>
      <c r="P25" s="1288">
        <v>2.2000000000000002</v>
      </c>
      <c r="Q25" s="1288">
        <v>2.5</v>
      </c>
      <c r="R25" s="1288">
        <v>3.25</v>
      </c>
      <c r="S25" s="1288">
        <v>3.85</v>
      </c>
      <c r="T25" s="1288">
        <v>4.2</v>
      </c>
      <c r="U25" s="1288">
        <v>1.91</v>
      </c>
      <c r="V25" s="1288">
        <v>2.2000000000000002</v>
      </c>
      <c r="W25" s="1288">
        <v>2.5</v>
      </c>
      <c r="X25" s="1288">
        <v>1.17</v>
      </c>
      <c r="Y25" s="1288">
        <v>0.81</v>
      </c>
      <c r="Z25" s="1288">
        <v>1.35</v>
      </c>
    </row>
    <row r="26" spans="1:256">
      <c r="B26" s="1288"/>
      <c r="C26" s="1289">
        <v>42064</v>
      </c>
      <c r="D26" s="1288">
        <v>5.35</v>
      </c>
      <c r="E26" s="1288">
        <v>5.35</v>
      </c>
      <c r="F26" s="1288">
        <v>5.75</v>
      </c>
      <c r="G26" s="1288">
        <v>5.75</v>
      </c>
      <c r="H26" s="1288">
        <v>5.9</v>
      </c>
      <c r="I26" s="1288"/>
      <c r="J26" s="1288"/>
      <c r="L26" s="1288"/>
      <c r="M26" s="1289">
        <v>39805</v>
      </c>
      <c r="N26" s="1288">
        <v>0.36</v>
      </c>
      <c r="O26" s="1288">
        <v>1.71</v>
      </c>
      <c r="P26" s="1288">
        <v>1.98</v>
      </c>
      <c r="Q26" s="1288">
        <v>2.25</v>
      </c>
      <c r="R26" s="1288">
        <v>2.79</v>
      </c>
      <c r="S26" s="1288">
        <v>3.33</v>
      </c>
      <c r="T26" s="1288">
        <v>3.6</v>
      </c>
      <c r="U26" s="1288">
        <v>1.71</v>
      </c>
      <c r="V26" s="1288">
        <v>1.98</v>
      </c>
      <c r="W26" s="1288">
        <v>2.25</v>
      </c>
      <c r="X26" s="1288">
        <v>1.17</v>
      </c>
      <c r="Y26" s="1288">
        <v>0.81</v>
      </c>
      <c r="Z26" s="1288">
        <v>1.35</v>
      </c>
    </row>
    <row r="27" spans="1:256">
      <c r="B27" s="1288"/>
      <c r="C27" s="1289">
        <v>41965</v>
      </c>
      <c r="D27" s="1288">
        <v>5.6</v>
      </c>
      <c r="E27" s="1288">
        <v>5.6</v>
      </c>
      <c r="F27" s="1288">
        <v>6</v>
      </c>
      <c r="G27" s="1288">
        <v>6</v>
      </c>
      <c r="H27" s="1288">
        <v>6.15</v>
      </c>
      <c r="I27" s="1288"/>
      <c r="J27" s="1288"/>
      <c r="L27" s="1288"/>
      <c r="M27" s="1289">
        <v>39779</v>
      </c>
      <c r="N27" s="1288">
        <v>0.36</v>
      </c>
      <c r="O27" s="1288">
        <v>1.98</v>
      </c>
      <c r="P27" s="1288">
        <v>2.25</v>
      </c>
      <c r="Q27" s="1288">
        <v>2.52</v>
      </c>
      <c r="R27" s="1288">
        <v>3.06</v>
      </c>
      <c r="S27" s="1288">
        <v>3.6</v>
      </c>
      <c r="T27" s="1288">
        <v>3.87</v>
      </c>
      <c r="U27" s="1288">
        <v>1.98</v>
      </c>
      <c r="V27" s="1288">
        <v>2.25</v>
      </c>
      <c r="W27" s="1288">
        <v>2.52</v>
      </c>
      <c r="X27" s="1288">
        <v>1.17</v>
      </c>
      <c r="Y27" s="1288">
        <v>0.81</v>
      </c>
      <c r="Z27" s="1288">
        <v>1.35</v>
      </c>
    </row>
    <row r="28" spans="1:256">
      <c r="B28" s="1288"/>
      <c r="C28" s="1289">
        <v>41096</v>
      </c>
      <c r="D28" s="1288">
        <v>5.6</v>
      </c>
      <c r="E28" s="1288">
        <v>6</v>
      </c>
      <c r="F28" s="1288">
        <v>6.15</v>
      </c>
      <c r="G28" s="1288">
        <v>6.4</v>
      </c>
      <c r="H28" s="1288">
        <v>6.55</v>
      </c>
      <c r="I28" s="1288">
        <v>4</v>
      </c>
      <c r="J28" s="1288">
        <v>4.5</v>
      </c>
      <c r="L28" s="1288"/>
      <c r="M28" s="1289">
        <v>39751</v>
      </c>
      <c r="N28" s="1288">
        <v>0.72</v>
      </c>
      <c r="O28" s="1288">
        <v>2.88</v>
      </c>
      <c r="P28" s="1288">
        <v>3.24</v>
      </c>
      <c r="Q28" s="1288">
        <v>3.6</v>
      </c>
      <c r="R28" s="1288">
        <v>4.1399999999999997</v>
      </c>
      <c r="S28" s="1288">
        <v>4.7699999999999996</v>
      </c>
      <c r="T28" s="1288">
        <v>5.13</v>
      </c>
      <c r="U28" s="1288">
        <v>2.88</v>
      </c>
      <c r="V28" s="1288">
        <v>3.24</v>
      </c>
      <c r="W28" s="1288">
        <v>3.6</v>
      </c>
      <c r="X28" s="1288">
        <v>1.53</v>
      </c>
      <c r="Y28" s="1288">
        <v>1.17</v>
      </c>
      <c r="Z28" s="1288">
        <v>1.71</v>
      </c>
    </row>
    <row r="29" spans="1:256">
      <c r="B29" s="1288"/>
      <c r="C29" s="1289">
        <v>41068</v>
      </c>
      <c r="D29" s="1288">
        <v>5.85</v>
      </c>
      <c r="E29" s="1288">
        <v>6.31</v>
      </c>
      <c r="F29" s="1288">
        <v>6.4</v>
      </c>
      <c r="G29" s="1288">
        <v>6.65</v>
      </c>
      <c r="H29" s="1288">
        <v>6.8</v>
      </c>
      <c r="I29" s="1288">
        <v>4.2</v>
      </c>
      <c r="J29" s="1288">
        <v>4.7</v>
      </c>
      <c r="L29" s="1288"/>
      <c r="M29" s="1290">
        <v>39736</v>
      </c>
      <c r="N29" s="1288">
        <v>0.72</v>
      </c>
      <c r="O29" s="1288">
        <v>3.15</v>
      </c>
      <c r="P29" s="1288">
        <v>3.51</v>
      </c>
      <c r="Q29" s="1288">
        <v>3.87</v>
      </c>
      <c r="R29" s="1288">
        <v>4.41</v>
      </c>
      <c r="S29" s="1288">
        <v>5.13</v>
      </c>
      <c r="T29" s="1288">
        <v>5.58</v>
      </c>
      <c r="U29" s="1288">
        <v>3.15</v>
      </c>
      <c r="V29" s="1288">
        <v>3.51</v>
      </c>
      <c r="W29" s="1288">
        <v>3.87</v>
      </c>
      <c r="X29" s="1288">
        <v>1.53</v>
      </c>
      <c r="Y29" s="1288">
        <v>1.17</v>
      </c>
      <c r="Z29" s="1288">
        <v>1.71</v>
      </c>
    </row>
    <row r="30" spans="1:256">
      <c r="B30" s="1288"/>
      <c r="C30" s="1289">
        <v>40731</v>
      </c>
      <c r="D30" s="1288">
        <v>6.1</v>
      </c>
      <c r="E30" s="1288">
        <v>6.56</v>
      </c>
      <c r="F30" s="1288">
        <v>6.65</v>
      </c>
      <c r="G30" s="1288">
        <v>6.9</v>
      </c>
      <c r="H30" s="1288">
        <v>7.05</v>
      </c>
      <c r="I30" s="1288">
        <v>4.45</v>
      </c>
      <c r="J30" s="1288">
        <v>4.9000000000000004</v>
      </c>
      <c r="L30" s="1288"/>
      <c r="M30" s="1289">
        <v>39730</v>
      </c>
      <c r="N30" s="1288">
        <v>0.72</v>
      </c>
      <c r="O30" s="1288">
        <v>3.15</v>
      </c>
      <c r="P30" s="1288">
        <v>3.51</v>
      </c>
      <c r="Q30" s="1288">
        <v>3.87</v>
      </c>
      <c r="R30" s="1288">
        <v>4.41</v>
      </c>
      <c r="S30" s="1288">
        <v>5.13</v>
      </c>
      <c r="T30" s="1288">
        <v>5.58</v>
      </c>
      <c r="U30" s="1288">
        <v>3.15</v>
      </c>
      <c r="V30" s="1288">
        <v>3.51</v>
      </c>
      <c r="W30" s="1288">
        <v>3.87</v>
      </c>
      <c r="X30" s="1288">
        <v>1.53</v>
      </c>
      <c r="Y30" s="1288">
        <v>1.17</v>
      </c>
      <c r="Z30" s="1288">
        <v>1.71</v>
      </c>
    </row>
    <row r="31" spans="1:256">
      <c r="B31" s="1288"/>
      <c r="C31" s="1289">
        <v>40639</v>
      </c>
      <c r="D31" s="1288">
        <v>5.85</v>
      </c>
      <c r="E31" s="1288">
        <v>6.31</v>
      </c>
      <c r="F31" s="1288">
        <v>6.4</v>
      </c>
      <c r="G31" s="1288">
        <v>6.65</v>
      </c>
      <c r="H31" s="1288">
        <v>6.8</v>
      </c>
      <c r="I31" s="1288">
        <v>4.2</v>
      </c>
      <c r="J31" s="1288">
        <v>4.7</v>
      </c>
      <c r="L31" s="1288"/>
      <c r="M31" s="1289">
        <v>39437</v>
      </c>
      <c r="N31" s="1288">
        <v>0.72</v>
      </c>
      <c r="O31" s="1288">
        <v>3.33</v>
      </c>
      <c r="P31" s="1288">
        <v>3.78</v>
      </c>
      <c r="Q31" s="1288">
        <v>4.1399999999999997</v>
      </c>
      <c r="R31" s="1288">
        <v>4.68</v>
      </c>
      <c r="S31" s="1288">
        <v>5.4</v>
      </c>
      <c r="T31" s="1288">
        <v>5.85</v>
      </c>
      <c r="U31" s="1288">
        <v>3.33</v>
      </c>
      <c r="V31" s="1288">
        <v>3.78</v>
      </c>
      <c r="W31" s="1288">
        <v>4.1399999999999997</v>
      </c>
      <c r="X31" s="1288">
        <v>1.53</v>
      </c>
      <c r="Y31" s="1288">
        <v>1.17</v>
      </c>
      <c r="Z31" s="1288">
        <v>1.71</v>
      </c>
    </row>
    <row r="32" spans="1:256">
      <c r="B32" s="1288"/>
      <c r="C32" s="1289">
        <v>40583</v>
      </c>
      <c r="D32" s="1288">
        <v>5.6</v>
      </c>
      <c r="E32" s="1288">
        <v>6.06</v>
      </c>
      <c r="F32" s="1288">
        <v>6.1</v>
      </c>
      <c r="G32" s="1288">
        <v>6.45</v>
      </c>
      <c r="H32" s="1288">
        <v>6.6</v>
      </c>
      <c r="I32" s="1288">
        <v>4</v>
      </c>
      <c r="J32" s="1288">
        <v>4.5</v>
      </c>
      <c r="L32" s="1288"/>
      <c r="M32" s="1289">
        <v>39340</v>
      </c>
      <c r="N32" s="1288">
        <v>0.81</v>
      </c>
      <c r="O32" s="1288">
        <v>2.88</v>
      </c>
      <c r="P32" s="1288">
        <v>3.42</v>
      </c>
      <c r="Q32" s="1288">
        <v>3.87</v>
      </c>
      <c r="R32" s="1288">
        <v>4.5</v>
      </c>
      <c r="S32" s="1288">
        <v>5.22</v>
      </c>
      <c r="T32" s="1288">
        <v>5.76</v>
      </c>
      <c r="U32" s="1288">
        <v>2.88</v>
      </c>
      <c r="V32" s="1288">
        <v>3.42</v>
      </c>
      <c r="W32" s="1288">
        <v>3.87</v>
      </c>
      <c r="X32" s="1288">
        <v>1.53</v>
      </c>
      <c r="Y32" s="1288">
        <v>1.17</v>
      </c>
      <c r="Z32" s="1288">
        <v>1.71</v>
      </c>
    </row>
    <row r="33" spans="2:26">
      <c r="B33" s="1288"/>
      <c r="C33" s="1289">
        <v>40538</v>
      </c>
      <c r="D33" s="1288">
        <v>5.35</v>
      </c>
      <c r="E33" s="1288">
        <v>5.81</v>
      </c>
      <c r="F33" s="1288">
        <v>5.85</v>
      </c>
      <c r="G33" s="1288">
        <v>6.22</v>
      </c>
      <c r="H33" s="1288">
        <v>6.4</v>
      </c>
      <c r="I33" s="1288">
        <v>3.75</v>
      </c>
      <c r="J33" s="1288">
        <v>4.3</v>
      </c>
      <c r="L33" s="1288"/>
      <c r="M33" s="1289">
        <v>39316</v>
      </c>
      <c r="N33" s="1288">
        <v>0.81</v>
      </c>
      <c r="O33" s="1288">
        <v>2.61</v>
      </c>
      <c r="P33" s="1288">
        <v>3.15</v>
      </c>
      <c r="Q33" s="1288">
        <v>3.6</v>
      </c>
      <c r="R33" s="1288">
        <v>4.2300000000000004</v>
      </c>
      <c r="S33" s="1288">
        <v>4.95</v>
      </c>
      <c r="T33" s="1288">
        <v>5.49</v>
      </c>
      <c r="U33" s="1288">
        <v>2.61</v>
      </c>
      <c r="V33" s="1288">
        <v>3.15</v>
      </c>
      <c r="W33" s="1288">
        <v>3.6</v>
      </c>
      <c r="X33" s="1288">
        <v>1.53</v>
      </c>
      <c r="Y33" s="1288">
        <v>1.17</v>
      </c>
      <c r="Z33" s="1288">
        <v>1.71</v>
      </c>
    </row>
    <row r="34" spans="2:26">
      <c r="B34" s="1288"/>
      <c r="C34" s="1289">
        <v>40471</v>
      </c>
      <c r="D34" s="1288">
        <v>5.0999999999999996</v>
      </c>
      <c r="E34" s="1288">
        <v>5.56</v>
      </c>
      <c r="F34" s="1288">
        <v>5.6</v>
      </c>
      <c r="G34" s="1288">
        <v>5.96</v>
      </c>
      <c r="H34" s="1288">
        <v>6.14</v>
      </c>
      <c r="I34" s="1288">
        <v>3.5</v>
      </c>
      <c r="J34" s="1288">
        <v>4.05</v>
      </c>
      <c r="L34" s="1288"/>
      <c r="M34" s="1289">
        <v>39284</v>
      </c>
      <c r="N34" s="1288">
        <v>0.81</v>
      </c>
      <c r="O34" s="1288">
        <v>2.34</v>
      </c>
      <c r="P34" s="1288">
        <v>2.88</v>
      </c>
      <c r="Q34" s="1288">
        <v>3.33</v>
      </c>
      <c r="R34" s="1288">
        <v>3.96</v>
      </c>
      <c r="S34" s="1288">
        <v>4.68</v>
      </c>
      <c r="T34" s="1288">
        <v>5.22</v>
      </c>
      <c r="U34" s="1288">
        <v>2.34</v>
      </c>
      <c r="V34" s="1288">
        <v>2.88</v>
      </c>
      <c r="W34" s="1288">
        <v>3.33</v>
      </c>
      <c r="X34" s="1288">
        <v>1.53</v>
      </c>
      <c r="Y34" s="1288">
        <v>1.17</v>
      </c>
      <c r="Z34" s="1288">
        <v>1.71</v>
      </c>
    </row>
    <row r="35" spans="2:26">
      <c r="B35" s="1288"/>
      <c r="C35" s="1289">
        <v>39805</v>
      </c>
      <c r="D35" s="1288">
        <v>4.8600000000000003</v>
      </c>
      <c r="E35" s="1288">
        <v>5.31</v>
      </c>
      <c r="F35" s="1288">
        <v>5.4</v>
      </c>
      <c r="G35" s="1288">
        <v>5.76</v>
      </c>
      <c r="H35" s="1288">
        <v>5.94</v>
      </c>
      <c r="I35" s="1288">
        <v>3.33</v>
      </c>
      <c r="J35" s="1288">
        <v>3.87</v>
      </c>
      <c r="L35" s="1288"/>
      <c r="M35" s="1289">
        <v>39221</v>
      </c>
      <c r="N35" s="1288">
        <v>0.72</v>
      </c>
      <c r="O35" s="1288">
        <v>2.0699999999999998</v>
      </c>
      <c r="P35" s="1288">
        <v>2.61</v>
      </c>
      <c r="Q35" s="1288">
        <v>3.06</v>
      </c>
      <c r="R35" s="1288">
        <v>3.69</v>
      </c>
      <c r="S35" s="1288">
        <v>4.41</v>
      </c>
      <c r="T35" s="1288">
        <v>4.95</v>
      </c>
      <c r="U35" s="1288">
        <v>2.0699999999999998</v>
      </c>
      <c r="V35" s="1288">
        <v>2.61</v>
      </c>
      <c r="W35" s="1288">
        <v>3.06</v>
      </c>
      <c r="X35" s="1288">
        <v>1.44</v>
      </c>
      <c r="Y35" s="1288">
        <v>1.08</v>
      </c>
      <c r="Z35" s="1288">
        <v>1.62</v>
      </c>
    </row>
    <row r="36" spans="2:26">
      <c r="B36" s="1288"/>
      <c r="C36" s="1289">
        <v>39779</v>
      </c>
      <c r="D36" s="1288">
        <v>5.04</v>
      </c>
      <c r="E36" s="1288">
        <v>5.58</v>
      </c>
      <c r="F36" s="1288">
        <v>5.67</v>
      </c>
      <c r="G36" s="1288">
        <v>5.94</v>
      </c>
      <c r="H36" s="1288">
        <v>6.12</v>
      </c>
      <c r="I36" s="1288">
        <v>3.51</v>
      </c>
      <c r="J36" s="1288">
        <v>4.05</v>
      </c>
      <c r="L36" s="1288"/>
      <c r="M36" s="1289">
        <v>39159</v>
      </c>
      <c r="N36" s="1288">
        <v>0.72</v>
      </c>
      <c r="O36" s="1288">
        <v>1.98</v>
      </c>
      <c r="P36" s="1288">
        <v>2.4300000000000002</v>
      </c>
      <c r="Q36" s="1288">
        <v>2.79</v>
      </c>
      <c r="R36" s="1288">
        <v>3.33</v>
      </c>
      <c r="S36" s="1288">
        <v>3.96</v>
      </c>
      <c r="T36" s="1288">
        <v>4.41</v>
      </c>
      <c r="U36" s="1288">
        <v>1.98</v>
      </c>
      <c r="V36" s="1288">
        <v>2.4300000000000002</v>
      </c>
      <c r="W36" s="1288">
        <v>2.79</v>
      </c>
      <c r="X36" s="1288">
        <v>1.44</v>
      </c>
      <c r="Y36" s="1288">
        <v>1.08</v>
      </c>
      <c r="Z36" s="1288">
        <v>1.62</v>
      </c>
    </row>
    <row r="37" spans="2:26">
      <c r="B37" s="1288"/>
      <c r="C37" s="1289">
        <v>39751</v>
      </c>
      <c r="D37" s="1288">
        <v>6.03</v>
      </c>
      <c r="E37" s="1288">
        <v>6.66</v>
      </c>
      <c r="F37" s="1288">
        <v>6.75</v>
      </c>
      <c r="G37" s="1288">
        <v>7.02</v>
      </c>
      <c r="H37" s="1288">
        <v>7.2</v>
      </c>
      <c r="I37" s="1288">
        <v>4.05</v>
      </c>
      <c r="J37" s="1288">
        <v>4.59</v>
      </c>
      <c r="L37" s="1288"/>
      <c r="M37" s="1289">
        <v>38948</v>
      </c>
      <c r="N37" s="1288">
        <v>0.72</v>
      </c>
      <c r="O37" s="1288">
        <v>1.8</v>
      </c>
      <c r="P37" s="1288">
        <v>2.25</v>
      </c>
      <c r="Q37" s="1288">
        <v>2.52</v>
      </c>
      <c r="R37" s="1288">
        <v>3.06</v>
      </c>
      <c r="S37" s="1288">
        <v>3.69</v>
      </c>
      <c r="T37" s="1288">
        <v>4.1399999999999997</v>
      </c>
      <c r="U37" s="1288">
        <v>1.8</v>
      </c>
      <c r="V37" s="1288">
        <v>2.25</v>
      </c>
      <c r="W37" s="1288">
        <v>2.52</v>
      </c>
      <c r="X37" s="1288">
        <v>1.44</v>
      </c>
      <c r="Y37" s="1288">
        <v>1.08</v>
      </c>
      <c r="Z37" s="1288">
        <v>1.62</v>
      </c>
    </row>
    <row r="38" spans="2:26">
      <c r="B38" s="1288"/>
      <c r="C38" s="1290">
        <v>39748</v>
      </c>
      <c r="D38" s="1288">
        <v>6.12</v>
      </c>
      <c r="E38" s="1288">
        <v>6.93</v>
      </c>
      <c r="F38" s="1288">
        <v>7.02</v>
      </c>
      <c r="G38" s="1288">
        <v>7.29</v>
      </c>
      <c r="H38" s="1288">
        <v>7.47</v>
      </c>
      <c r="I38" s="1288">
        <v>4.05</v>
      </c>
      <c r="J38" s="1288">
        <v>4.59</v>
      </c>
      <c r="L38" s="1288"/>
      <c r="M38" s="1289">
        <v>38289</v>
      </c>
      <c r="N38" s="1288">
        <v>0.72</v>
      </c>
      <c r="O38" s="1288">
        <v>1.71</v>
      </c>
      <c r="P38" s="1288">
        <v>2.0699999999999998</v>
      </c>
      <c r="Q38" s="1288">
        <v>2.25</v>
      </c>
      <c r="R38" s="1288">
        <v>2.7</v>
      </c>
      <c r="S38" s="1288">
        <v>3.24</v>
      </c>
      <c r="T38" s="1288">
        <v>3.6</v>
      </c>
      <c r="U38" s="1288">
        <v>1.71</v>
      </c>
      <c r="V38" s="1288">
        <v>2.0699999999999998</v>
      </c>
      <c r="W38" s="1288">
        <v>2.25</v>
      </c>
      <c r="X38" s="1288">
        <v>1.44</v>
      </c>
      <c r="Y38" s="1288">
        <v>1.08</v>
      </c>
      <c r="Z38" s="1288">
        <v>1.62</v>
      </c>
    </row>
    <row r="39" spans="2:26">
      <c r="B39" s="1288"/>
      <c r="C39" s="1289">
        <v>39730</v>
      </c>
      <c r="D39" s="1288">
        <v>6.12</v>
      </c>
      <c r="E39" s="1288">
        <v>6.93</v>
      </c>
      <c r="F39" s="1288">
        <v>7.02</v>
      </c>
      <c r="G39" s="1288">
        <v>7.29</v>
      </c>
      <c r="H39" s="1288">
        <v>7.47</v>
      </c>
      <c r="I39" s="1288">
        <v>4.32</v>
      </c>
      <c r="J39" s="1288">
        <v>4.8600000000000003</v>
      </c>
      <c r="L39" s="1288"/>
      <c r="M39" s="1289">
        <v>37308</v>
      </c>
      <c r="N39" s="1288">
        <v>0.72</v>
      </c>
      <c r="O39" s="1288">
        <v>1.71</v>
      </c>
      <c r="P39" s="1288">
        <v>1.89</v>
      </c>
      <c r="Q39" s="1288">
        <v>1.98</v>
      </c>
      <c r="R39" s="1288">
        <v>2.25</v>
      </c>
      <c r="S39" s="1288">
        <v>2.52</v>
      </c>
      <c r="T39" s="1288">
        <v>2.79</v>
      </c>
      <c r="U39" s="1288">
        <v>1.71</v>
      </c>
      <c r="V39" s="1288">
        <v>1.89</v>
      </c>
      <c r="W39" s="1288">
        <v>1.98</v>
      </c>
      <c r="X39" s="1288">
        <v>1.44</v>
      </c>
      <c r="Y39" s="1288">
        <v>1.08</v>
      </c>
      <c r="Z39" s="1288">
        <v>1.62</v>
      </c>
    </row>
    <row r="40" spans="2:26">
      <c r="B40" s="1288"/>
      <c r="C40" s="1289">
        <v>39707</v>
      </c>
      <c r="D40" s="1288">
        <v>6.21</v>
      </c>
      <c r="E40" s="1288">
        <v>7.2</v>
      </c>
      <c r="F40" s="1288">
        <v>7.29</v>
      </c>
      <c r="G40" s="1288">
        <v>7.56</v>
      </c>
      <c r="H40" s="1288">
        <v>7.74</v>
      </c>
      <c r="I40" s="1288">
        <v>4.59</v>
      </c>
      <c r="J40" s="1288">
        <v>5.13</v>
      </c>
      <c r="L40" s="1288"/>
      <c r="M40" s="1289">
        <v>36321</v>
      </c>
      <c r="N40" s="1288">
        <v>0.99</v>
      </c>
      <c r="O40" s="1288">
        <v>1.98</v>
      </c>
      <c r="P40" s="1288">
        <v>2.16</v>
      </c>
      <c r="Q40" s="1288">
        <v>2.25</v>
      </c>
      <c r="R40" s="1288">
        <v>2.4300000000000002</v>
      </c>
      <c r="S40" s="1288">
        <v>2.7</v>
      </c>
      <c r="T40" s="1288">
        <v>2.88</v>
      </c>
      <c r="U40" s="1288">
        <v>1.98</v>
      </c>
      <c r="V40" s="1288">
        <v>2.16</v>
      </c>
      <c r="W40" s="1288">
        <v>2.25</v>
      </c>
      <c r="X40" s="1288">
        <v>1.71</v>
      </c>
      <c r="Y40" s="1288">
        <v>1.35</v>
      </c>
      <c r="Z40" s="1288">
        <v>1.89</v>
      </c>
    </row>
    <row r="41" spans="2:26">
      <c r="B41" s="1288"/>
      <c r="C41" s="1289">
        <v>39437</v>
      </c>
      <c r="D41" s="1288">
        <v>6.57</v>
      </c>
      <c r="E41" s="1288">
        <v>7.47</v>
      </c>
      <c r="F41" s="1288">
        <v>7.56</v>
      </c>
      <c r="G41" s="1288">
        <v>7.74</v>
      </c>
      <c r="H41" s="1288">
        <v>7.83</v>
      </c>
      <c r="I41" s="1288">
        <v>4.7699999999999996</v>
      </c>
      <c r="J41" s="1288">
        <v>5.22</v>
      </c>
      <c r="L41" s="1288"/>
      <c r="M41" s="1289">
        <v>36136</v>
      </c>
      <c r="N41" s="1288">
        <v>1.44</v>
      </c>
      <c r="O41" s="1288">
        <v>2.79</v>
      </c>
      <c r="P41" s="1288">
        <v>3.33</v>
      </c>
      <c r="Q41" s="1288">
        <v>3.78</v>
      </c>
      <c r="R41" s="1288">
        <v>3.96</v>
      </c>
      <c r="S41" s="1288">
        <v>4.1399999999999997</v>
      </c>
      <c r="T41" s="1288">
        <v>4.5</v>
      </c>
      <c r="U41" s="1288">
        <v>3.33</v>
      </c>
      <c r="V41" s="1288">
        <v>3.78</v>
      </c>
      <c r="W41" s="1288">
        <v>4.1399999999999997</v>
      </c>
      <c r="X41" s="1288">
        <v>2.16</v>
      </c>
      <c r="Y41" s="1288">
        <v>1.8</v>
      </c>
      <c r="Z41" s="1288">
        <v>2.34</v>
      </c>
    </row>
    <row r="42" spans="2:26">
      <c r="B42" s="1288"/>
      <c r="C42" s="1289">
        <v>39340</v>
      </c>
      <c r="D42" s="1288">
        <v>6.48</v>
      </c>
      <c r="E42" s="1288">
        <v>7.29</v>
      </c>
      <c r="F42" s="1288">
        <v>7.47</v>
      </c>
      <c r="G42" s="1288">
        <v>7.65</v>
      </c>
      <c r="H42" s="1288">
        <v>7.83</v>
      </c>
      <c r="I42" s="1288">
        <v>4.7699999999999996</v>
      </c>
      <c r="J42" s="1288">
        <v>5.22</v>
      </c>
      <c r="L42" s="1288"/>
      <c r="M42" s="1289">
        <v>35977</v>
      </c>
      <c r="N42" s="1288">
        <v>1.44</v>
      </c>
      <c r="O42" s="1288">
        <v>2.79</v>
      </c>
      <c r="P42" s="1288">
        <v>3.96</v>
      </c>
      <c r="Q42" s="1288">
        <v>4.7699999999999996</v>
      </c>
      <c r="R42" s="1288">
        <v>4.8600000000000003</v>
      </c>
      <c r="S42" s="1288">
        <v>4.95</v>
      </c>
      <c r="T42" s="1288">
        <v>5.22</v>
      </c>
      <c r="U42" s="1288">
        <v>3.96</v>
      </c>
      <c r="V42" s="1288">
        <v>4.7699999999999996</v>
      </c>
      <c r="W42" s="1288">
        <v>4.95</v>
      </c>
      <c r="X42" s="1288" t="s">
        <v>633</v>
      </c>
      <c r="Y42" s="1288" t="s">
        <v>633</v>
      </c>
      <c r="Z42" s="1288" t="s">
        <v>633</v>
      </c>
    </row>
    <row r="43" spans="2:26">
      <c r="B43" s="1288"/>
      <c r="C43" s="1289">
        <v>39316</v>
      </c>
      <c r="D43" s="1288">
        <v>6.21</v>
      </c>
      <c r="E43" s="1288">
        <v>7.02</v>
      </c>
      <c r="F43" s="1288">
        <v>7.2</v>
      </c>
      <c r="G43" s="1288">
        <v>7.38</v>
      </c>
      <c r="H43" s="1288">
        <v>7.56</v>
      </c>
      <c r="I43" s="1288">
        <v>4.59</v>
      </c>
      <c r="J43" s="1288">
        <v>5.04</v>
      </c>
      <c r="L43" s="1288"/>
      <c r="M43" s="1289">
        <v>35879</v>
      </c>
      <c r="N43" s="1288">
        <v>1.71</v>
      </c>
      <c r="O43" s="1288">
        <v>2.88</v>
      </c>
      <c r="P43" s="1288">
        <v>4.1399999999999997</v>
      </c>
      <c r="Q43" s="1288">
        <v>5.22</v>
      </c>
      <c r="R43" s="1288">
        <v>5.58</v>
      </c>
      <c r="S43" s="1288">
        <v>6.21</v>
      </c>
      <c r="T43" s="1288">
        <v>6.66</v>
      </c>
      <c r="U43" s="1288">
        <v>4.1399999999999997</v>
      </c>
      <c r="V43" s="1288">
        <v>5.22</v>
      </c>
      <c r="W43" s="1288">
        <v>6.21</v>
      </c>
      <c r="X43" s="1288" t="s">
        <v>633</v>
      </c>
      <c r="Y43" s="1288" t="s">
        <v>633</v>
      </c>
      <c r="Z43" s="1288" t="s">
        <v>633</v>
      </c>
    </row>
    <row r="44" spans="2:26">
      <c r="B44" s="1288"/>
      <c r="C44" s="1289">
        <v>39284</v>
      </c>
      <c r="D44" s="1288">
        <v>6.03</v>
      </c>
      <c r="E44" s="1288">
        <v>6.84</v>
      </c>
      <c r="F44" s="1288">
        <v>7.02</v>
      </c>
      <c r="G44" s="1288">
        <v>7.2</v>
      </c>
      <c r="H44" s="1288">
        <v>7.38</v>
      </c>
      <c r="I44" s="1288">
        <v>4.5</v>
      </c>
      <c r="J44" s="1288">
        <v>4.95</v>
      </c>
      <c r="L44" s="1288"/>
      <c r="M44" s="1289">
        <v>35726</v>
      </c>
      <c r="N44" s="1288">
        <v>1.71</v>
      </c>
      <c r="O44" s="1288">
        <v>2.88</v>
      </c>
      <c r="P44" s="1288">
        <v>4.1399999999999997</v>
      </c>
      <c r="Q44" s="1288">
        <v>5.67</v>
      </c>
      <c r="R44" s="1288">
        <v>5.94</v>
      </c>
      <c r="S44" s="1288">
        <v>6.21</v>
      </c>
      <c r="T44" s="1288">
        <v>6.66</v>
      </c>
      <c r="U44" s="1288">
        <v>4.1399999999999997</v>
      </c>
      <c r="V44" s="1288">
        <v>5.67</v>
      </c>
      <c r="W44" s="1288">
        <v>6.21</v>
      </c>
      <c r="X44" s="1288" t="s">
        <v>633</v>
      </c>
      <c r="Y44" s="1288" t="s">
        <v>633</v>
      </c>
      <c r="Z44" s="1288" t="s">
        <v>633</v>
      </c>
    </row>
    <row r="45" spans="2:26">
      <c r="B45" s="1288"/>
      <c r="C45" s="1289">
        <v>39221</v>
      </c>
      <c r="D45" s="1288">
        <v>5.85</v>
      </c>
      <c r="E45" s="1288">
        <v>6.57</v>
      </c>
      <c r="F45" s="1288">
        <v>6.75</v>
      </c>
      <c r="G45" s="1288">
        <v>6.93</v>
      </c>
      <c r="H45" s="1288">
        <v>7.2</v>
      </c>
      <c r="I45" s="1288">
        <v>4.41</v>
      </c>
      <c r="J45" s="1288">
        <v>4.8600000000000003</v>
      </c>
      <c r="L45" s="1288"/>
      <c r="M45" s="1289">
        <v>35300</v>
      </c>
      <c r="N45" s="1288">
        <v>1.98</v>
      </c>
      <c r="O45" s="1288">
        <v>3.33</v>
      </c>
      <c r="P45" s="1288">
        <v>5.4</v>
      </c>
      <c r="Q45" s="1288">
        <v>7.47</v>
      </c>
      <c r="R45" s="1288">
        <v>7.92</v>
      </c>
      <c r="S45" s="1288">
        <v>8.2799999999999994</v>
      </c>
      <c r="T45" s="1288">
        <v>9</v>
      </c>
      <c r="U45" s="1288">
        <v>5.4</v>
      </c>
      <c r="V45" s="1288">
        <v>7.47</v>
      </c>
      <c r="W45" s="1288">
        <v>8.2799999999999994</v>
      </c>
      <c r="X45" s="1288" t="s">
        <v>633</v>
      </c>
      <c r="Y45" s="1288" t="s">
        <v>633</v>
      </c>
      <c r="Z45" s="1288" t="s">
        <v>633</v>
      </c>
    </row>
    <row r="46" spans="2:26">
      <c r="B46" s="1288"/>
      <c r="C46" s="1289">
        <v>39159</v>
      </c>
      <c r="D46" s="1288">
        <v>5.67</v>
      </c>
      <c r="E46" s="1288">
        <v>6.39</v>
      </c>
      <c r="F46" s="1288">
        <v>6.57</v>
      </c>
      <c r="G46" s="1288">
        <v>6.75</v>
      </c>
      <c r="H46" s="1288">
        <v>7.11</v>
      </c>
      <c r="I46" s="1288">
        <v>4.32</v>
      </c>
      <c r="J46" s="1288">
        <v>4.7699999999999996</v>
      </c>
      <c r="L46" s="1288"/>
      <c r="M46" s="1289">
        <v>35186</v>
      </c>
      <c r="N46" s="1288">
        <v>2.97</v>
      </c>
      <c r="O46" s="1288">
        <v>4.8600000000000003</v>
      </c>
      <c r="P46" s="1288">
        <v>7.2</v>
      </c>
      <c r="Q46" s="1288">
        <v>9.18</v>
      </c>
      <c r="R46" s="1288">
        <v>9.9</v>
      </c>
      <c r="S46" s="1288">
        <v>10.8</v>
      </c>
      <c r="T46" s="1288">
        <v>12.06</v>
      </c>
      <c r="U46" s="1288">
        <v>7.2</v>
      </c>
      <c r="V46" s="1288">
        <v>9.18</v>
      </c>
      <c r="W46" s="1288">
        <v>10.8</v>
      </c>
      <c r="X46" s="1288" t="s">
        <v>633</v>
      </c>
      <c r="Y46" s="1288" t="s">
        <v>633</v>
      </c>
      <c r="Z46" s="1288" t="s">
        <v>633</v>
      </c>
    </row>
    <row r="47" spans="2:26">
      <c r="B47" s="1288"/>
      <c r="C47" s="1289">
        <v>38948</v>
      </c>
      <c r="D47" s="1288">
        <v>5.58</v>
      </c>
      <c r="E47" s="1288">
        <v>6.12</v>
      </c>
      <c r="F47" s="1288">
        <v>6.3</v>
      </c>
      <c r="G47" s="1288">
        <v>6.48</v>
      </c>
      <c r="H47" s="1288">
        <v>6.84</v>
      </c>
      <c r="I47" s="1288">
        <v>4.1399999999999997</v>
      </c>
      <c r="J47" s="1288">
        <v>4.59</v>
      </c>
      <c r="L47" s="1288"/>
      <c r="M47" s="1289">
        <v>34161</v>
      </c>
      <c r="N47" s="1288">
        <v>3.15</v>
      </c>
      <c r="O47" s="1288">
        <v>6.66</v>
      </c>
      <c r="P47" s="1288">
        <v>9</v>
      </c>
      <c r="Q47" s="1288">
        <v>10.98</v>
      </c>
      <c r="R47" s="1288">
        <v>11.7</v>
      </c>
      <c r="S47" s="1288">
        <v>12.24</v>
      </c>
      <c r="T47" s="1288">
        <v>13.86</v>
      </c>
      <c r="U47" s="1288">
        <v>9</v>
      </c>
      <c r="V47" s="1288">
        <v>10.98</v>
      </c>
      <c r="W47" s="1288">
        <v>12.24</v>
      </c>
      <c r="X47" s="1288" t="s">
        <v>633</v>
      </c>
      <c r="Y47" s="1288" t="s">
        <v>633</v>
      </c>
      <c r="Z47" s="1288" t="s">
        <v>633</v>
      </c>
    </row>
    <row r="48" spans="2:26">
      <c r="B48" s="1288"/>
      <c r="C48" s="1289">
        <v>38835</v>
      </c>
      <c r="D48" s="1288">
        <v>5.4</v>
      </c>
      <c r="E48" s="1288">
        <v>5.85</v>
      </c>
      <c r="F48" s="1288">
        <v>6.03</v>
      </c>
      <c r="G48" s="1288">
        <v>6.12</v>
      </c>
      <c r="H48" s="1288">
        <v>6.39</v>
      </c>
      <c r="I48" s="1288">
        <v>4.1399999999999997</v>
      </c>
      <c r="J48" s="1288">
        <v>4.59</v>
      </c>
      <c r="L48" s="1288"/>
      <c r="M48" s="1289">
        <v>34104</v>
      </c>
      <c r="N48" s="1288">
        <v>2.16</v>
      </c>
      <c r="O48" s="1288">
        <v>4.8600000000000003</v>
      </c>
      <c r="P48" s="1288">
        <v>7.2</v>
      </c>
      <c r="Q48" s="1288">
        <v>9.18</v>
      </c>
      <c r="R48" s="1288">
        <v>9.9</v>
      </c>
      <c r="S48" s="1288">
        <v>10.8</v>
      </c>
      <c r="T48" s="1288">
        <v>12.06</v>
      </c>
      <c r="U48" s="1288">
        <v>7.2</v>
      </c>
      <c r="V48" s="1288">
        <v>9.18</v>
      </c>
      <c r="W48" s="1288">
        <v>10.8</v>
      </c>
      <c r="X48" s="1288" t="s">
        <v>633</v>
      </c>
      <c r="Y48" s="1288" t="s">
        <v>633</v>
      </c>
      <c r="Z48" s="1288" t="s">
        <v>633</v>
      </c>
    </row>
    <row r="49" spans="2:26">
      <c r="B49" s="1288"/>
      <c r="C49" s="1289">
        <v>38428</v>
      </c>
      <c r="D49" s="1288">
        <v>5.22</v>
      </c>
      <c r="E49" s="1288">
        <v>5.58</v>
      </c>
      <c r="F49" s="1288">
        <v>5.76</v>
      </c>
      <c r="G49" s="1288">
        <v>5.85</v>
      </c>
      <c r="H49" s="1288">
        <v>6.12</v>
      </c>
      <c r="I49" s="1288">
        <v>3.96</v>
      </c>
      <c r="J49" s="1288">
        <v>4.41</v>
      </c>
      <c r="L49" s="1288"/>
      <c r="M49" s="1289">
        <v>33349</v>
      </c>
      <c r="N49" s="1288">
        <v>1.8</v>
      </c>
      <c r="O49" s="1288">
        <v>3.24</v>
      </c>
      <c r="P49" s="1288">
        <v>5.4</v>
      </c>
      <c r="Q49" s="1288">
        <v>7.56</v>
      </c>
      <c r="R49" s="1288">
        <v>7.92</v>
      </c>
      <c r="S49" s="1288">
        <v>8.2799999999999994</v>
      </c>
      <c r="T49" s="1288">
        <v>9</v>
      </c>
      <c r="U49" s="1288">
        <v>6.12</v>
      </c>
      <c r="V49" s="1288">
        <v>6.84</v>
      </c>
      <c r="W49" s="1288">
        <v>7.56</v>
      </c>
      <c r="X49" s="1288" t="s">
        <v>633</v>
      </c>
      <c r="Y49" s="1288" t="s">
        <v>633</v>
      </c>
      <c r="Z49" s="1288" t="s">
        <v>633</v>
      </c>
    </row>
    <row r="50" spans="2:26">
      <c r="B50" s="1288"/>
      <c r="C50" s="1289">
        <v>38289</v>
      </c>
      <c r="D50" s="1288">
        <v>5.22</v>
      </c>
      <c r="E50" s="1288">
        <v>5.58</v>
      </c>
      <c r="F50" s="1288">
        <v>5.76</v>
      </c>
      <c r="G50" s="1288">
        <v>5.85</v>
      </c>
      <c r="H50" s="1288">
        <v>6.12</v>
      </c>
      <c r="I50" s="1288">
        <v>3.78</v>
      </c>
      <c r="J50" s="1288">
        <v>4.2300000000000004</v>
      </c>
      <c r="L50" s="1288"/>
      <c r="M50" s="1289">
        <v>33106</v>
      </c>
      <c r="N50" s="1288">
        <v>2.16</v>
      </c>
      <c r="O50" s="1288">
        <v>4.32</v>
      </c>
      <c r="P50" s="1288">
        <v>6.48</v>
      </c>
      <c r="Q50" s="1288">
        <v>8.64</v>
      </c>
      <c r="R50" s="1288">
        <v>9.36</v>
      </c>
      <c r="S50" s="1288">
        <v>10.08</v>
      </c>
      <c r="T50" s="1288">
        <v>11.52</v>
      </c>
      <c r="U50" s="1288">
        <v>7.2</v>
      </c>
      <c r="V50" s="1288">
        <v>8.64</v>
      </c>
      <c r="W50" s="1288">
        <v>10.08</v>
      </c>
      <c r="X50" s="1288" t="s">
        <v>633</v>
      </c>
      <c r="Y50" s="1288" t="s">
        <v>633</v>
      </c>
      <c r="Z50" s="1288" t="s">
        <v>633</v>
      </c>
    </row>
    <row r="51" spans="2:26">
      <c r="B51" s="1288"/>
      <c r="C51" s="1289">
        <v>37308</v>
      </c>
      <c r="D51" s="1288">
        <v>5.04</v>
      </c>
      <c r="E51" s="1288">
        <v>5.31</v>
      </c>
      <c r="F51" s="1288">
        <v>5.49</v>
      </c>
      <c r="G51" s="1288">
        <v>5.58</v>
      </c>
      <c r="H51" s="1288">
        <v>5.76</v>
      </c>
      <c r="I51" s="1288">
        <v>3.6</v>
      </c>
      <c r="J51" s="1288">
        <v>4.05</v>
      </c>
      <c r="L51" s="1288"/>
      <c r="M51" s="1289">
        <v>32978</v>
      </c>
      <c r="N51" s="1288">
        <v>2.88</v>
      </c>
      <c r="O51" s="1288">
        <v>6.3</v>
      </c>
      <c r="P51" s="1288">
        <v>7.74</v>
      </c>
      <c r="Q51" s="1288">
        <v>10.08</v>
      </c>
      <c r="R51" s="1288">
        <v>10.98</v>
      </c>
      <c r="S51" s="1288">
        <v>11.88</v>
      </c>
      <c r="T51" s="1288">
        <v>13.68</v>
      </c>
      <c r="U51" s="1288" t="s">
        <v>633</v>
      </c>
      <c r="V51" s="1288" t="s">
        <v>633</v>
      </c>
      <c r="W51" s="1288" t="s">
        <v>633</v>
      </c>
      <c r="X51" s="1288" t="s">
        <v>633</v>
      </c>
      <c r="Y51" s="1288" t="s">
        <v>633</v>
      </c>
      <c r="Z51" s="1288" t="s">
        <v>633</v>
      </c>
    </row>
    <row r="52" spans="2:26">
      <c r="B52" s="1288"/>
      <c r="C52" s="1289">
        <v>36321</v>
      </c>
      <c r="D52" s="1288">
        <v>5.58</v>
      </c>
      <c r="E52" s="1288">
        <v>5.85</v>
      </c>
      <c r="F52" s="1288">
        <v>5.94</v>
      </c>
      <c r="G52" s="1288">
        <v>6.03</v>
      </c>
      <c r="H52" s="1288">
        <v>6.21</v>
      </c>
      <c r="I52" s="1288">
        <v>4.1399999999999997</v>
      </c>
      <c r="J52" s="1288">
        <v>4.59</v>
      </c>
      <c r="L52" s="1288"/>
      <c r="M52" s="1289"/>
      <c r="N52" s="1288"/>
      <c r="O52" s="1288"/>
      <c r="P52" s="1288"/>
      <c r="Q52" s="1288"/>
      <c r="R52" s="1288"/>
      <c r="S52" s="1288"/>
      <c r="T52" s="1288"/>
      <c r="U52" s="1288"/>
      <c r="V52" s="1288"/>
      <c r="W52" s="1288"/>
      <c r="X52" s="1288"/>
      <c r="Y52" s="1288"/>
      <c r="Z52" s="1288"/>
    </row>
    <row r="53" spans="2:26">
      <c r="B53" s="1288"/>
      <c r="C53" s="1289">
        <v>36136</v>
      </c>
      <c r="D53" s="1288">
        <v>6.12</v>
      </c>
      <c r="E53" s="1288">
        <v>6.39</v>
      </c>
      <c r="F53" s="1288">
        <v>6.66</v>
      </c>
      <c r="G53" s="1288">
        <v>7.2</v>
      </c>
      <c r="H53" s="1288">
        <v>7.56</v>
      </c>
      <c r="I53" s="1288">
        <v>0</v>
      </c>
      <c r="J53" s="1288">
        <v>0</v>
      </c>
      <c r="L53" s="1288"/>
      <c r="M53" s="1289"/>
      <c r="N53" s="1288"/>
      <c r="O53" s="1288"/>
      <c r="P53" s="1288"/>
      <c r="Q53" s="1288"/>
      <c r="R53" s="1288"/>
      <c r="S53" s="1288"/>
      <c r="T53" s="1288"/>
      <c r="U53" s="1288"/>
      <c r="V53" s="1288"/>
      <c r="W53" s="1288"/>
      <c r="X53" s="1288"/>
      <c r="Y53" s="1288"/>
      <c r="Z53" s="1288"/>
    </row>
    <row r="54" spans="2:26">
      <c r="B54" s="1288"/>
      <c r="C54" s="1289">
        <v>35977</v>
      </c>
      <c r="D54" s="1288">
        <v>6.57</v>
      </c>
      <c r="E54" s="1288">
        <v>6.93</v>
      </c>
      <c r="F54" s="1288">
        <v>7.11</v>
      </c>
      <c r="G54" s="1288">
        <v>7.65</v>
      </c>
      <c r="H54" s="1288">
        <v>8.01</v>
      </c>
      <c r="I54" s="1288">
        <v>0</v>
      </c>
      <c r="J54" s="1288">
        <v>0</v>
      </c>
      <c r="L54" s="1288"/>
      <c r="M54" s="1289"/>
      <c r="N54" s="1288"/>
      <c r="O54" s="1288"/>
      <c r="P54" s="1288"/>
      <c r="Q54" s="1288"/>
      <c r="R54" s="1288"/>
      <c r="S54" s="1288"/>
      <c r="T54" s="1288"/>
      <c r="U54" s="1288"/>
      <c r="V54" s="1288"/>
      <c r="W54" s="1288"/>
      <c r="X54" s="1288"/>
      <c r="Y54" s="1288"/>
      <c r="Z54" s="1288"/>
    </row>
    <row r="55" spans="2:26">
      <c r="B55" s="1288"/>
      <c r="C55" s="1289">
        <v>35879</v>
      </c>
      <c r="D55" s="1288">
        <v>7.02</v>
      </c>
      <c r="E55" s="1288">
        <v>7.92</v>
      </c>
      <c r="F55" s="1288">
        <v>9</v>
      </c>
      <c r="G55" s="1288">
        <v>9.7200000000000006</v>
      </c>
      <c r="H55" s="1288">
        <v>10.35</v>
      </c>
      <c r="I55" s="1288">
        <v>0</v>
      </c>
      <c r="J55" s="1288">
        <v>0</v>
      </c>
      <c r="L55" s="1288"/>
      <c r="M55" s="1289"/>
      <c r="N55" s="1288"/>
      <c r="O55" s="1288"/>
      <c r="P55" s="1288"/>
      <c r="Q55" s="1288"/>
      <c r="R55" s="1288"/>
      <c r="S55" s="1288"/>
      <c r="T55" s="1288"/>
      <c r="U55" s="1288"/>
      <c r="V55" s="1288"/>
      <c r="W55" s="1288"/>
      <c r="X55" s="1288"/>
      <c r="Y55" s="1288"/>
      <c r="Z55" s="1288"/>
    </row>
    <row r="56" spans="2:26">
      <c r="B56" s="1288"/>
      <c r="C56" s="1289">
        <v>35726</v>
      </c>
      <c r="D56" s="1288">
        <v>7.65</v>
      </c>
      <c r="E56" s="1288">
        <v>8.64</v>
      </c>
      <c r="F56" s="1288">
        <v>9.36</v>
      </c>
      <c r="G56" s="1288">
        <v>9.9</v>
      </c>
      <c r="H56" s="1288">
        <v>10.53</v>
      </c>
      <c r="I56" s="1288">
        <v>0</v>
      </c>
      <c r="J56" s="1288">
        <v>0</v>
      </c>
      <c r="L56" s="1288"/>
      <c r="M56" s="1289"/>
      <c r="N56" s="1288"/>
      <c r="O56" s="1288"/>
      <c r="P56" s="1288"/>
      <c r="Q56" s="1288"/>
      <c r="R56" s="1288"/>
      <c r="S56" s="1288"/>
      <c r="T56" s="1288"/>
      <c r="U56" s="1288"/>
      <c r="V56" s="1288"/>
      <c r="W56" s="1288"/>
      <c r="X56" s="1288"/>
      <c r="Y56" s="1288"/>
      <c r="Z56" s="1288"/>
    </row>
    <row r="57" spans="2:26">
      <c r="B57" s="1288"/>
      <c r="C57" s="1289">
        <v>35300</v>
      </c>
      <c r="D57" s="1288">
        <v>9.18</v>
      </c>
      <c r="E57" s="1288">
        <v>10.08</v>
      </c>
      <c r="F57" s="1288">
        <v>10.98</v>
      </c>
      <c r="G57" s="1288">
        <v>11.7</v>
      </c>
      <c r="H57" s="1288">
        <v>12.42</v>
      </c>
      <c r="I57" s="1288">
        <v>0</v>
      </c>
      <c r="J57" s="1288">
        <v>0</v>
      </c>
      <c r="L57" s="1288"/>
      <c r="M57" s="1289"/>
      <c r="N57" s="1288"/>
      <c r="O57" s="1288"/>
      <c r="P57" s="1288"/>
      <c r="Q57" s="1288"/>
      <c r="R57" s="1288"/>
      <c r="S57" s="1288"/>
      <c r="T57" s="1288"/>
      <c r="U57" s="1288"/>
      <c r="V57" s="1288"/>
      <c r="W57" s="1288"/>
      <c r="X57" s="1288"/>
      <c r="Y57" s="1288"/>
      <c r="Z57" s="1288"/>
    </row>
    <row r="58" spans="2:26">
      <c r="B58" s="1288"/>
      <c r="C58" s="1289">
        <v>35186</v>
      </c>
      <c r="D58" s="1288">
        <v>9.7200000000000006</v>
      </c>
      <c r="E58" s="1288">
        <v>10.98</v>
      </c>
      <c r="F58" s="1288">
        <v>13.14</v>
      </c>
      <c r="G58" s="1288">
        <v>14.94</v>
      </c>
      <c r="H58" s="1288">
        <v>15.12</v>
      </c>
      <c r="I58" s="1288">
        <v>0</v>
      </c>
      <c r="J58" s="1288">
        <v>0</v>
      </c>
    </row>
    <row r="59" spans="2:26">
      <c r="B59" s="1288"/>
      <c r="C59" s="1289">
        <v>34881</v>
      </c>
      <c r="D59" s="1288">
        <v>10.08</v>
      </c>
      <c r="E59" s="1288">
        <v>12.06</v>
      </c>
      <c r="F59" s="1288">
        <v>13.5</v>
      </c>
      <c r="G59" s="1288">
        <v>15.12</v>
      </c>
      <c r="H59" s="1288">
        <v>15.3</v>
      </c>
      <c r="I59" s="1288">
        <v>0</v>
      </c>
      <c r="J59" s="1288">
        <v>0</v>
      </c>
    </row>
    <row r="60" spans="2:26">
      <c r="B60" s="1288"/>
      <c r="C60" s="1289">
        <v>34700</v>
      </c>
      <c r="D60" s="1288">
        <v>9</v>
      </c>
      <c r="E60" s="1288">
        <v>10.98</v>
      </c>
      <c r="F60" s="1288">
        <v>12.96</v>
      </c>
      <c r="G60" s="1288">
        <v>14.58</v>
      </c>
      <c r="H60" s="1288">
        <v>14.76</v>
      </c>
      <c r="I60" s="1288">
        <v>0</v>
      </c>
      <c r="J60" s="1288">
        <v>0</v>
      </c>
    </row>
    <row r="61" spans="2:26">
      <c r="B61" s="1288"/>
      <c r="C61" s="1289">
        <v>34161</v>
      </c>
      <c r="D61" s="1288">
        <v>9</v>
      </c>
      <c r="E61" s="1288">
        <v>10.98</v>
      </c>
      <c r="F61" s="1288">
        <v>12.24</v>
      </c>
      <c r="G61" s="1288">
        <v>13.86</v>
      </c>
      <c r="H61" s="1288">
        <v>14.04</v>
      </c>
      <c r="I61" s="1288">
        <v>0</v>
      </c>
      <c r="J61" s="1288">
        <v>0</v>
      </c>
    </row>
    <row r="62" spans="2:26">
      <c r="B62" s="1288"/>
      <c r="C62" s="1289">
        <v>34104</v>
      </c>
      <c r="D62" s="1288">
        <v>8.82</v>
      </c>
      <c r="E62" s="1288">
        <v>9.36</v>
      </c>
      <c r="F62" s="1288">
        <v>10.8</v>
      </c>
      <c r="G62" s="1288">
        <v>12.06</v>
      </c>
      <c r="H62" s="1288">
        <v>12.24</v>
      </c>
      <c r="I62" s="1288">
        <v>0</v>
      </c>
      <c r="J62" s="1288">
        <v>0</v>
      </c>
    </row>
    <row r="63" spans="2:26">
      <c r="B63" s="1288"/>
      <c r="C63" s="1289">
        <v>33349</v>
      </c>
      <c r="D63" s="1288">
        <v>8.1</v>
      </c>
      <c r="E63" s="1288">
        <v>8.64</v>
      </c>
      <c r="F63" s="1288">
        <v>9</v>
      </c>
      <c r="G63" s="1288">
        <v>9.5399999999999991</v>
      </c>
      <c r="H63" s="1288">
        <v>9.7200000000000006</v>
      </c>
      <c r="I63" s="1288">
        <v>0</v>
      </c>
      <c r="J63" s="1288">
        <v>0</v>
      </c>
    </row>
    <row r="64" spans="2:26">
      <c r="B64" s="1288"/>
      <c r="C64" s="1289">
        <v>33318</v>
      </c>
      <c r="D64" s="1288">
        <v>9</v>
      </c>
      <c r="E64" s="1288">
        <v>10.08</v>
      </c>
      <c r="F64" s="1288">
        <v>10.8</v>
      </c>
      <c r="G64" s="1288">
        <v>11.52</v>
      </c>
      <c r="H64" s="1288">
        <v>11.88</v>
      </c>
      <c r="I64" s="1288" t="s">
        <v>633</v>
      </c>
      <c r="J64" s="1288" t="s">
        <v>633</v>
      </c>
    </row>
    <row r="65" spans="2:10">
      <c r="B65" s="1288"/>
      <c r="C65" s="1289">
        <v>33106</v>
      </c>
      <c r="D65" s="1288">
        <v>8.64</v>
      </c>
      <c r="E65" s="1288">
        <v>9.36</v>
      </c>
      <c r="F65" s="1288">
        <v>10.08</v>
      </c>
      <c r="G65" s="1288">
        <v>10.8</v>
      </c>
      <c r="H65" s="1288">
        <v>11.16</v>
      </c>
      <c r="I65" s="1288">
        <v>0</v>
      </c>
      <c r="J65" s="1288">
        <v>0</v>
      </c>
    </row>
    <row r="66" spans="2:10">
      <c r="B66" s="1288"/>
      <c r="C66" s="1289">
        <v>32540</v>
      </c>
      <c r="D66" s="1288">
        <v>11.34</v>
      </c>
      <c r="E66" s="1288">
        <v>11.34</v>
      </c>
      <c r="F66" s="1288">
        <v>12.78</v>
      </c>
      <c r="G66" s="1288">
        <v>14.4</v>
      </c>
      <c r="H66" s="1288">
        <v>19.260000000000002</v>
      </c>
      <c r="I66" s="1288">
        <v>0</v>
      </c>
      <c r="J66" s="1288">
        <v>0</v>
      </c>
    </row>
    <row r="67" spans="2:10">
      <c r="B67" s="1288"/>
      <c r="C67" s="1289"/>
      <c r="D67" s="1288"/>
      <c r="E67" s="1288"/>
      <c r="F67" s="1288"/>
      <c r="G67" s="1288"/>
      <c r="H67" s="1288"/>
      <c r="I67" s="1288"/>
      <c r="J67" s="1288"/>
    </row>
    <row r="68" spans="2:10">
      <c r="B68" s="1291"/>
      <c r="C68" s="1292"/>
      <c r="D68" s="1291"/>
      <c r="E68" s="1291"/>
      <c r="F68" s="1291"/>
      <c r="G68" s="1291"/>
      <c r="H68" s="1291"/>
      <c r="I68" s="1291"/>
      <c r="J68" s="1291"/>
    </row>
    <row r="69" spans="2:10">
      <c r="B69" s="1291"/>
      <c r="C69" s="1292"/>
      <c r="D69" s="1291"/>
      <c r="E69" s="1291"/>
      <c r="F69" s="1291"/>
      <c r="G69" s="1291"/>
      <c r="H69" s="1291"/>
      <c r="I69" s="1291"/>
      <c r="J69" s="1291"/>
    </row>
    <row r="70" spans="2:10">
      <c r="B70" s="1291"/>
      <c r="C70" s="1292"/>
      <c r="D70" s="1291"/>
      <c r="E70" s="1291"/>
      <c r="F70" s="1291"/>
      <c r="G70" s="1291"/>
      <c r="H70" s="1291"/>
      <c r="I70" s="1291"/>
      <c r="J70" s="1291"/>
    </row>
    <row r="71" spans="2:10">
      <c r="B71" s="1240"/>
      <c r="C71" s="1240"/>
      <c r="D71" s="1240"/>
      <c r="E71" s="1240"/>
      <c r="F71" s="1240"/>
      <c r="G71" s="1240"/>
      <c r="H71" s="1240"/>
      <c r="I71" s="1240"/>
      <c r="J71" s="1240"/>
    </row>
    <row r="72" spans="2:10">
      <c r="B72" s="1240"/>
      <c r="C72" s="1240"/>
      <c r="D72" s="1240"/>
      <c r="E72" s="1240"/>
      <c r="F72" s="1240"/>
      <c r="G72" s="1240"/>
      <c r="H72" s="1240"/>
      <c r="I72" s="1240"/>
      <c r="J72" s="1240"/>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5" customWidth="1"/>
    <col min="2" max="9" width="12.125" style="1475" customWidth="1"/>
    <col min="10" max="16384" width="9" style="1475"/>
  </cols>
  <sheetData>
    <row r="1" spans="1:9" ht="18.75" thickBot="1">
      <c r="A1" s="3538" t="str">
        <f>IF(项目基本情况!B9="房地产市场价值","估价结果一览表","结果表-2")</f>
        <v>结果表-2</v>
      </c>
      <c r="B1" s="3538"/>
      <c r="C1" s="3538"/>
      <c r="D1" s="3538"/>
      <c r="E1" s="3538"/>
      <c r="F1" s="3538"/>
      <c r="G1" s="3538"/>
      <c r="H1" s="3538"/>
      <c r="I1" s="3538"/>
    </row>
    <row r="2" spans="1:9" ht="30" customHeight="1" thickTop="1">
      <c r="A2" s="3539" t="s">
        <v>928</v>
      </c>
      <c r="B2" s="3539" t="s">
        <v>929</v>
      </c>
      <c r="C2" s="3539" t="s">
        <v>930</v>
      </c>
      <c r="D2" s="3539" t="str">
        <f>结果表!D116</f>
        <v>出让国有建设用地使用权价值</v>
      </c>
      <c r="E2" s="3539"/>
      <c r="F2" s="3539" t="str">
        <f>结果表!F116</f>
        <v>在建建筑物价值</v>
      </c>
      <c r="G2" s="3539"/>
      <c r="H2" s="3539" t="str">
        <f>IF(项目基本情况!B9="房地产市场价值","房地产市场价值","房地产价值")</f>
        <v>房地产价值</v>
      </c>
      <c r="I2" s="3539"/>
    </row>
    <row r="3" spans="1:9" ht="15">
      <c r="A3" s="3540"/>
      <c r="B3" s="3540"/>
      <c r="C3" s="3540"/>
      <c r="D3" s="853" t="s">
        <v>925</v>
      </c>
      <c r="E3" s="853" t="s">
        <v>931</v>
      </c>
      <c r="F3" s="853" t="s">
        <v>925</v>
      </c>
      <c r="G3" s="853" t="s">
        <v>926</v>
      </c>
      <c r="H3" s="853" t="s">
        <v>925</v>
      </c>
      <c r="I3" s="853" t="s">
        <v>926</v>
      </c>
    </row>
    <row r="4" spans="1:9" ht="15">
      <c r="A4" s="1503" t="str">
        <f>项目基本情况!S2</f>
        <v>北京市房地产</v>
      </c>
      <c r="B4" s="853">
        <f>项目基本情况!C17</f>
        <v>20062.899999999998</v>
      </c>
      <c r="C4" s="853">
        <f>项目基本情况!C18</f>
        <v>10405.33</v>
      </c>
      <c r="D4" s="853" t="e">
        <f ca="1">结果表!D118</f>
        <v>#REF!</v>
      </c>
      <c r="E4" s="853" t="e">
        <f ca="1">结果表!E118</f>
        <v>#REF!</v>
      </c>
      <c r="F4" s="853" t="e">
        <f ca="1">结果表!F118</f>
        <v>#REF!</v>
      </c>
      <c r="G4" s="853" t="e">
        <f ca="1">结果表!G118</f>
        <v>#REF!</v>
      </c>
      <c r="H4" s="853">
        <f ca="1">结果表!H118</f>
        <v>24240</v>
      </c>
      <c r="I4" s="853">
        <f ca="1">结果表!I118</f>
        <v>12082</v>
      </c>
    </row>
    <row r="5" spans="1:9" ht="30" customHeight="1">
      <c r="A5" s="3540" t="s">
        <v>927</v>
      </c>
      <c r="B5" s="3540"/>
      <c r="C5" s="3540"/>
      <c r="D5" s="3540" t="e">
        <f ca="1">结果表!D119</f>
        <v>#REF!</v>
      </c>
      <c r="E5" s="3540"/>
      <c r="F5" s="3540" t="e">
        <f ca="1">结果表!F119</f>
        <v>#REF!</v>
      </c>
      <c r="G5" s="3540"/>
      <c r="H5" s="3540" t="str">
        <f ca="1">结果表!H119</f>
        <v>贰亿肆仟贰佰肆拾万元整</v>
      </c>
      <c r="I5" s="3540"/>
    </row>
    <row r="6" spans="1:9" ht="15.75">
      <c r="A6" s="3541" t="str">
        <f>结果表!A120</f>
        <v>估价师知悉的法定优先受偿款</v>
      </c>
      <c r="B6" s="3541"/>
      <c r="C6" s="3541"/>
      <c r="D6" s="3541">
        <f>结果表!D120</f>
        <v>0</v>
      </c>
      <c r="E6" s="3541"/>
      <c r="F6" s="3541"/>
      <c r="G6" s="3541"/>
      <c r="H6" s="3541"/>
      <c r="I6" s="3541"/>
    </row>
    <row r="7" spans="1:9" ht="15">
      <c r="A7" s="3540" t="s">
        <v>927</v>
      </c>
      <c r="B7" s="3540"/>
      <c r="C7" s="3540"/>
      <c r="D7" s="3542" t="str">
        <f>结果表!D121</f>
        <v>零元整</v>
      </c>
      <c r="E7" s="3543"/>
      <c r="F7" s="3543"/>
      <c r="G7" s="3543"/>
      <c r="H7" s="3543"/>
      <c r="I7" s="3544"/>
    </row>
    <row r="8" spans="1:9" ht="15.75">
      <c r="A8" s="3541" t="str">
        <f>结果表!A122</f>
        <v>房地产抵押价值</v>
      </c>
      <c r="B8" s="3541"/>
      <c r="C8" s="3541"/>
      <c r="D8" s="3541">
        <f ca="1">结果表!D122</f>
        <v>24240</v>
      </c>
      <c r="E8" s="3541"/>
      <c r="F8" s="3541"/>
      <c r="G8" s="3541"/>
      <c r="H8" s="3541"/>
      <c r="I8" s="3541"/>
    </row>
    <row r="9" spans="1:9" ht="15">
      <c r="A9" s="3540" t="s">
        <v>927</v>
      </c>
      <c r="B9" s="3540"/>
      <c r="C9" s="3540"/>
      <c r="D9" s="3540" t="str">
        <f ca="1">结果表!D123</f>
        <v>贰亿肆仟贰佰肆拾万元整</v>
      </c>
      <c r="E9" s="3540"/>
      <c r="F9" s="3540"/>
      <c r="G9" s="3540"/>
      <c r="H9" s="3540"/>
      <c r="I9" s="3540"/>
    </row>
    <row r="10" spans="1:9" ht="15.75">
      <c r="A10" s="3541" t="str">
        <f>结果表!A124</f>
        <v/>
      </c>
      <c r="B10" s="3541"/>
      <c r="C10" s="3541"/>
      <c r="D10" s="3541" t="str">
        <f>结果表!D124</f>
        <v>——</v>
      </c>
      <c r="E10" s="3541"/>
      <c r="F10" s="3541"/>
      <c r="G10" s="3541"/>
      <c r="H10" s="3541"/>
      <c r="I10" s="3541"/>
    </row>
    <row r="11" spans="1:9" ht="15">
      <c r="A11" s="3540" t="s">
        <v>927</v>
      </c>
      <c r="B11" s="3540"/>
      <c r="C11" s="3540"/>
      <c r="D11" s="3540" t="e">
        <f>结果表!D125</f>
        <v>#VALUE!</v>
      </c>
      <c r="E11" s="3540"/>
      <c r="F11" s="3540"/>
      <c r="G11" s="3540"/>
      <c r="H11" s="3540"/>
      <c r="I11" s="3540"/>
    </row>
    <row r="12" spans="1:9" ht="15.75">
      <c r="A12" s="3541" t="str">
        <f>结果表!A126</f>
        <v/>
      </c>
      <c r="B12" s="3541"/>
      <c r="C12" s="3541"/>
      <c r="D12" s="3541" t="str">
        <f>结果表!D126</f>
        <v>——</v>
      </c>
      <c r="E12" s="3541"/>
      <c r="F12" s="3541"/>
      <c r="G12" s="3541"/>
      <c r="H12" s="3541"/>
      <c r="I12" s="3541"/>
    </row>
    <row r="13" spans="1:9" ht="15.75" thickBot="1">
      <c r="A13" s="3545" t="s">
        <v>927</v>
      </c>
      <c r="B13" s="3545"/>
      <c r="C13" s="3545"/>
      <c r="D13" s="3545" t="e">
        <f>结果表!D127</f>
        <v>#VALUE!</v>
      </c>
      <c r="E13" s="3545"/>
      <c r="F13" s="3545"/>
      <c r="G13" s="3545"/>
      <c r="H13" s="3545"/>
      <c r="I13" s="3545"/>
    </row>
    <row r="14" spans="1:9" ht="15" thickTop="1">
      <c r="A14" s="3546" t="s">
        <v>932</v>
      </c>
      <c r="B14" s="3546"/>
      <c r="C14" s="3546"/>
      <c r="D14" s="3546"/>
      <c r="E14" s="3546"/>
      <c r="F14" s="3546"/>
      <c r="G14" s="3546"/>
      <c r="H14" s="3546"/>
      <c r="I14" s="3546"/>
    </row>
    <row r="16" spans="1:9" ht="18.75">
      <c r="A16" s="1504" t="s">
        <v>915</v>
      </c>
      <c r="B16" s="1487"/>
      <c r="C16" s="1487"/>
      <c r="D16" s="1487"/>
      <c r="E16" s="1487"/>
      <c r="F16" s="1487"/>
      <c r="G16" s="1487"/>
      <c r="H16" s="1487"/>
      <c r="I16" s="1487"/>
    </row>
    <row r="17" spans="1:9">
      <c r="A17" s="1487"/>
      <c r="B17" s="1487"/>
      <c r="C17" s="1487"/>
      <c r="D17" s="1487"/>
      <c r="E17" s="1487"/>
      <c r="F17" s="1487"/>
      <c r="G17" s="1487"/>
      <c r="H17" s="1487"/>
      <c r="I17" s="1487"/>
    </row>
    <row r="18" spans="1:9">
      <c r="A18" s="1487"/>
      <c r="B18" s="1487"/>
      <c r="C18" s="1487"/>
      <c r="D18" s="1487"/>
      <c r="E18" s="1487"/>
      <c r="F18" s="1487"/>
      <c r="G18" s="1487"/>
      <c r="H18" s="1487"/>
      <c r="I18" s="1487"/>
    </row>
    <row r="19" spans="1:9">
      <c r="A19" s="1487"/>
      <c r="B19" s="1487"/>
      <c r="C19" s="1487"/>
      <c r="D19" s="1487"/>
      <c r="E19" s="1487"/>
      <c r="F19" s="1487"/>
      <c r="G19" s="1487"/>
      <c r="H19" s="1487"/>
      <c r="I19" s="1487"/>
    </row>
    <row r="20" spans="1:9">
      <c r="A20" s="1487"/>
      <c r="B20" s="1487"/>
      <c r="C20" s="1487"/>
      <c r="D20" s="1487"/>
      <c r="E20" s="1487"/>
      <c r="F20" s="1487"/>
      <c r="G20" s="1487"/>
      <c r="H20" s="1487"/>
      <c r="I20" s="1487"/>
    </row>
    <row r="21" spans="1:9">
      <c r="A21" s="1487"/>
      <c r="B21" s="1487"/>
      <c r="C21" s="1487"/>
      <c r="D21" s="1487"/>
      <c r="E21" s="1487"/>
      <c r="F21" s="1487"/>
      <c r="G21" s="1487"/>
      <c r="H21" s="1487"/>
      <c r="I21" s="1487"/>
    </row>
    <row r="22" spans="1:9">
      <c r="A22" s="1487"/>
      <c r="B22" s="1487"/>
      <c r="C22" s="1487"/>
      <c r="D22" s="1487"/>
      <c r="E22" s="1487"/>
      <c r="F22" s="1487"/>
      <c r="G22" s="1487"/>
      <c r="H22" s="1487"/>
      <c r="I22" s="1487"/>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
  <sheetViews>
    <sheetView topLeftCell="H1" workbookViewId="0">
      <selection activeCell="T19" sqref="T19"/>
    </sheetView>
  </sheetViews>
  <sheetFormatPr defaultRowHeight="13.5"/>
  <sheetData>
    <row r="1" spans="1:23">
      <c r="A1" s="3457" t="s">
        <v>3406</v>
      </c>
      <c r="B1" s="3457" t="s">
        <v>3407</v>
      </c>
      <c r="C1" s="3457" t="s">
        <v>3408</v>
      </c>
      <c r="D1" s="3457" t="s">
        <v>3409</v>
      </c>
      <c r="E1" s="3457" t="s">
        <v>3410</v>
      </c>
      <c r="F1" s="3457" t="s">
        <v>3411</v>
      </c>
      <c r="G1" s="3457" t="s">
        <v>3412</v>
      </c>
      <c r="H1" s="3457" t="s">
        <v>3413</v>
      </c>
      <c r="I1" s="3457" t="s">
        <v>3414</v>
      </c>
      <c r="J1" s="3457" t="s">
        <v>3415</v>
      </c>
      <c r="K1" s="3457" t="s">
        <v>3416</v>
      </c>
      <c r="L1" s="3457" t="s">
        <v>3417</v>
      </c>
      <c r="M1" s="3457" t="s">
        <v>3418</v>
      </c>
      <c r="N1" s="3457" t="s">
        <v>3419</v>
      </c>
      <c r="O1" s="3457" t="s">
        <v>3420</v>
      </c>
      <c r="P1" s="3457" t="s">
        <v>3421</v>
      </c>
      <c r="Q1" s="3457" t="s">
        <v>3422</v>
      </c>
      <c r="R1" s="3461" t="s">
        <v>3455</v>
      </c>
      <c r="S1" s="3461" t="s">
        <v>3456</v>
      </c>
      <c r="T1" s="3461" t="s">
        <v>3457</v>
      </c>
      <c r="U1" s="3461" t="s">
        <v>3459</v>
      </c>
      <c r="W1" s="3461"/>
    </row>
    <row r="2" spans="1:23" s="3459" customFormat="1">
      <c r="A2" s="3458" t="s">
        <v>3423</v>
      </c>
      <c r="B2" s="3458" t="s">
        <v>3381</v>
      </c>
      <c r="C2" s="3458" t="s">
        <v>3424</v>
      </c>
      <c r="D2" s="3458">
        <v>19258.580000000002</v>
      </c>
      <c r="E2" s="3458">
        <v>38517.17</v>
      </c>
      <c r="F2" s="3458">
        <v>2</v>
      </c>
      <c r="G2" s="3458" t="s">
        <v>3425</v>
      </c>
      <c r="H2" s="3458" t="s">
        <v>3426</v>
      </c>
      <c r="I2" s="3458">
        <v>0</v>
      </c>
      <c r="J2" s="3458" t="s">
        <v>3427</v>
      </c>
      <c r="K2" s="3458" t="s">
        <v>3427</v>
      </c>
      <c r="L2" s="3458">
        <v>28400</v>
      </c>
      <c r="M2" s="3458">
        <v>28400</v>
      </c>
      <c r="N2" s="3458">
        <v>7373.34</v>
      </c>
      <c r="O2" s="3458">
        <v>0</v>
      </c>
      <c r="P2" s="3458" t="s">
        <v>3428</v>
      </c>
      <c r="Q2" s="3458" t="s">
        <v>3429</v>
      </c>
      <c r="R2">
        <v>2</v>
      </c>
      <c r="S2">
        <v>1</v>
      </c>
      <c r="T2">
        <f>ROUND(S2/$F$13,4)</f>
        <v>0.81079999999999997</v>
      </c>
      <c r="U2" s="3459">
        <f>ROUND(N2/T2,0)</f>
        <v>9094</v>
      </c>
    </row>
    <row r="3" spans="1:23" s="3459" customFormat="1">
      <c r="A3" s="3458" t="s">
        <v>3430</v>
      </c>
      <c r="B3" s="3458" t="s">
        <v>3381</v>
      </c>
      <c r="C3" s="3458" t="s">
        <v>3424</v>
      </c>
      <c r="D3" s="3458">
        <v>28547.88</v>
      </c>
      <c r="E3" s="3458">
        <v>51828.53</v>
      </c>
      <c r="F3" s="3458">
        <v>1.82</v>
      </c>
      <c r="G3" s="3458" t="s">
        <v>3425</v>
      </c>
      <c r="H3" s="3458" t="s">
        <v>3426</v>
      </c>
      <c r="I3" s="3458">
        <v>0</v>
      </c>
      <c r="J3" s="3458" t="s">
        <v>3427</v>
      </c>
      <c r="K3" s="3458" t="s">
        <v>3427</v>
      </c>
      <c r="L3" s="3458">
        <v>37700</v>
      </c>
      <c r="M3" s="3458">
        <v>37700</v>
      </c>
      <c r="N3" s="3458">
        <v>7273.99</v>
      </c>
      <c r="O3" s="3458">
        <v>0</v>
      </c>
      <c r="P3" s="3458" t="s">
        <v>3431</v>
      </c>
      <c r="Q3" s="3458" t="s">
        <v>3429</v>
      </c>
      <c r="R3">
        <v>1.82</v>
      </c>
      <c r="S3">
        <v>1.0216000000000001</v>
      </c>
      <c r="T3">
        <f>ROUND(S3/$F$13,4)</f>
        <v>0.82830000000000004</v>
      </c>
      <c r="U3" s="3459">
        <f t="shared" ref="U3:U5" si="0">ROUND(N3/T3,0)</f>
        <v>8782</v>
      </c>
    </row>
    <row r="4" spans="1:23">
      <c r="A4" s="3457" t="s">
        <v>3432</v>
      </c>
      <c r="B4" s="3457" t="s">
        <v>3381</v>
      </c>
      <c r="C4" s="3457" t="s">
        <v>3424</v>
      </c>
      <c r="D4" s="3457">
        <v>1676.22</v>
      </c>
      <c r="E4" s="3457">
        <v>753.4</v>
      </c>
      <c r="F4" s="3457" t="s">
        <v>3433</v>
      </c>
      <c r="G4" s="3457" t="s">
        <v>3425</v>
      </c>
      <c r="H4" s="3457" t="s">
        <v>3434</v>
      </c>
      <c r="I4" s="3457">
        <v>0</v>
      </c>
      <c r="J4" s="3457" t="s">
        <v>3435</v>
      </c>
      <c r="K4" s="3457" t="s">
        <v>3435</v>
      </c>
      <c r="L4" s="3457">
        <v>550</v>
      </c>
      <c r="M4" s="3457">
        <v>550</v>
      </c>
      <c r="N4" s="3457">
        <v>7300.24</v>
      </c>
      <c r="O4" s="3457">
        <v>0</v>
      </c>
      <c r="P4" s="3457" t="s">
        <v>3436</v>
      </c>
      <c r="Q4" s="3457" t="s">
        <v>3429</v>
      </c>
      <c r="U4" s="3459"/>
      <c r="W4" s="3459"/>
    </row>
    <row r="5" spans="1:23" s="3459" customFormat="1">
      <c r="A5" s="3458" t="s">
        <v>3437</v>
      </c>
      <c r="B5" s="3458" t="s">
        <v>3381</v>
      </c>
      <c r="C5" s="3458" t="s">
        <v>3424</v>
      </c>
      <c r="D5" s="3458">
        <v>25224.15</v>
      </c>
      <c r="E5" s="3458">
        <v>75672.45</v>
      </c>
      <c r="F5" s="3458" t="s">
        <v>3438</v>
      </c>
      <c r="G5" s="3458" t="s">
        <v>3425</v>
      </c>
      <c r="H5" s="3458" t="s">
        <v>3426</v>
      </c>
      <c r="I5" s="3458">
        <v>0</v>
      </c>
      <c r="J5" s="3458" t="s">
        <v>3439</v>
      </c>
      <c r="K5" s="3458" t="s">
        <v>3439</v>
      </c>
      <c r="L5" s="3458">
        <v>60800</v>
      </c>
      <c r="M5" s="3458">
        <v>60800</v>
      </c>
      <c r="N5" s="3458">
        <v>8034.63</v>
      </c>
      <c r="O5" s="3458">
        <v>0</v>
      </c>
      <c r="P5" s="3458" t="s">
        <v>3440</v>
      </c>
      <c r="Q5" s="3458" t="s">
        <v>3441</v>
      </c>
      <c r="R5">
        <v>3</v>
      </c>
      <c r="S5">
        <v>0.90629999999999999</v>
      </c>
      <c r="T5">
        <f>ROUND(S5/$F$13,4)</f>
        <v>0.7349</v>
      </c>
      <c r="U5" s="3459">
        <f t="shared" si="0"/>
        <v>10933</v>
      </c>
    </row>
    <row r="6" spans="1:23">
      <c r="A6" s="3457" t="s">
        <v>3442</v>
      </c>
      <c r="B6" s="3457" t="s">
        <v>3381</v>
      </c>
      <c r="C6" s="3457" t="s">
        <v>3424</v>
      </c>
      <c r="D6" s="3457">
        <v>63225.37</v>
      </c>
      <c r="E6" s="3457">
        <v>120200</v>
      </c>
      <c r="F6" s="3457" t="s">
        <v>3443</v>
      </c>
      <c r="G6" s="3457" t="s">
        <v>3425</v>
      </c>
      <c r="H6" s="3457" t="s">
        <v>3426</v>
      </c>
      <c r="I6" s="3457">
        <v>0</v>
      </c>
      <c r="J6" s="3457" t="s">
        <v>3444</v>
      </c>
      <c r="K6" s="3457" t="s">
        <v>3444</v>
      </c>
      <c r="L6" s="3457">
        <v>88100</v>
      </c>
      <c r="M6" s="3457">
        <v>88100</v>
      </c>
      <c r="N6" s="3457">
        <v>7329.45</v>
      </c>
      <c r="O6" s="3457">
        <v>0</v>
      </c>
      <c r="P6" s="3457" t="s">
        <v>3445</v>
      </c>
      <c r="Q6" s="3457" t="s">
        <v>3429</v>
      </c>
    </row>
    <row r="7" spans="1:23">
      <c r="A7" s="3457" t="s">
        <v>3446</v>
      </c>
      <c r="B7" s="3457" t="s">
        <v>3381</v>
      </c>
      <c r="C7" s="3457" t="s">
        <v>3424</v>
      </c>
      <c r="D7" s="3457">
        <v>5352.65</v>
      </c>
      <c r="E7" s="3457">
        <v>843</v>
      </c>
      <c r="F7" s="3457" t="s">
        <v>3447</v>
      </c>
      <c r="G7" s="3457" t="s">
        <v>3425</v>
      </c>
      <c r="H7" s="3457" t="s">
        <v>3434</v>
      </c>
      <c r="I7" s="3457">
        <v>0</v>
      </c>
      <c r="J7" s="3457" t="s">
        <v>3448</v>
      </c>
      <c r="K7" s="3457" t="s">
        <v>3448</v>
      </c>
      <c r="L7" s="3457">
        <v>1310</v>
      </c>
      <c r="M7" s="3457">
        <v>1310</v>
      </c>
      <c r="N7" s="3457">
        <v>15539.74</v>
      </c>
      <c r="O7" s="3457">
        <v>0</v>
      </c>
      <c r="P7" s="3457" t="s">
        <v>3436</v>
      </c>
      <c r="Q7" s="3457" t="s">
        <v>3429</v>
      </c>
    </row>
    <row r="8" spans="1:23">
      <c r="A8" s="3457" t="s">
        <v>3449</v>
      </c>
      <c r="B8" s="3457" t="s">
        <v>3381</v>
      </c>
      <c r="C8" s="3457" t="s">
        <v>3424</v>
      </c>
      <c r="D8" s="3457">
        <v>36823.82</v>
      </c>
      <c r="E8" s="3457">
        <v>25187</v>
      </c>
      <c r="F8" s="3457" t="s">
        <v>3450</v>
      </c>
      <c r="G8" s="3457" t="s">
        <v>3425</v>
      </c>
      <c r="H8" s="3457" t="s">
        <v>3426</v>
      </c>
      <c r="I8" s="3457">
        <v>0</v>
      </c>
      <c r="J8" s="3457" t="s">
        <v>3448</v>
      </c>
      <c r="K8" s="3457" t="s">
        <v>3448</v>
      </c>
      <c r="L8" s="3457">
        <v>29500</v>
      </c>
      <c r="M8" s="3457">
        <v>29500</v>
      </c>
      <c r="N8" s="3457">
        <v>11712.39</v>
      </c>
      <c r="O8" s="3457">
        <v>0</v>
      </c>
      <c r="P8" s="3457" t="s">
        <v>3451</v>
      </c>
      <c r="Q8" s="3457" t="s">
        <v>3429</v>
      </c>
    </row>
    <row r="12" spans="1:23">
      <c r="E12" s="3461" t="s">
        <v>3455</v>
      </c>
      <c r="F12" s="3461" t="s">
        <v>3458</v>
      </c>
    </row>
    <row r="13" spans="1:23">
      <c r="E13">
        <v>1</v>
      </c>
      <c r="F13">
        <v>1.2333000000000001</v>
      </c>
    </row>
  </sheetData>
  <phoneticPr fontId="134"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M16" sqref="M16"/>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5"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1" customFormat="1" ht="28.5" customHeight="1" thickBot="1">
      <c r="A1" s="1220" t="s">
        <v>1660</v>
      </c>
      <c r="B1" s="1955" t="s">
        <v>1810</v>
      </c>
      <c r="C1" s="1222" t="s">
        <v>1662</v>
      </c>
      <c r="D1" s="1223" t="s">
        <v>673</v>
      </c>
      <c r="E1" s="3429" t="s">
        <v>3465</v>
      </c>
      <c r="F1" s="1877" t="s">
        <v>3466</v>
      </c>
      <c r="G1" s="1233" t="s">
        <v>1767</v>
      </c>
      <c r="H1" s="1232"/>
      <c r="I1" s="1232"/>
      <c r="J1" s="1232"/>
      <c r="K1" s="1234"/>
      <c r="L1" s="1235"/>
      <c r="M1" s="1236"/>
      <c r="N1" s="1236"/>
      <c r="O1" s="1236"/>
      <c r="P1" s="1222"/>
      <c r="Q1" s="1222"/>
      <c r="R1" s="1222"/>
      <c r="S1" s="1222"/>
      <c r="T1" s="1222"/>
      <c r="U1" s="1222"/>
      <c r="V1" s="1222"/>
      <c r="W1" s="1222"/>
      <c r="X1" s="1222"/>
      <c r="Y1" s="1222"/>
      <c r="Z1" s="1222"/>
      <c r="AA1" s="1222"/>
      <c r="AB1" s="1222"/>
      <c r="AC1" s="1230"/>
    </row>
    <row r="2" spans="1:29" s="352" customFormat="1" ht="28.5" customHeight="1" thickTop="1">
      <c r="A2" s="1219" t="s">
        <v>1462</v>
      </c>
      <c r="B2" s="1163">
        <f>IF(E1="项目模式",IF(C2="——",ROUND(C50*D3/10000,0),ROUND(C50*D3/10000,0)-D2),IF(E1="单套模式",IF(C2="——",ROUND(C50*D3/10000,4),ROUND(C50*D3/10000,4)-D2)))</f>
        <v>28752</v>
      </c>
      <c r="C2" s="1879" t="s">
        <v>43</v>
      </c>
      <c r="D2" s="1114" t="e">
        <f ca="1">IF(E1="项目模式",SUMIF(INDIRECT("'"&amp;F2&amp;"'"&amp;"!A:A"),"承租人权益价值",INDIRECT("'"&amp;F2&amp;"'"&amp;"!c:c")),SUMIF(INDIRECT("'"&amp;F2&amp;"'"&amp;"!A:A"),"承租人权益价值（单套）",INDIRECT("'"&amp;F2&amp;"'"&amp;"!c:c")))</f>
        <v>#REF!</v>
      </c>
      <c r="E2" s="1880" t="s">
        <v>1463</v>
      </c>
      <c r="F2" s="1881"/>
      <c r="G2" s="907"/>
      <c r="H2" s="907"/>
      <c r="I2" s="907"/>
      <c r="J2" s="907"/>
      <c r="K2" s="907"/>
      <c r="L2" s="2731"/>
      <c r="M2" s="2732"/>
      <c r="N2" s="2732"/>
      <c r="O2" s="2732"/>
      <c r="P2" s="698"/>
      <c r="Q2" s="698"/>
      <c r="R2" s="698"/>
      <c r="S2" s="698"/>
      <c r="T2" s="698"/>
      <c r="U2" s="698"/>
      <c r="V2" s="698"/>
      <c r="W2" s="698"/>
      <c r="X2" s="698"/>
      <c r="Y2" s="698"/>
      <c r="Z2" s="698"/>
      <c r="AA2" s="698"/>
      <c r="AB2" s="698"/>
      <c r="AC2" s="699"/>
    </row>
    <row r="3" spans="1:29" s="352" customFormat="1" ht="28.5" customHeight="1" thickBot="1">
      <c r="A3" s="203" t="s">
        <v>1464</v>
      </c>
      <c r="B3" s="558">
        <f>IF(C2="——",C50,ROUND(B2*10000/D3,0))</f>
        <v>14331</v>
      </c>
      <c r="C3" s="354" t="s">
        <v>1768</v>
      </c>
      <c r="D3" s="353">
        <f>IF(D1="",'数据-汇总表'!E3,SUMIF('数据-汇总表'!$C19:$C33,D1,'数据-汇总表'!$E19:$E33))</f>
        <v>20062.899999999998</v>
      </c>
      <c r="E3" s="1952"/>
      <c r="F3" s="908"/>
      <c r="G3" s="907"/>
      <c r="H3" s="907"/>
      <c r="I3" s="907"/>
      <c r="J3" s="907"/>
      <c r="K3" s="909"/>
      <c r="L3" s="2731"/>
      <c r="M3" s="2732"/>
      <c r="N3" s="2732"/>
      <c r="O3" s="2732"/>
      <c r="P3" s="698"/>
      <c r="Q3" s="698"/>
      <c r="R3" s="698"/>
      <c r="S3" s="698"/>
      <c r="T3" s="698"/>
      <c r="U3" s="698"/>
      <c r="V3" s="698"/>
      <c r="W3" s="698"/>
      <c r="X3" s="698"/>
      <c r="Y3" s="698"/>
      <c r="Z3" s="698"/>
      <c r="AA3" s="698"/>
      <c r="AB3" s="698"/>
      <c r="AC3" s="699"/>
    </row>
    <row r="4" spans="1:29" ht="15">
      <c r="A4" s="355" t="s">
        <v>1769</v>
      </c>
      <c r="B4" s="356"/>
      <c r="C4" s="3730" t="s">
        <v>1770</v>
      </c>
      <c r="D4" s="3731"/>
      <c r="E4" s="3732" t="s">
        <v>1771</v>
      </c>
      <c r="F4" s="3733"/>
      <c r="G4" s="3730" t="s">
        <v>1772</v>
      </c>
      <c r="H4" s="3731"/>
      <c r="I4" s="3730" t="s">
        <v>1773</v>
      </c>
      <c r="J4" s="3731"/>
      <c r="K4" s="559" t="s">
        <v>1774</v>
      </c>
      <c r="L4" s="2712"/>
      <c r="M4" s="2713"/>
      <c r="N4" s="2713"/>
      <c r="O4" s="2713"/>
      <c r="P4" s="3859" t="s">
        <v>1775</v>
      </c>
      <c r="Q4" s="3860"/>
      <c r="R4" s="3854" t="s">
        <v>1771</v>
      </c>
      <c r="S4" s="3855"/>
      <c r="T4" s="3854" t="s">
        <v>1772</v>
      </c>
      <c r="U4" s="3855"/>
      <c r="V4" s="3863" t="s">
        <v>1773</v>
      </c>
      <c r="W4" s="3863"/>
      <c r="X4" s="1956"/>
      <c r="Y4" s="3854" t="s">
        <v>1775</v>
      </c>
      <c r="Z4" s="3855"/>
      <c r="AA4" s="3853" t="s">
        <v>1771</v>
      </c>
      <c r="AB4" s="3853" t="s">
        <v>1772</v>
      </c>
      <c r="AC4" s="3856" t="s">
        <v>1773</v>
      </c>
    </row>
    <row r="5" spans="1:29" ht="15">
      <c r="A5" s="358"/>
      <c r="B5" s="359"/>
      <c r="C5" s="3722" t="s">
        <v>1673</v>
      </c>
      <c r="D5" s="3723"/>
      <c r="E5" s="3720" t="s">
        <v>3542</v>
      </c>
      <c r="F5" s="3721"/>
      <c r="G5" s="3726" t="s">
        <v>3543</v>
      </c>
      <c r="H5" s="3723"/>
      <c r="I5" s="3722" t="str">
        <f>G5</f>
        <v>绿地启航国际</v>
      </c>
      <c r="J5" s="3723"/>
      <c r="K5" s="559"/>
      <c r="L5" s="2712"/>
      <c r="M5" s="2713"/>
      <c r="N5" s="2713"/>
      <c r="O5" s="2713"/>
      <c r="P5" s="3861"/>
      <c r="Q5" s="3737"/>
      <c r="R5" s="3718"/>
      <c r="S5" s="3719"/>
      <c r="T5" s="3718"/>
      <c r="U5" s="3719"/>
      <c r="V5" s="3713"/>
      <c r="W5" s="3713"/>
      <c r="X5" s="1353"/>
      <c r="Y5" s="3718"/>
      <c r="Z5" s="3719"/>
      <c r="AA5" s="3711"/>
      <c r="AB5" s="3711"/>
      <c r="AC5" s="3857"/>
    </row>
    <row r="6" spans="1:29" ht="15.75" thickBot="1">
      <c r="A6" s="360"/>
      <c r="B6" s="361"/>
      <c r="C6" s="3724" t="s">
        <v>1677</v>
      </c>
      <c r="D6" s="3725"/>
      <c r="E6" s="3727" t="s">
        <v>1677</v>
      </c>
      <c r="F6" s="3728"/>
      <c r="G6" s="3724" t="s">
        <v>1677</v>
      </c>
      <c r="H6" s="3725"/>
      <c r="I6" s="3724" t="s">
        <v>1677</v>
      </c>
      <c r="J6" s="3725"/>
      <c r="K6" s="559" t="s">
        <v>1678</v>
      </c>
      <c r="L6" s="2712"/>
      <c r="M6" s="2713"/>
      <c r="N6" s="2713"/>
      <c r="O6" s="2713"/>
      <c r="P6" s="3862"/>
      <c r="Q6" s="3739"/>
      <c r="R6" s="3718"/>
      <c r="S6" s="3719"/>
      <c r="T6" s="3740"/>
      <c r="U6" s="3741"/>
      <c r="V6" s="3713"/>
      <c r="W6" s="3713"/>
      <c r="X6" s="1353"/>
      <c r="Y6" s="3740"/>
      <c r="Z6" s="3741"/>
      <c r="AA6" s="3712"/>
      <c r="AB6" s="3712"/>
      <c r="AC6" s="3858"/>
    </row>
    <row r="7" spans="1:29" s="108" customFormat="1" ht="15.75" thickBot="1">
      <c r="A7" s="362" t="s">
        <v>1679</v>
      </c>
      <c r="B7" s="363"/>
      <c r="C7" s="364">
        <f>'数据-取费表'!B2</f>
        <v>45068</v>
      </c>
      <c r="D7" s="365">
        <v>100</v>
      </c>
      <c r="E7" s="366">
        <f>C7</f>
        <v>45068</v>
      </c>
      <c r="F7" s="367">
        <f>SUMIF(59:59,YEAR(E7)&amp;"-"&amp;MONTH(E7),60:60)</f>
        <v>100</v>
      </c>
      <c r="G7" s="366">
        <f>C7</f>
        <v>45068</v>
      </c>
      <c r="H7" s="365">
        <f>SUMIF(59:59,YEAR(G7)&amp;"-"&amp;MONTH(G7),60:60)</f>
        <v>100</v>
      </c>
      <c r="I7" s="366">
        <f>C7</f>
        <v>45068</v>
      </c>
      <c r="J7" s="365">
        <f>SUMIF(59:59,YEAR(I7)&amp;"-"&amp;MONTH(I7),60:60)</f>
        <v>100</v>
      </c>
      <c r="K7" s="560"/>
      <c r="L7" s="2714"/>
      <c r="M7" s="2715"/>
      <c r="N7" s="2715"/>
      <c r="O7" s="2715"/>
      <c r="P7" s="3864" t="s">
        <v>1680</v>
      </c>
      <c r="Q7" s="3742"/>
      <c r="R7" s="700" t="s">
        <v>14</v>
      </c>
      <c r="S7" s="701">
        <f t="shared" ref="S7:S15" si="0">F7</f>
        <v>100</v>
      </c>
      <c r="T7" s="700" t="s">
        <v>14</v>
      </c>
      <c r="U7" s="701">
        <f t="shared" ref="U7:U15" si="1">H7</f>
        <v>100</v>
      </c>
      <c r="V7" s="700" t="s">
        <v>14</v>
      </c>
      <c r="W7" s="701">
        <f t="shared" ref="W7:W15" si="2">J7</f>
        <v>100</v>
      </c>
      <c r="X7" s="702"/>
      <c r="Y7" s="3714" t="s">
        <v>1680</v>
      </c>
      <c r="Z7" s="3715"/>
      <c r="AA7" s="703">
        <f>D7/F7</f>
        <v>1</v>
      </c>
      <c r="AB7" s="703">
        <f>D7/H7</f>
        <v>1</v>
      </c>
      <c r="AC7" s="1957">
        <f>D7/J7</f>
        <v>1</v>
      </c>
    </row>
    <row r="8" spans="1:29" s="108" customFormat="1" ht="15.75" thickBot="1">
      <c r="A8" s="362" t="s">
        <v>1681</v>
      </c>
      <c r="B8" s="363"/>
      <c r="C8" s="3460" t="s">
        <v>3541</v>
      </c>
      <c r="D8" s="365">
        <v>100</v>
      </c>
      <c r="E8" s="3460" t="s">
        <v>3541</v>
      </c>
      <c r="F8" s="367">
        <f>SUMIF(62:62,E8,63:63)-SUMIF(62:62,C8,63:63)+100</f>
        <v>100</v>
      </c>
      <c r="G8" s="3460" t="s">
        <v>3541</v>
      </c>
      <c r="H8" s="365">
        <f>SUMIF(62:62,G8,63:63)-SUMIF(62:62,C8,63:63)+100</f>
        <v>100</v>
      </c>
      <c r="I8" s="3460" t="s">
        <v>3541</v>
      </c>
      <c r="J8" s="365">
        <f>SUMIF(62:62,I8,63:63)-SUMIF(62:62,C8,63:63)+100</f>
        <v>100</v>
      </c>
      <c r="K8" s="560"/>
      <c r="L8" s="2714"/>
      <c r="M8" s="2715"/>
      <c r="N8" s="2715"/>
      <c r="O8" s="2715"/>
      <c r="P8" s="3864" t="s">
        <v>1683</v>
      </c>
      <c r="Q8" s="3715"/>
      <c r="R8" s="700" t="s">
        <v>14</v>
      </c>
      <c r="S8" s="701">
        <f t="shared" si="0"/>
        <v>100</v>
      </c>
      <c r="T8" s="700" t="s">
        <v>14</v>
      </c>
      <c r="U8" s="701">
        <f t="shared" si="1"/>
        <v>100</v>
      </c>
      <c r="V8" s="700" t="s">
        <v>14</v>
      </c>
      <c r="W8" s="701">
        <f t="shared" si="2"/>
        <v>100</v>
      </c>
      <c r="X8" s="702"/>
      <c r="Y8" s="3714" t="s">
        <v>1683</v>
      </c>
      <c r="Z8" s="3715"/>
      <c r="AA8" s="703">
        <f t="shared" ref="AA8:AA47" si="3">D8/F8</f>
        <v>1</v>
      </c>
      <c r="AB8" s="703">
        <f t="shared" ref="AB8:AB47" si="4">D8/H8</f>
        <v>1</v>
      </c>
      <c r="AC8" s="1957">
        <f t="shared" ref="AC8:AC47" si="5">D8/J8</f>
        <v>1</v>
      </c>
    </row>
    <row r="9" spans="1:29" s="108" customFormat="1" ht="15">
      <c r="A9" s="369" t="s">
        <v>1684</v>
      </c>
      <c r="B9" s="63" t="s">
        <v>1685</v>
      </c>
      <c r="C9" s="3493" t="s">
        <v>3544</v>
      </c>
      <c r="D9" s="126">
        <v>100</v>
      </c>
      <c r="E9" s="3508" t="s">
        <v>3545</v>
      </c>
      <c r="F9" s="126">
        <f>SUMIF(64:64,E9,65:65)-SUMIF(64:64,C9,65:65)+100</f>
        <v>85</v>
      </c>
      <c r="G9" s="3494" t="s">
        <v>3546</v>
      </c>
      <c r="H9" s="126">
        <f>SUMIF(64:64,G9,65:65)-SUMIF(64:64,C9,65:65)+100</f>
        <v>85</v>
      </c>
      <c r="I9" s="3494" t="s">
        <v>3545</v>
      </c>
      <c r="J9" s="126">
        <f>SUMIF(64:64,I9,65:65)-SUMIF(64:64,C9,65:65)+100</f>
        <v>85</v>
      </c>
      <c r="K9" s="560"/>
      <c r="L9" s="2714"/>
      <c r="M9" s="2715"/>
      <c r="N9" s="2715"/>
      <c r="O9" s="2715"/>
      <c r="P9" s="3729" t="s">
        <v>1686</v>
      </c>
      <c r="Q9" s="1341" t="str">
        <f t="shared" ref="Q9:Q15" si="6">B9</f>
        <v>用途</v>
      </c>
      <c r="R9" s="700" t="s">
        <v>14</v>
      </c>
      <c r="S9" s="701">
        <f t="shared" si="0"/>
        <v>85</v>
      </c>
      <c r="T9" s="700" t="s">
        <v>14</v>
      </c>
      <c r="U9" s="701">
        <f t="shared" si="1"/>
        <v>85</v>
      </c>
      <c r="V9" s="700" t="s">
        <v>14</v>
      </c>
      <c r="W9" s="701">
        <f t="shared" si="2"/>
        <v>85</v>
      </c>
      <c r="X9" s="702"/>
      <c r="Y9" s="3686" t="s">
        <v>1687</v>
      </c>
      <c r="Z9" s="52" t="str">
        <f t="shared" ref="Z9:Z15" si="7">Q9</f>
        <v>用途</v>
      </c>
      <c r="AA9" s="703">
        <f t="shared" si="3"/>
        <v>1.1764705882352942</v>
      </c>
      <c r="AB9" s="703">
        <f t="shared" si="4"/>
        <v>1.1764705882352942</v>
      </c>
      <c r="AC9" s="1957">
        <f t="shared" si="5"/>
        <v>1.1764705882352942</v>
      </c>
    </row>
    <row r="10" spans="1:29" s="378" customFormat="1" ht="27">
      <c r="A10" s="374"/>
      <c r="B10" s="375" t="s">
        <v>1688</v>
      </c>
      <c r="C10" s="3514" t="s">
        <v>3559</v>
      </c>
      <c r="D10" s="127">
        <v>100</v>
      </c>
      <c r="E10" s="3430" t="s">
        <v>3557</v>
      </c>
      <c r="F10" s="127">
        <f>SUMIF(66:66,E10,67:67)-SUMIF(66:66,C10,67:67)+100</f>
        <v>104</v>
      </c>
      <c r="G10" s="3431" t="s">
        <v>3557</v>
      </c>
      <c r="H10" s="127">
        <f>SUMIF(66:66,G10,67:67)-SUMIF(66:66,C10,67:67)+100</f>
        <v>104</v>
      </c>
      <c r="I10" s="3430" t="s">
        <v>3557</v>
      </c>
      <c r="J10" s="127">
        <f>SUMIF(66:66,I10,67:67)-SUMIF(66:66,C10,67:67)+100</f>
        <v>104</v>
      </c>
      <c r="K10" s="560"/>
      <c r="L10" s="2716"/>
      <c r="M10" s="2717"/>
      <c r="N10" s="2717"/>
      <c r="O10" s="2717"/>
      <c r="P10" s="3729"/>
      <c r="Q10" s="1341" t="str">
        <f t="shared" si="6"/>
        <v>土地使用年限（年）</v>
      </c>
      <c r="R10" s="700" t="s">
        <v>14</v>
      </c>
      <c r="S10" s="701">
        <f t="shared" si="0"/>
        <v>104</v>
      </c>
      <c r="T10" s="700" t="s">
        <v>14</v>
      </c>
      <c r="U10" s="701">
        <f t="shared" si="1"/>
        <v>104</v>
      </c>
      <c r="V10" s="700" t="s">
        <v>14</v>
      </c>
      <c r="W10" s="701">
        <f t="shared" si="2"/>
        <v>104</v>
      </c>
      <c r="X10" s="702"/>
      <c r="Y10" s="3686"/>
      <c r="Z10" s="52" t="str">
        <f t="shared" si="7"/>
        <v>土地使用年限（年）</v>
      </c>
      <c r="AA10" s="703">
        <f t="shared" si="3"/>
        <v>0.96153846153846156</v>
      </c>
      <c r="AB10" s="703">
        <f t="shared" si="4"/>
        <v>0.96153846153846156</v>
      </c>
      <c r="AC10" s="1957">
        <f t="shared" si="5"/>
        <v>0.96153846153846156</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18"/>
      <c r="M11" s="2713"/>
      <c r="N11" s="2713"/>
      <c r="O11" s="2713"/>
      <c r="P11" s="3729"/>
      <c r="Q11" s="1341" t="str">
        <f t="shared" si="6"/>
        <v>容积率</v>
      </c>
      <c r="R11" s="700" t="s">
        <v>14</v>
      </c>
      <c r="S11" s="701">
        <f t="shared" si="0"/>
        <v>100</v>
      </c>
      <c r="T11" s="700" t="s">
        <v>14</v>
      </c>
      <c r="U11" s="701">
        <f t="shared" si="1"/>
        <v>100</v>
      </c>
      <c r="V11" s="700" t="s">
        <v>14</v>
      </c>
      <c r="W11" s="701">
        <f t="shared" si="2"/>
        <v>100</v>
      </c>
      <c r="X11" s="702"/>
      <c r="Y11" s="3686"/>
      <c r="Z11" s="52" t="str">
        <f t="shared" si="7"/>
        <v>容积率</v>
      </c>
      <c r="AA11" s="703">
        <f t="shared" si="3"/>
        <v>1</v>
      </c>
      <c r="AB11" s="703">
        <f t="shared" si="4"/>
        <v>1</v>
      </c>
      <c r="AC11" s="1957">
        <f t="shared" si="5"/>
        <v>1</v>
      </c>
    </row>
    <row r="12" spans="1:29" s="108" customFormat="1" ht="15">
      <c r="A12" s="382"/>
      <c r="B12" s="1891">
        <v>111</v>
      </c>
      <c r="C12" s="383"/>
      <c r="D12" s="384">
        <v>100</v>
      </c>
      <c r="E12" s="383"/>
      <c r="F12" s="127">
        <f>SUMIF(71:71,E12,72:72)-SUMIF(71:71,C12,72:72)+100</f>
        <v>100</v>
      </c>
      <c r="G12" s="1958"/>
      <c r="H12" s="127">
        <f>SUMIF(71:71,G12,72:72)-SUMIF(71:71,C12,72:72)+100</f>
        <v>100</v>
      </c>
      <c r="I12" s="383"/>
      <c r="J12" s="127">
        <f>SUMIF(71:71,I12,72:72)-SUMIF(71:71,C12,72:72)+100</f>
        <v>100</v>
      </c>
      <c r="K12" s="562"/>
      <c r="L12" s="2714"/>
      <c r="M12" s="2715"/>
      <c r="N12" s="2715"/>
      <c r="O12" s="2715"/>
      <c r="P12" s="3729"/>
      <c r="Q12" s="1341">
        <f t="shared" si="6"/>
        <v>111</v>
      </c>
      <c r="R12" s="700" t="s">
        <v>14</v>
      </c>
      <c r="S12" s="701">
        <f t="shared" si="0"/>
        <v>100</v>
      </c>
      <c r="T12" s="700" t="s">
        <v>14</v>
      </c>
      <c r="U12" s="701">
        <f t="shared" si="1"/>
        <v>100</v>
      </c>
      <c r="V12" s="700" t="s">
        <v>14</v>
      </c>
      <c r="W12" s="701">
        <f t="shared" si="2"/>
        <v>100</v>
      </c>
      <c r="X12" s="702"/>
      <c r="Y12" s="3686"/>
      <c r="Z12" s="52">
        <f t="shared" si="7"/>
        <v>111</v>
      </c>
      <c r="AA12" s="703">
        <f>D12/F12</f>
        <v>1</v>
      </c>
      <c r="AB12" s="703">
        <f>D12/H12</f>
        <v>1</v>
      </c>
      <c r="AC12" s="1957">
        <f>D12/J12</f>
        <v>1</v>
      </c>
    </row>
    <row r="13" spans="1:29" ht="15">
      <c r="A13" s="379"/>
      <c r="B13" s="1891">
        <v>111</v>
      </c>
      <c r="C13" s="385"/>
      <c r="D13" s="386">
        <v>100</v>
      </c>
      <c r="E13" s="383"/>
      <c r="F13" s="127">
        <f>SUMIF(73:73,E13,74:74)-SUMIF(73:73,C13,74:74)+100</f>
        <v>100</v>
      </c>
      <c r="G13" s="1958"/>
      <c r="H13" s="386">
        <f>SUMIF(73:73,G13,74:74)-SUMIF(73:73,C13,74:74)+100</f>
        <v>100</v>
      </c>
      <c r="I13" s="383"/>
      <c r="J13" s="386">
        <f>SUMIF(73:73,I13,74:74)-SUMIF(73:73,C13,74:74)+100</f>
        <v>100</v>
      </c>
      <c r="K13" s="562"/>
      <c r="L13" s="2719"/>
      <c r="M13" s="2713"/>
      <c r="N13" s="2713"/>
      <c r="O13" s="2713"/>
      <c r="P13" s="3729"/>
      <c r="Q13" s="1341">
        <f t="shared" si="6"/>
        <v>111</v>
      </c>
      <c r="R13" s="700" t="s">
        <v>14</v>
      </c>
      <c r="S13" s="701">
        <f t="shared" si="0"/>
        <v>100</v>
      </c>
      <c r="T13" s="700" t="s">
        <v>14</v>
      </c>
      <c r="U13" s="701">
        <f t="shared" si="1"/>
        <v>100</v>
      </c>
      <c r="V13" s="700" t="s">
        <v>14</v>
      </c>
      <c r="W13" s="701">
        <f t="shared" si="2"/>
        <v>100</v>
      </c>
      <c r="X13" s="702"/>
      <c r="Y13" s="3686"/>
      <c r="Z13" s="52">
        <f t="shared" si="7"/>
        <v>111</v>
      </c>
      <c r="AA13" s="703">
        <f t="shared" si="3"/>
        <v>1</v>
      </c>
      <c r="AB13" s="703">
        <f t="shared" si="4"/>
        <v>1</v>
      </c>
      <c r="AC13" s="1957">
        <f t="shared" si="5"/>
        <v>1</v>
      </c>
    </row>
    <row r="14" spans="1:29" ht="15.75" thickBot="1">
      <c r="A14" s="387"/>
      <c r="B14" s="1893">
        <v>111</v>
      </c>
      <c r="C14" s="388"/>
      <c r="D14" s="389">
        <v>100</v>
      </c>
      <c r="E14" s="576"/>
      <c r="F14" s="389">
        <f>SUMIF(75:75,E14,76:76)-SUMIF(75:75,C14,76:76)+100</f>
        <v>100</v>
      </c>
      <c r="G14" s="1958"/>
      <c r="H14" s="389">
        <f>SUMIF(75:75,G14,76:76)-SUMIF(75:75,C14,76:76)+100</f>
        <v>100</v>
      </c>
      <c r="I14" s="383"/>
      <c r="J14" s="389">
        <f>SUMIF(75:75,I14,76:76)-SUMIF(75:75,C14,76:76)+100</f>
        <v>100</v>
      </c>
      <c r="K14" s="562"/>
      <c r="L14" s="2719"/>
      <c r="M14" s="2713"/>
      <c r="N14" s="2713"/>
      <c r="O14" s="2713"/>
      <c r="P14" s="3729"/>
      <c r="Q14" s="1341">
        <f t="shared" si="6"/>
        <v>111</v>
      </c>
      <c r="R14" s="700" t="s">
        <v>14</v>
      </c>
      <c r="S14" s="701">
        <f t="shared" si="0"/>
        <v>100</v>
      </c>
      <c r="T14" s="700" t="s">
        <v>14</v>
      </c>
      <c r="U14" s="701">
        <f t="shared" si="1"/>
        <v>100</v>
      </c>
      <c r="V14" s="700" t="s">
        <v>14</v>
      </c>
      <c r="W14" s="701">
        <f t="shared" si="2"/>
        <v>100</v>
      </c>
      <c r="X14" s="702"/>
      <c r="Y14" s="3686"/>
      <c r="Z14" s="52">
        <f t="shared" si="7"/>
        <v>111</v>
      </c>
      <c r="AA14" s="703">
        <f t="shared" si="3"/>
        <v>1</v>
      </c>
      <c r="AB14" s="703">
        <f t="shared" si="4"/>
        <v>1</v>
      </c>
      <c r="AC14" s="1957">
        <f t="shared" si="5"/>
        <v>1</v>
      </c>
    </row>
    <row r="15" spans="1:29" ht="71.25">
      <c r="A15" s="391" t="s">
        <v>1690</v>
      </c>
      <c r="B15" s="577" t="s">
        <v>1811</v>
      </c>
      <c r="C15" s="1959" t="str">
        <f>估价对象房地状况!C5</f>
        <v>估价对象位于XX商圈，周边办公楼项目较多，入驻率高，办公集聚程度较好</v>
      </c>
      <c r="D15" s="392">
        <v>100</v>
      </c>
      <c r="E15" s="395"/>
      <c r="F15" s="392">
        <f>SUMIF(77:77,E16,78:78)-SUMIF(77:77,C16,78:78)+100</f>
        <v>102</v>
      </c>
      <c r="G15" s="393"/>
      <c r="H15" s="392">
        <f>SUMIF(77:77,G16,78:78)-SUMIF(77:77,C16,78:78)+100</f>
        <v>102</v>
      </c>
      <c r="I15" s="393"/>
      <c r="J15" s="392">
        <f>SUMIF(77:77,I16,78:78)-SUMIF(77:77,C16,78:78)+100</f>
        <v>102</v>
      </c>
      <c r="K15" s="563">
        <v>2</v>
      </c>
      <c r="L15" s="2719"/>
      <c r="M15" s="2713"/>
      <c r="N15" s="2713"/>
      <c r="O15" s="2713"/>
      <c r="P15" s="3743" t="s">
        <v>1691</v>
      </c>
      <c r="Q15" s="1350" t="str">
        <f t="shared" si="6"/>
        <v>办公集聚程度</v>
      </c>
      <c r="R15" s="704" t="s">
        <v>14</v>
      </c>
      <c r="S15" s="705">
        <f t="shared" si="0"/>
        <v>102</v>
      </c>
      <c r="T15" s="704" t="s">
        <v>14</v>
      </c>
      <c r="U15" s="705">
        <f t="shared" si="1"/>
        <v>102</v>
      </c>
      <c r="V15" s="704" t="s">
        <v>14</v>
      </c>
      <c r="W15" s="705">
        <f t="shared" si="2"/>
        <v>102</v>
      </c>
      <c r="X15" s="1353"/>
      <c r="Y15" s="3745" t="s">
        <v>1691</v>
      </c>
      <c r="Z15" s="1354" t="str">
        <f t="shared" si="7"/>
        <v>办公集聚程度</v>
      </c>
      <c r="AA15" s="1351">
        <f t="shared" si="3"/>
        <v>0.98039215686274506</v>
      </c>
      <c r="AB15" s="1351">
        <f t="shared" si="4"/>
        <v>0.98039215686274506</v>
      </c>
      <c r="AC15" s="1960">
        <f t="shared" si="5"/>
        <v>0.98039215686274506</v>
      </c>
    </row>
    <row r="16" spans="1:29" ht="15">
      <c r="A16" s="379"/>
      <c r="B16" s="578"/>
      <c r="C16" s="3469" t="s">
        <v>3547</v>
      </c>
      <c r="D16" s="399"/>
      <c r="E16" s="3465" t="s">
        <v>3548</v>
      </c>
      <c r="F16" s="399"/>
      <c r="G16" s="3469" t="s">
        <v>3548</v>
      </c>
      <c r="H16" s="401"/>
      <c r="I16" s="3465" t="s">
        <v>3548</v>
      </c>
      <c r="J16" s="399"/>
      <c r="K16" s="564"/>
      <c r="L16" s="2719"/>
      <c r="M16" s="2713"/>
      <c r="N16" s="2713"/>
      <c r="O16" s="2713"/>
      <c r="P16" s="3744"/>
      <c r="Q16" s="1350"/>
      <c r="R16" s="704"/>
      <c r="S16" s="705"/>
      <c r="T16" s="704"/>
      <c r="U16" s="705"/>
      <c r="V16" s="704"/>
      <c r="W16" s="705"/>
      <c r="X16" s="1353"/>
      <c r="Y16" s="3746"/>
      <c r="Z16" s="1354"/>
      <c r="AA16" s="1351">
        <v>1</v>
      </c>
      <c r="AB16" s="1351">
        <v>1</v>
      </c>
      <c r="AC16" s="1960">
        <v>1</v>
      </c>
    </row>
    <row r="17" spans="1:29" ht="71.25">
      <c r="A17" s="379"/>
      <c r="B17" s="579" t="s">
        <v>1259</v>
      </c>
      <c r="C17" s="1961" t="str">
        <f>估价对象房地状况!C6</f>
        <v>估价对象周边道路状况、公共交通通达情况、停车便捷程度，综合评价交通便捷度较好</v>
      </c>
      <c r="D17" s="401">
        <v>100</v>
      </c>
      <c r="E17" s="405"/>
      <c r="F17" s="401">
        <f>SUMIF(79:79,E18,80:80)-SUMIF(79:79,C18,80:80)+100</f>
        <v>102</v>
      </c>
      <c r="G17" s="403"/>
      <c r="H17" s="406">
        <f>SUMIF(79:79,G18,80:80)-SUMIF(79:79,C18,80:80)+100</f>
        <v>102</v>
      </c>
      <c r="I17" s="403"/>
      <c r="J17" s="406">
        <f>SUMIF(79:79,I18,80:80)-SUMIF(79:79,C18,80:80)+100</f>
        <v>102</v>
      </c>
      <c r="K17" s="563">
        <v>2</v>
      </c>
      <c r="L17" s="2719"/>
      <c r="M17" s="2713"/>
      <c r="N17" s="2713"/>
      <c r="O17" s="2713"/>
      <c r="P17" s="3744"/>
      <c r="Q17" s="1350" t="str">
        <f>B17</f>
        <v>交通便捷度</v>
      </c>
      <c r="R17" s="704" t="s">
        <v>14</v>
      </c>
      <c r="S17" s="705">
        <f>F17</f>
        <v>102</v>
      </c>
      <c r="T17" s="704" t="s">
        <v>14</v>
      </c>
      <c r="U17" s="705">
        <f>H17</f>
        <v>102</v>
      </c>
      <c r="V17" s="704" t="s">
        <v>14</v>
      </c>
      <c r="W17" s="705">
        <f>J17</f>
        <v>102</v>
      </c>
      <c r="X17" s="1353"/>
      <c r="Y17" s="3746"/>
      <c r="Z17" s="1354" t="str">
        <f>Q17</f>
        <v>交通便捷度</v>
      </c>
      <c r="AA17" s="1351">
        <f t="shared" si="3"/>
        <v>0.98039215686274506</v>
      </c>
      <c r="AB17" s="1351">
        <f t="shared" si="4"/>
        <v>0.98039215686274506</v>
      </c>
      <c r="AC17" s="1960">
        <f t="shared" si="5"/>
        <v>0.98039215686274506</v>
      </c>
    </row>
    <row r="18" spans="1:29" ht="15">
      <c r="A18" s="379"/>
      <c r="B18" s="580"/>
      <c r="C18" s="3517" t="s">
        <v>3547</v>
      </c>
      <c r="D18" s="401"/>
      <c r="E18" s="3464" t="s">
        <v>3548</v>
      </c>
      <c r="F18" s="401"/>
      <c r="G18" s="3463" t="s">
        <v>3548</v>
      </c>
      <c r="H18" s="399"/>
      <c r="I18" s="3463" t="s">
        <v>3548</v>
      </c>
      <c r="J18" s="399"/>
      <c r="K18" s="564"/>
      <c r="L18" s="2719"/>
      <c r="M18" s="2713"/>
      <c r="N18" s="2713"/>
      <c r="O18" s="2713"/>
      <c r="P18" s="3744"/>
      <c r="Q18" s="1350"/>
      <c r="R18" s="704"/>
      <c r="S18" s="705"/>
      <c r="T18" s="704"/>
      <c r="U18" s="705"/>
      <c r="V18" s="704"/>
      <c r="W18" s="705"/>
      <c r="X18" s="1353"/>
      <c r="Y18" s="3746"/>
      <c r="Z18" s="1354"/>
      <c r="AA18" s="1351">
        <v>1</v>
      </c>
      <c r="AB18" s="1351">
        <v>1</v>
      </c>
      <c r="AC18" s="1960">
        <v>1</v>
      </c>
    </row>
    <row r="19" spans="1:29" ht="42.75">
      <c r="A19" s="379"/>
      <c r="B19" s="579" t="s">
        <v>1812</v>
      </c>
      <c r="C19" s="1961"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v>2</v>
      </c>
      <c r="L19" s="2719"/>
      <c r="M19" s="2713"/>
      <c r="N19" s="2713"/>
      <c r="O19" s="2713"/>
      <c r="P19" s="3744"/>
      <c r="Q19" s="1350" t="str">
        <f>B19</f>
        <v>公共配套设施</v>
      </c>
      <c r="R19" s="704" t="s">
        <v>14</v>
      </c>
      <c r="S19" s="705">
        <f>F19</f>
        <v>100</v>
      </c>
      <c r="T19" s="704" t="s">
        <v>14</v>
      </c>
      <c r="U19" s="705">
        <f>H19</f>
        <v>100</v>
      </c>
      <c r="V19" s="704" t="s">
        <v>14</v>
      </c>
      <c r="W19" s="705">
        <f>J19</f>
        <v>100</v>
      </c>
      <c r="X19" s="1353"/>
      <c r="Y19" s="3746"/>
      <c r="Z19" s="1354" t="str">
        <f>Q19</f>
        <v>公共配套设施</v>
      </c>
      <c r="AA19" s="1351">
        <f t="shared" si="3"/>
        <v>1</v>
      </c>
      <c r="AB19" s="1351">
        <f t="shared" si="4"/>
        <v>1</v>
      </c>
      <c r="AC19" s="1960">
        <f t="shared" si="5"/>
        <v>1</v>
      </c>
    </row>
    <row r="20" spans="1:29" ht="15">
      <c r="A20" s="379"/>
      <c r="B20" s="580"/>
      <c r="C20" s="3469" t="s">
        <v>3548</v>
      </c>
      <c r="D20" s="399"/>
      <c r="E20" s="3467" t="s">
        <v>3548</v>
      </c>
      <c r="F20" s="399"/>
      <c r="G20" s="3466" t="s">
        <v>3548</v>
      </c>
      <c r="H20" s="399"/>
      <c r="I20" s="3466" t="s">
        <v>3548</v>
      </c>
      <c r="J20" s="399"/>
      <c r="K20" s="564"/>
      <c r="L20" s="2719"/>
      <c r="M20" s="2713"/>
      <c r="N20" s="2713"/>
      <c r="O20" s="2713"/>
      <c r="P20" s="3744"/>
      <c r="Q20" s="1350"/>
      <c r="R20" s="704"/>
      <c r="S20" s="705"/>
      <c r="T20" s="704"/>
      <c r="U20" s="705"/>
      <c r="V20" s="704"/>
      <c r="W20" s="705"/>
      <c r="X20" s="1353"/>
      <c r="Y20" s="3746"/>
      <c r="Z20" s="1354"/>
      <c r="AA20" s="1351">
        <v>1</v>
      </c>
      <c r="AB20" s="1351">
        <v>1</v>
      </c>
      <c r="AC20" s="1960">
        <v>1</v>
      </c>
    </row>
    <row r="21" spans="1:29" ht="28.5">
      <c r="A21" s="379"/>
      <c r="B21" s="581" t="s">
        <v>1813</v>
      </c>
      <c r="C21" s="1961"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v>2</v>
      </c>
      <c r="L21" s="2719"/>
      <c r="M21" s="2713"/>
      <c r="N21" s="2713"/>
      <c r="O21" s="2713"/>
      <c r="P21" s="3744"/>
      <c r="Q21" s="1350" t="str">
        <f>B21</f>
        <v>基础设施水平</v>
      </c>
      <c r="R21" s="704" t="s">
        <v>14</v>
      </c>
      <c r="S21" s="705">
        <f>F21</f>
        <v>100</v>
      </c>
      <c r="T21" s="704" t="s">
        <v>14</v>
      </c>
      <c r="U21" s="705">
        <f>H21</f>
        <v>100</v>
      </c>
      <c r="V21" s="704" t="s">
        <v>14</v>
      </c>
      <c r="W21" s="705">
        <f>J21</f>
        <v>100</v>
      </c>
      <c r="X21" s="1353"/>
      <c r="Y21" s="3746"/>
      <c r="Z21" s="1354" t="str">
        <f>Q21</f>
        <v>基础设施水平</v>
      </c>
      <c r="AA21" s="1351">
        <f t="shared" ref="AA21" si="8">D21/F21</f>
        <v>1</v>
      </c>
      <c r="AB21" s="1351">
        <f t="shared" ref="AB21" si="9">D21/H21</f>
        <v>1</v>
      </c>
      <c r="AC21" s="1960">
        <f t="shared" ref="AC21" si="10">D21/J21</f>
        <v>1</v>
      </c>
    </row>
    <row r="22" spans="1:29" ht="15">
      <c r="A22" s="379"/>
      <c r="B22" s="581"/>
      <c r="C22" s="3517" t="s">
        <v>3566</v>
      </c>
      <c r="D22" s="399"/>
      <c r="E22" s="3465" t="s">
        <v>3566</v>
      </c>
      <c r="F22" s="399"/>
      <c r="G22" s="3469" t="s">
        <v>3567</v>
      </c>
      <c r="H22" s="399"/>
      <c r="I22" s="3469" t="s">
        <v>3567</v>
      </c>
      <c r="J22" s="399"/>
      <c r="K22" s="1129"/>
      <c r="L22" s="2719"/>
      <c r="M22" s="2713"/>
      <c r="N22" s="2713"/>
      <c r="O22" s="2713"/>
      <c r="P22" s="3744"/>
      <c r="Q22" s="1350"/>
      <c r="R22" s="704"/>
      <c r="S22" s="705"/>
      <c r="T22" s="704"/>
      <c r="U22" s="705"/>
      <c r="V22" s="704"/>
      <c r="W22" s="705"/>
      <c r="X22" s="1353"/>
      <c r="Y22" s="3746"/>
      <c r="Z22" s="1354"/>
      <c r="AA22" s="1351">
        <v>1</v>
      </c>
      <c r="AB22" s="1351">
        <v>1</v>
      </c>
      <c r="AC22" s="1960">
        <v>1</v>
      </c>
    </row>
    <row r="23" spans="1:29" ht="42.75">
      <c r="A23" s="379"/>
      <c r="B23" s="579" t="s">
        <v>1814</v>
      </c>
      <c r="C23" s="1961"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v>2</v>
      </c>
      <c r="L23" s="2719"/>
      <c r="M23" s="2713"/>
      <c r="N23" s="2713"/>
      <c r="O23" s="2713"/>
      <c r="P23" s="3744"/>
      <c r="Q23" s="1350" t="str">
        <f>B23</f>
        <v>环境质量</v>
      </c>
      <c r="R23" s="704" t="s">
        <v>14</v>
      </c>
      <c r="S23" s="705">
        <f>F23</f>
        <v>100</v>
      </c>
      <c r="T23" s="704" t="s">
        <v>14</v>
      </c>
      <c r="U23" s="705">
        <f>H23</f>
        <v>100</v>
      </c>
      <c r="V23" s="704" t="s">
        <v>14</v>
      </c>
      <c r="W23" s="705">
        <f>J23</f>
        <v>100</v>
      </c>
      <c r="X23" s="1353"/>
      <c r="Y23" s="3746"/>
      <c r="Z23" s="1354" t="str">
        <f>Q23</f>
        <v>环境质量</v>
      </c>
      <c r="AA23" s="1351">
        <f t="shared" si="3"/>
        <v>1</v>
      </c>
      <c r="AB23" s="1351">
        <f t="shared" si="4"/>
        <v>1</v>
      </c>
      <c r="AC23" s="1960">
        <f t="shared" si="5"/>
        <v>1</v>
      </c>
    </row>
    <row r="24" spans="1:29" ht="15">
      <c r="A24" s="379"/>
      <c r="B24" s="581"/>
      <c r="C24" s="1902"/>
      <c r="D24" s="399"/>
      <c r="E24" s="1895"/>
      <c r="F24" s="399"/>
      <c r="G24" s="1896"/>
      <c r="H24" s="399"/>
      <c r="I24" s="1896"/>
      <c r="J24" s="399"/>
      <c r="K24" s="564"/>
      <c r="L24" s="2719"/>
      <c r="M24" s="2713"/>
      <c r="N24" s="2713"/>
      <c r="O24" s="2713"/>
      <c r="P24" s="3744"/>
      <c r="Q24" s="1350"/>
      <c r="R24" s="704"/>
      <c r="S24" s="705"/>
      <c r="T24" s="704"/>
      <c r="U24" s="705"/>
      <c r="V24" s="704"/>
      <c r="W24" s="705"/>
      <c r="X24" s="1353"/>
      <c r="Y24" s="3746"/>
      <c r="Z24" s="1354"/>
      <c r="AA24" s="1351">
        <v>1</v>
      </c>
      <c r="AB24" s="1351">
        <v>1</v>
      </c>
      <c r="AC24" s="1960">
        <v>1</v>
      </c>
    </row>
    <row r="25" spans="1:29" ht="27">
      <c r="A25" s="358"/>
      <c r="B25" s="579" t="s">
        <v>1815</v>
      </c>
      <c r="C25" s="1906"/>
      <c r="D25" s="386">
        <v>100</v>
      </c>
      <c r="E25" s="385"/>
      <c r="F25" s="386">
        <f>SUMIF(87:87,E26,88:88)-SUMIF(87:87,C26,88:88)+100</f>
        <v>98</v>
      </c>
      <c r="G25" s="1906"/>
      <c r="H25" s="386">
        <f>SUMIF(87:87,G26,88:88)-SUMIF(87:87,C26,88:88)+100</f>
        <v>98</v>
      </c>
      <c r="I25" s="385"/>
      <c r="J25" s="386">
        <f>SUMIF(87:87,I26,88:88)-SUMIF(87:87,C26,88:88)+100</f>
        <v>98</v>
      </c>
      <c r="K25" s="563">
        <v>2</v>
      </c>
      <c r="L25" s="2719"/>
      <c r="M25" s="2713"/>
      <c r="N25" s="2713"/>
      <c r="O25" s="2713"/>
      <c r="P25" s="3744"/>
      <c r="Q25" s="1350" t="str">
        <f>B25</f>
        <v>毗邻道路的类型与等级</v>
      </c>
      <c r="R25" s="704" t="s">
        <v>14</v>
      </c>
      <c r="S25" s="705">
        <f>F25</f>
        <v>98</v>
      </c>
      <c r="T25" s="704" t="s">
        <v>14</v>
      </c>
      <c r="U25" s="705">
        <f>H25</f>
        <v>98</v>
      </c>
      <c r="V25" s="704" t="s">
        <v>14</v>
      </c>
      <c r="W25" s="705">
        <f>J25</f>
        <v>98</v>
      </c>
      <c r="X25" s="1353"/>
      <c r="Y25" s="3746"/>
      <c r="Z25" s="1354" t="str">
        <f>Q25</f>
        <v>毗邻道路的类型与等级</v>
      </c>
      <c r="AA25" s="1351">
        <f t="shared" si="3"/>
        <v>1.0204081632653061</v>
      </c>
      <c r="AB25" s="1351">
        <f t="shared" si="4"/>
        <v>1.0204081632653061</v>
      </c>
      <c r="AC25" s="1960">
        <f t="shared" si="5"/>
        <v>1.0204081632653061</v>
      </c>
    </row>
    <row r="26" spans="1:29" ht="15">
      <c r="A26" s="358"/>
      <c r="B26" s="580"/>
      <c r="C26" s="3515" t="s">
        <v>3561</v>
      </c>
      <c r="D26" s="386"/>
      <c r="E26" s="3468" t="s">
        <v>3562</v>
      </c>
      <c r="F26" s="386"/>
      <c r="G26" s="3515" t="s">
        <v>3562</v>
      </c>
      <c r="H26" s="386"/>
      <c r="I26" s="3468" t="s">
        <v>3562</v>
      </c>
      <c r="J26" s="386"/>
      <c r="K26" s="564"/>
      <c r="L26" s="2719"/>
      <c r="M26" s="2713"/>
      <c r="N26" s="2713"/>
      <c r="O26" s="2713"/>
      <c r="P26" s="3744"/>
      <c r="Q26" s="1350"/>
      <c r="R26" s="704"/>
      <c r="S26" s="705"/>
      <c r="T26" s="704"/>
      <c r="U26" s="705"/>
      <c r="V26" s="704"/>
      <c r="W26" s="705"/>
      <c r="X26" s="1353"/>
      <c r="Y26" s="3746"/>
      <c r="Z26" s="1354"/>
      <c r="AA26" s="1351">
        <v>1</v>
      </c>
      <c r="AB26" s="1351">
        <v>1</v>
      </c>
      <c r="AC26" s="1960">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19"/>
      <c r="M27" s="2713"/>
      <c r="N27" s="2713"/>
      <c r="O27" s="2713"/>
      <c r="P27" s="3744"/>
      <c r="Q27" s="1350" t="str">
        <f t="shared" ref="Q27:Q47" si="11">B27</f>
        <v>楼层</v>
      </c>
      <c r="R27" s="704" t="s">
        <v>14</v>
      </c>
      <c r="S27" s="705">
        <f>F27</f>
        <v>100</v>
      </c>
      <c r="T27" s="704" t="s">
        <v>14</v>
      </c>
      <c r="U27" s="705">
        <f>H27</f>
        <v>100</v>
      </c>
      <c r="V27" s="704" t="s">
        <v>14</v>
      </c>
      <c r="W27" s="705">
        <f>J27</f>
        <v>100</v>
      </c>
      <c r="X27" s="1353"/>
      <c r="Y27" s="3746"/>
      <c r="Z27" s="1354" t="str">
        <f>Q27</f>
        <v>楼层</v>
      </c>
      <c r="AA27" s="1351">
        <f t="shared" si="3"/>
        <v>1</v>
      </c>
      <c r="AB27" s="1351">
        <f t="shared" si="4"/>
        <v>1</v>
      </c>
      <c r="AC27" s="1960">
        <f t="shared" si="5"/>
        <v>1</v>
      </c>
    </row>
    <row r="28" spans="1:29" s="108" customFormat="1" ht="15">
      <c r="A28" s="382"/>
      <c r="B28" s="579" t="s">
        <v>1816</v>
      </c>
      <c r="C28" s="1962"/>
      <c r="D28" s="413">
        <v>100</v>
      </c>
      <c r="E28" s="1954"/>
      <c r="F28" s="413">
        <f>SUMIF(91:91,E28,92:92)-SUMIF(91:91,C28,92:92)+100</f>
        <v>100</v>
      </c>
      <c r="G28" s="1962"/>
      <c r="H28" s="413">
        <f>SUMIF(91:91,G28,92:92)-SUMIF(91:91,C28,92:92)+100</f>
        <v>100</v>
      </c>
      <c r="I28" s="1954"/>
      <c r="J28" s="413">
        <f>SUMIF(91:91,I28,92:92)-SUMIF(91:91,C28,92:92)+100</f>
        <v>100</v>
      </c>
      <c r="K28" s="561"/>
      <c r="L28" s="2714"/>
      <c r="M28" s="2715"/>
      <c r="N28" s="2715"/>
      <c r="O28" s="2715"/>
      <c r="P28" s="3744"/>
      <c r="Q28" s="1341" t="str">
        <f t="shared" si="11"/>
        <v>朝向</v>
      </c>
      <c r="R28" s="700" t="s">
        <v>14</v>
      </c>
      <c r="S28" s="701">
        <f>F28</f>
        <v>100</v>
      </c>
      <c r="T28" s="700" t="s">
        <v>14</v>
      </c>
      <c r="U28" s="701">
        <f>H28</f>
        <v>100</v>
      </c>
      <c r="V28" s="700" t="s">
        <v>14</v>
      </c>
      <c r="W28" s="701">
        <f>J28</f>
        <v>100</v>
      </c>
      <c r="X28" s="702"/>
      <c r="Y28" s="3746"/>
      <c r="Z28" s="52" t="str">
        <f>Q28</f>
        <v>朝向</v>
      </c>
      <c r="AA28" s="1351">
        <f>D28/F28</f>
        <v>1</v>
      </c>
      <c r="AB28" s="1351">
        <f>D28/H28</f>
        <v>1</v>
      </c>
      <c r="AC28" s="1960">
        <f>D28/J28</f>
        <v>1</v>
      </c>
    </row>
    <row r="29" spans="1:29" ht="15">
      <c r="A29" s="379"/>
      <c r="B29" s="1963">
        <v>111</v>
      </c>
      <c r="C29" s="1906"/>
      <c r="D29" s="386">
        <v>100</v>
      </c>
      <c r="E29" s="383"/>
      <c r="F29" s="386">
        <f>SUMIF(93:93,E29,94:94)-SUMIF(93:93,C29,94:94)+100</f>
        <v>100</v>
      </c>
      <c r="G29" s="1958"/>
      <c r="H29" s="386">
        <f>SUMIF(93:93,G29,94:94)-SUMIF(93:93,C29,94:94)+100</f>
        <v>100</v>
      </c>
      <c r="I29" s="383"/>
      <c r="J29" s="386">
        <f>SUMIF(93:93,I29,94:94)-SUMIF(93:93,C29,94:94)+100</f>
        <v>100</v>
      </c>
      <c r="K29" s="562"/>
      <c r="L29" s="2719"/>
      <c r="M29" s="2713"/>
      <c r="N29" s="2713"/>
      <c r="O29" s="2713"/>
      <c r="P29" s="3744"/>
      <c r="Q29" s="1350">
        <f t="shared" si="11"/>
        <v>111</v>
      </c>
      <c r="R29" s="704" t="s">
        <v>14</v>
      </c>
      <c r="S29" s="705">
        <f t="shared" ref="S29:S47" si="12">F29</f>
        <v>100</v>
      </c>
      <c r="T29" s="704" t="s">
        <v>14</v>
      </c>
      <c r="U29" s="705">
        <f t="shared" ref="U29:U47" si="13">H29</f>
        <v>100</v>
      </c>
      <c r="V29" s="704" t="s">
        <v>14</v>
      </c>
      <c r="W29" s="705">
        <f t="shared" ref="W29:W47" si="14">J29</f>
        <v>100</v>
      </c>
      <c r="X29" s="1353"/>
      <c r="Y29" s="3746"/>
      <c r="Z29" s="1354">
        <f t="shared" ref="Z29:Z47" si="15">Q29</f>
        <v>111</v>
      </c>
      <c r="AA29" s="1351">
        <f t="shared" si="3"/>
        <v>1</v>
      </c>
      <c r="AB29" s="1351">
        <f t="shared" si="4"/>
        <v>1</v>
      </c>
      <c r="AC29" s="1960">
        <f t="shared" si="5"/>
        <v>1</v>
      </c>
    </row>
    <row r="30" spans="1:29" ht="15">
      <c r="A30" s="379"/>
      <c r="B30" s="1963">
        <v>111</v>
      </c>
      <c r="C30" s="1906"/>
      <c r="D30" s="386">
        <v>100</v>
      </c>
      <c r="E30" s="383"/>
      <c r="F30" s="386">
        <f>SUMIF(95:95,E30,96:96)-SUMIF(95:95,C30,96:96)+100</f>
        <v>100</v>
      </c>
      <c r="G30" s="1958"/>
      <c r="H30" s="386">
        <f>SUMIF(95:95,G30,96:96)-SUMIF(95:95,C30,96:96)+100</f>
        <v>100</v>
      </c>
      <c r="I30" s="383"/>
      <c r="J30" s="386">
        <f>SUMIF(95:95,I30,96:96)-SUMIF(95:95,C30,96:96)+100</f>
        <v>100</v>
      </c>
      <c r="K30" s="562"/>
      <c r="L30" s="2719"/>
      <c r="M30" s="2713"/>
      <c r="N30" s="2713"/>
      <c r="O30" s="2713"/>
      <c r="P30" s="3744"/>
      <c r="Q30" s="1350">
        <f t="shared" si="11"/>
        <v>111</v>
      </c>
      <c r="R30" s="704" t="s">
        <v>14</v>
      </c>
      <c r="S30" s="705">
        <f t="shared" si="12"/>
        <v>100</v>
      </c>
      <c r="T30" s="704" t="s">
        <v>14</v>
      </c>
      <c r="U30" s="705">
        <f t="shared" si="13"/>
        <v>100</v>
      </c>
      <c r="V30" s="704" t="s">
        <v>14</v>
      </c>
      <c r="W30" s="705">
        <f t="shared" si="14"/>
        <v>100</v>
      </c>
      <c r="X30" s="1353"/>
      <c r="Y30" s="3746"/>
      <c r="Z30" s="1354">
        <f t="shared" si="15"/>
        <v>111</v>
      </c>
      <c r="AA30" s="1351">
        <f t="shared" si="3"/>
        <v>1</v>
      </c>
      <c r="AB30" s="1351">
        <f t="shared" si="4"/>
        <v>1</v>
      </c>
      <c r="AC30" s="1960">
        <f t="shared" si="5"/>
        <v>1</v>
      </c>
    </row>
    <row r="31" spans="1:29" ht="15">
      <c r="A31" s="379"/>
      <c r="B31" s="1963">
        <v>111</v>
      </c>
      <c r="C31" s="1906"/>
      <c r="D31" s="386">
        <v>100</v>
      </c>
      <c r="E31" s="383"/>
      <c r="F31" s="386">
        <f>SUMIF(97:97,E31,98:98)-SUMIF(97:97,C31,98:98)+100</f>
        <v>100</v>
      </c>
      <c r="G31" s="1958"/>
      <c r="H31" s="386">
        <f>SUMIF(97:97,G31,98:98)-SUMIF(97:97,C31,98:98)+100</f>
        <v>100</v>
      </c>
      <c r="I31" s="383"/>
      <c r="J31" s="386">
        <f>SUMIF(97:97,I31,98:98)-SUMIF(97:97,C31,98:98)+100</f>
        <v>100</v>
      </c>
      <c r="K31" s="562"/>
      <c r="L31" s="2719"/>
      <c r="M31" s="2713"/>
      <c r="N31" s="2713"/>
      <c r="O31" s="2713"/>
      <c r="P31" s="3744"/>
      <c r="Q31" s="1350">
        <f t="shared" si="11"/>
        <v>111</v>
      </c>
      <c r="R31" s="704" t="s">
        <v>14</v>
      </c>
      <c r="S31" s="705">
        <f t="shared" si="12"/>
        <v>100</v>
      </c>
      <c r="T31" s="704" t="s">
        <v>14</v>
      </c>
      <c r="U31" s="705">
        <f t="shared" si="13"/>
        <v>100</v>
      </c>
      <c r="V31" s="704" t="s">
        <v>14</v>
      </c>
      <c r="W31" s="705">
        <f t="shared" si="14"/>
        <v>100</v>
      </c>
      <c r="X31" s="1353"/>
      <c r="Y31" s="3746"/>
      <c r="Z31" s="1354">
        <f t="shared" si="15"/>
        <v>111</v>
      </c>
      <c r="AA31" s="1351">
        <f t="shared" si="3"/>
        <v>1</v>
      </c>
      <c r="AB31" s="1351">
        <f t="shared" si="4"/>
        <v>1</v>
      </c>
      <c r="AC31" s="1960">
        <f t="shared" si="5"/>
        <v>1</v>
      </c>
    </row>
    <row r="32" spans="1:29" ht="15.75" thickBot="1">
      <c r="A32" s="387"/>
      <c r="B32" s="583">
        <v>111</v>
      </c>
      <c r="C32" s="1907"/>
      <c r="D32" s="389">
        <v>100</v>
      </c>
      <c r="E32" s="576"/>
      <c r="F32" s="389">
        <f>SUMIF(99:99,E32,100:100)-SUMIF(99:99,C32,100:100)+100</f>
        <v>100</v>
      </c>
      <c r="G32" s="1958"/>
      <c r="H32" s="389">
        <f>SUMIF(99:99,G32,100:100)-SUMIF(99:99,C32,100:100)+100</f>
        <v>100</v>
      </c>
      <c r="I32" s="383"/>
      <c r="J32" s="389">
        <f>SUMIF(99:99,I32,100:100)-SUMIF(99:99,C32,100:100)+100</f>
        <v>100</v>
      </c>
      <c r="K32" s="562"/>
      <c r="L32" s="2719"/>
      <c r="M32" s="2713"/>
      <c r="N32" s="2713"/>
      <c r="O32" s="2713"/>
      <c r="P32" s="3744"/>
      <c r="Q32" s="1350">
        <f t="shared" si="11"/>
        <v>111</v>
      </c>
      <c r="R32" s="704" t="s">
        <v>14</v>
      </c>
      <c r="S32" s="705">
        <f t="shared" si="12"/>
        <v>100</v>
      </c>
      <c r="T32" s="704" t="s">
        <v>14</v>
      </c>
      <c r="U32" s="705">
        <f t="shared" si="13"/>
        <v>100</v>
      </c>
      <c r="V32" s="704" t="s">
        <v>14</v>
      </c>
      <c r="W32" s="705">
        <f t="shared" si="14"/>
        <v>100</v>
      </c>
      <c r="X32" s="1353"/>
      <c r="Y32" s="3746"/>
      <c r="Z32" s="1354">
        <f t="shared" si="15"/>
        <v>111</v>
      </c>
      <c r="AA32" s="1351">
        <f t="shared" si="3"/>
        <v>1</v>
      </c>
      <c r="AB32" s="1351">
        <f t="shared" si="4"/>
        <v>1</v>
      </c>
      <c r="AC32" s="1960">
        <f t="shared" si="5"/>
        <v>1</v>
      </c>
    </row>
    <row r="33" spans="1:29" ht="15">
      <c r="A33" s="391" t="s">
        <v>1694</v>
      </c>
      <c r="B33" s="63" t="s">
        <v>1817</v>
      </c>
      <c r="C33" s="3516" t="s">
        <v>3563</v>
      </c>
      <c r="D33" s="418">
        <v>100</v>
      </c>
      <c r="E33" s="3516" t="s">
        <v>3564</v>
      </c>
      <c r="F33" s="412">
        <f>SUMIF(101:101,E33,102:102)-SUMIF(101:101,C33,102:102)+100</f>
        <v>95</v>
      </c>
      <c r="G33" s="3516" t="s">
        <v>3564</v>
      </c>
      <c r="H33" s="386">
        <f>SUMIF(101:101,G33,102:102)-SUMIF(101:101,C33,102:102)+100</f>
        <v>95</v>
      </c>
      <c r="I33" s="3516" t="s">
        <v>3564</v>
      </c>
      <c r="J33" s="418">
        <f>SUMIF(101:101,I33,102:102)-SUMIF(101:101,C33,102:102)+100</f>
        <v>95</v>
      </c>
      <c r="K33" s="561">
        <v>5</v>
      </c>
      <c r="L33" s="2719"/>
      <c r="M33" s="2713"/>
      <c r="N33" s="2713"/>
      <c r="O33" s="2713"/>
      <c r="P33" s="3747" t="s">
        <v>1696</v>
      </c>
      <c r="Q33" s="1350" t="str">
        <f t="shared" si="11"/>
        <v>建筑类型</v>
      </c>
      <c r="R33" s="704" t="s">
        <v>14</v>
      </c>
      <c r="S33" s="705">
        <f t="shared" si="12"/>
        <v>95</v>
      </c>
      <c r="T33" s="704" t="s">
        <v>14</v>
      </c>
      <c r="U33" s="705">
        <f t="shared" si="13"/>
        <v>95</v>
      </c>
      <c r="V33" s="704" t="s">
        <v>14</v>
      </c>
      <c r="W33" s="705">
        <f t="shared" si="14"/>
        <v>95</v>
      </c>
      <c r="X33" s="1353"/>
      <c r="Y33" s="3750" t="s">
        <v>1696</v>
      </c>
      <c r="Z33" s="1354" t="str">
        <f t="shared" si="15"/>
        <v>建筑类型</v>
      </c>
      <c r="AA33" s="1351">
        <f t="shared" si="3"/>
        <v>1.0526315789473684</v>
      </c>
      <c r="AB33" s="1351">
        <f t="shared" si="4"/>
        <v>1.0526315789473684</v>
      </c>
      <c r="AC33" s="1960">
        <f t="shared" si="5"/>
        <v>1.0526315789473684</v>
      </c>
    </row>
    <row r="34" spans="1:29" s="422" customFormat="1" ht="15">
      <c r="A34" s="419"/>
      <c r="B34" s="375" t="s">
        <v>1697</v>
      </c>
      <c r="C34" s="420">
        <f>'数据-汇总表'!F19</f>
        <v>17193.62</v>
      </c>
      <c r="D34" s="127">
        <v>100</v>
      </c>
      <c r="E34" s="381">
        <v>91</v>
      </c>
      <c r="F34" s="376">
        <f>LOOKUP(E34,104:104,105:105)-LOOKUP(C34,104:104,105:105)+100</f>
        <v>100</v>
      </c>
      <c r="G34" s="380">
        <v>256</v>
      </c>
      <c r="H34" s="127">
        <f>LOOKUP(G34,104:104,105:105)-LOOKUP(C34,104:104,105:105)+100</f>
        <v>100</v>
      </c>
      <c r="I34" s="380">
        <v>65</v>
      </c>
      <c r="J34" s="127">
        <f>LOOKUP(I34,104:104,105:105)-LOOKUP(C34,104:104,105:105)+100</f>
        <v>100</v>
      </c>
      <c r="K34" s="562"/>
      <c r="L34" s="2718"/>
      <c r="M34" s="2720"/>
      <c r="N34" s="2720"/>
      <c r="O34" s="2720"/>
      <c r="P34" s="3748"/>
      <c r="Q34" s="706" t="str">
        <f t="shared" si="11"/>
        <v>项目建筑规模</v>
      </c>
      <c r="R34" s="707" t="s">
        <v>14</v>
      </c>
      <c r="S34" s="708">
        <f t="shared" si="12"/>
        <v>100</v>
      </c>
      <c r="T34" s="707" t="s">
        <v>14</v>
      </c>
      <c r="U34" s="708">
        <f t="shared" si="13"/>
        <v>100</v>
      </c>
      <c r="V34" s="707" t="s">
        <v>14</v>
      </c>
      <c r="W34" s="708">
        <f t="shared" si="14"/>
        <v>100</v>
      </c>
      <c r="X34" s="709"/>
      <c r="Y34" s="3750"/>
      <c r="Z34" s="710" t="str">
        <f t="shared" si="15"/>
        <v>项目建筑规模</v>
      </c>
      <c r="AA34" s="1351">
        <f t="shared" si="3"/>
        <v>1</v>
      </c>
      <c r="AB34" s="1351">
        <f t="shared" si="4"/>
        <v>1</v>
      </c>
      <c r="AC34" s="1960">
        <f t="shared" si="5"/>
        <v>1</v>
      </c>
    </row>
    <row r="35" spans="1:29" ht="15">
      <c r="A35" s="423"/>
      <c r="B35" s="375" t="s">
        <v>1698</v>
      </c>
      <c r="C35" s="3512" t="s">
        <v>3565</v>
      </c>
      <c r="D35" s="386">
        <v>100</v>
      </c>
      <c r="E35" s="3512" t="s">
        <v>3565</v>
      </c>
      <c r="F35" s="412">
        <f>SUMIF(106:106,E35,107:107)-SUMIF(106:106,C35,107:107)+100</f>
        <v>100</v>
      </c>
      <c r="G35" s="3512" t="s">
        <v>3565</v>
      </c>
      <c r="H35" s="386">
        <f>SUMIF(106:106,G35,107:107)-SUMIF(106:106,C35,107:107)+100</f>
        <v>100</v>
      </c>
      <c r="I35" s="3512" t="s">
        <v>3565</v>
      </c>
      <c r="J35" s="386">
        <f>SUMIF(106:106,I35,107:107)-SUMIF(106:106,C35,107:107)+100</f>
        <v>100</v>
      </c>
      <c r="K35" s="561"/>
      <c r="L35" s="2719"/>
      <c r="M35" s="2713"/>
      <c r="N35" s="2713"/>
      <c r="O35" s="2713"/>
      <c r="P35" s="3748"/>
      <c r="Q35" s="1350" t="str">
        <f t="shared" si="11"/>
        <v>建筑结构</v>
      </c>
      <c r="R35" s="704" t="s">
        <v>14</v>
      </c>
      <c r="S35" s="705">
        <f t="shared" si="12"/>
        <v>100</v>
      </c>
      <c r="T35" s="704" t="s">
        <v>14</v>
      </c>
      <c r="U35" s="705">
        <f t="shared" si="13"/>
        <v>100</v>
      </c>
      <c r="V35" s="704" t="s">
        <v>14</v>
      </c>
      <c r="W35" s="705">
        <f t="shared" si="14"/>
        <v>100</v>
      </c>
      <c r="X35" s="1353"/>
      <c r="Y35" s="3750"/>
      <c r="Z35" s="1354" t="str">
        <f t="shared" si="15"/>
        <v>建筑结构</v>
      </c>
      <c r="AA35" s="1351">
        <f t="shared" si="3"/>
        <v>1</v>
      </c>
      <c r="AB35" s="1351">
        <f t="shared" si="4"/>
        <v>1</v>
      </c>
      <c r="AC35" s="1960">
        <f t="shared" si="5"/>
        <v>1</v>
      </c>
    </row>
    <row r="36" spans="1:29" ht="15">
      <c r="A36" s="423"/>
      <c r="B36" s="375" t="s">
        <v>1785</v>
      </c>
      <c r="C36" s="3512" t="s">
        <v>3552</v>
      </c>
      <c r="D36" s="386">
        <v>100</v>
      </c>
      <c r="E36" s="3512" t="s">
        <v>3552</v>
      </c>
      <c r="F36" s="412">
        <f>SUMIF(108:108,E36,109:109)-SUMIF(108:108,C36,109:109)+100</f>
        <v>100</v>
      </c>
      <c r="G36" s="3512" t="s">
        <v>3552</v>
      </c>
      <c r="H36" s="386">
        <f>SUMIF(108:108,G36,109:109)-SUMIF(108:108,C36,109:109)+100</f>
        <v>100</v>
      </c>
      <c r="I36" s="3512" t="s">
        <v>3552</v>
      </c>
      <c r="J36" s="386">
        <f>SUMIF(108:108,I36,109:109)-SUMIF(108:108,C36,109:109)+100</f>
        <v>100</v>
      </c>
      <c r="K36" s="561"/>
      <c r="L36" s="2719"/>
      <c r="M36" s="2713"/>
      <c r="N36" s="2713"/>
      <c r="O36" s="2713"/>
      <c r="P36" s="3748"/>
      <c r="Q36" s="1350" t="str">
        <f t="shared" si="11"/>
        <v>公共部分装修</v>
      </c>
      <c r="R36" s="704" t="s">
        <v>14</v>
      </c>
      <c r="S36" s="705">
        <f t="shared" si="12"/>
        <v>100</v>
      </c>
      <c r="T36" s="704" t="s">
        <v>14</v>
      </c>
      <c r="U36" s="705">
        <f t="shared" si="13"/>
        <v>100</v>
      </c>
      <c r="V36" s="704" t="s">
        <v>14</v>
      </c>
      <c r="W36" s="705">
        <f t="shared" si="14"/>
        <v>100</v>
      </c>
      <c r="X36" s="1353"/>
      <c r="Y36" s="3750"/>
      <c r="Z36" s="1354" t="str">
        <f t="shared" si="15"/>
        <v>公共部分装修</v>
      </c>
      <c r="AA36" s="1351">
        <f t="shared" si="3"/>
        <v>1</v>
      </c>
      <c r="AB36" s="1351">
        <f t="shared" si="4"/>
        <v>1</v>
      </c>
      <c r="AC36" s="1960">
        <f t="shared" si="5"/>
        <v>1</v>
      </c>
    </row>
    <row r="37" spans="1:29" ht="15">
      <c r="A37" s="423"/>
      <c r="B37" s="375" t="s">
        <v>1786</v>
      </c>
      <c r="C37" s="425">
        <v>0.75</v>
      </c>
      <c r="D37" s="386">
        <v>100</v>
      </c>
      <c r="E37" s="425">
        <f>ROUND(1-(2023-E51)/60,2)</f>
        <v>0.8</v>
      </c>
      <c r="F37" s="412">
        <f>LOOKUP(E37,111:111,112:112)-LOOKUP(C37,111:111,112:112)+100</f>
        <v>101</v>
      </c>
      <c r="G37" s="425">
        <f>ROUND(1-(2023-G51)/60,2)</f>
        <v>0.87</v>
      </c>
      <c r="H37" s="412">
        <f>LOOKUP(G37,111:111,112:112)-LOOKUP(C37,111:111,112:112)+100</f>
        <v>101</v>
      </c>
      <c r="I37" s="425">
        <f>ROUND(1-(2023-I51)/60,2)</f>
        <v>0.87</v>
      </c>
      <c r="J37" s="386">
        <f>LOOKUP(I37,111:111,112:112)-LOOKUP(C37,111:111,112:112)+100</f>
        <v>101</v>
      </c>
      <c r="K37" s="561">
        <v>1</v>
      </c>
      <c r="L37" s="2719"/>
      <c r="M37" s="2713"/>
      <c r="N37" s="2713"/>
      <c r="O37" s="2713"/>
      <c r="P37" s="3748"/>
      <c r="Q37" s="1350" t="str">
        <f t="shared" si="11"/>
        <v>成新度</v>
      </c>
      <c r="R37" s="704" t="s">
        <v>14</v>
      </c>
      <c r="S37" s="705">
        <f t="shared" si="12"/>
        <v>101</v>
      </c>
      <c r="T37" s="704" t="s">
        <v>14</v>
      </c>
      <c r="U37" s="705">
        <f t="shared" si="13"/>
        <v>101</v>
      </c>
      <c r="V37" s="704" t="s">
        <v>14</v>
      </c>
      <c r="W37" s="705">
        <f t="shared" si="14"/>
        <v>101</v>
      </c>
      <c r="X37" s="1353"/>
      <c r="Y37" s="3750"/>
      <c r="Z37" s="1354" t="str">
        <f t="shared" si="15"/>
        <v>成新度</v>
      </c>
      <c r="AA37" s="1351">
        <f t="shared" si="3"/>
        <v>0.99009900990099009</v>
      </c>
      <c r="AB37" s="1351">
        <f t="shared" si="4"/>
        <v>0.99009900990099009</v>
      </c>
      <c r="AC37" s="1960">
        <f t="shared" si="5"/>
        <v>0.99009900990099009</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4"/>
      <c r="M38" s="2715"/>
      <c r="N38" s="2715"/>
      <c r="O38" s="2715"/>
      <c r="P38" s="3748"/>
      <c r="Q38" s="1341" t="str">
        <f t="shared" si="11"/>
        <v>写字楼等级</v>
      </c>
      <c r="R38" s="700" t="s">
        <v>14</v>
      </c>
      <c r="S38" s="701">
        <f t="shared" si="12"/>
        <v>100</v>
      </c>
      <c r="T38" s="700" t="s">
        <v>14</v>
      </c>
      <c r="U38" s="701">
        <f t="shared" si="13"/>
        <v>100</v>
      </c>
      <c r="V38" s="700" t="s">
        <v>14</v>
      </c>
      <c r="W38" s="701">
        <f t="shared" si="14"/>
        <v>100</v>
      </c>
      <c r="X38" s="702"/>
      <c r="Y38" s="3750"/>
      <c r="Z38" s="52" t="str">
        <f t="shared" si="15"/>
        <v>写字楼等级</v>
      </c>
      <c r="AA38" s="703">
        <f t="shared" si="3"/>
        <v>1</v>
      </c>
      <c r="AB38" s="703">
        <f t="shared" si="4"/>
        <v>1</v>
      </c>
      <c r="AC38" s="1957">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19"/>
      <c r="M39" s="2713"/>
      <c r="N39" s="2713"/>
      <c r="O39" s="2713"/>
      <c r="P39" s="3748" t="s">
        <v>1696</v>
      </c>
      <c r="Q39" s="1350" t="str">
        <f t="shared" si="11"/>
        <v>物业管理</v>
      </c>
      <c r="R39" s="704" t="s">
        <v>14</v>
      </c>
      <c r="S39" s="705">
        <f t="shared" si="12"/>
        <v>100</v>
      </c>
      <c r="T39" s="704" t="s">
        <v>14</v>
      </c>
      <c r="U39" s="705">
        <f t="shared" si="13"/>
        <v>100</v>
      </c>
      <c r="V39" s="704" t="s">
        <v>14</v>
      </c>
      <c r="W39" s="705">
        <f t="shared" si="14"/>
        <v>100</v>
      </c>
      <c r="X39" s="1353"/>
      <c r="Y39" s="3750" t="s">
        <v>1696</v>
      </c>
      <c r="Z39" s="1354" t="str">
        <f t="shared" si="15"/>
        <v>物业管理</v>
      </c>
      <c r="AA39" s="1351">
        <f t="shared" si="3"/>
        <v>1</v>
      </c>
      <c r="AB39" s="1351">
        <f t="shared" si="4"/>
        <v>1</v>
      </c>
      <c r="AC39" s="1960">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19"/>
      <c r="M40" s="2713"/>
      <c r="N40" s="2713"/>
      <c r="O40" s="2713"/>
      <c r="P40" s="3748"/>
      <c r="Q40" s="1350" t="str">
        <f t="shared" si="11"/>
        <v>市政基础设施</v>
      </c>
      <c r="R40" s="704" t="s">
        <v>14</v>
      </c>
      <c r="S40" s="705">
        <f t="shared" si="12"/>
        <v>100</v>
      </c>
      <c r="T40" s="704" t="s">
        <v>14</v>
      </c>
      <c r="U40" s="705">
        <f t="shared" si="13"/>
        <v>100</v>
      </c>
      <c r="V40" s="704" t="s">
        <v>14</v>
      </c>
      <c r="W40" s="705">
        <f t="shared" si="14"/>
        <v>100</v>
      </c>
      <c r="X40" s="1353"/>
      <c r="Y40" s="3750"/>
      <c r="Z40" s="1354" t="str">
        <f t="shared" si="15"/>
        <v>市政基础设施</v>
      </c>
      <c r="AA40" s="1351">
        <f t="shared" si="3"/>
        <v>1</v>
      </c>
      <c r="AB40" s="1351">
        <f t="shared" si="4"/>
        <v>1</v>
      </c>
      <c r="AC40" s="1960">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19"/>
      <c r="M41" s="2713"/>
      <c r="N41" s="2713"/>
      <c r="O41" s="2713"/>
      <c r="P41" s="3748"/>
      <c r="Q41" s="1350" t="str">
        <f t="shared" si="11"/>
        <v>层高</v>
      </c>
      <c r="R41" s="704" t="s">
        <v>14</v>
      </c>
      <c r="S41" s="705">
        <f t="shared" si="12"/>
        <v>100</v>
      </c>
      <c r="T41" s="704" t="s">
        <v>14</v>
      </c>
      <c r="U41" s="705">
        <f t="shared" si="13"/>
        <v>100</v>
      </c>
      <c r="V41" s="704" t="s">
        <v>14</v>
      </c>
      <c r="W41" s="705">
        <f t="shared" si="14"/>
        <v>100</v>
      </c>
      <c r="X41" s="1353"/>
      <c r="Y41" s="3750"/>
      <c r="Z41" s="1354" t="str">
        <f t="shared" si="15"/>
        <v>层高</v>
      </c>
      <c r="AA41" s="1351">
        <f t="shared" si="3"/>
        <v>1</v>
      </c>
      <c r="AB41" s="1351">
        <f t="shared" si="4"/>
        <v>1</v>
      </c>
      <c r="AC41" s="1960">
        <f t="shared" si="5"/>
        <v>1</v>
      </c>
    </row>
    <row r="42" spans="1:29" s="422" customFormat="1" ht="15">
      <c r="A42" s="419"/>
      <c r="B42" s="1352"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18"/>
      <c r="M42" s="2720"/>
      <c r="N42" s="2720"/>
      <c r="O42" s="2720"/>
      <c r="P42" s="3748"/>
      <c r="Q42" s="706" t="str">
        <f t="shared" si="11"/>
        <v>单套建筑面积</v>
      </c>
      <c r="R42" s="707" t="s">
        <v>14</v>
      </c>
      <c r="S42" s="708">
        <f t="shared" si="12"/>
        <v>100</v>
      </c>
      <c r="T42" s="707" t="s">
        <v>14</v>
      </c>
      <c r="U42" s="708">
        <f t="shared" si="13"/>
        <v>100</v>
      </c>
      <c r="V42" s="707" t="s">
        <v>14</v>
      </c>
      <c r="W42" s="708">
        <f t="shared" si="14"/>
        <v>100</v>
      </c>
      <c r="X42" s="709"/>
      <c r="Y42" s="3750"/>
      <c r="Z42" s="710" t="str">
        <f t="shared" si="15"/>
        <v>单套建筑面积</v>
      </c>
      <c r="AA42" s="1351">
        <f t="shared" si="3"/>
        <v>1</v>
      </c>
      <c r="AB42" s="1351">
        <f t="shared" si="4"/>
        <v>1</v>
      </c>
      <c r="AC42" s="1960">
        <f t="shared" si="5"/>
        <v>1</v>
      </c>
    </row>
    <row r="43" spans="1:29" ht="15">
      <c r="A43" s="423"/>
      <c r="B43" s="375" t="s">
        <v>1792</v>
      </c>
      <c r="C43" s="3512" t="s">
        <v>3552</v>
      </c>
      <c r="D43" s="386">
        <v>100</v>
      </c>
      <c r="E43" s="3512" t="s">
        <v>3553</v>
      </c>
      <c r="F43" s="412">
        <f>SUMIF(123:123,E43,124:124)-SUMIF(123:123,C43,124:124)+100</f>
        <v>94</v>
      </c>
      <c r="G43" s="3512" t="s">
        <v>3553</v>
      </c>
      <c r="H43" s="386">
        <f>SUMIF(123:123,G43,124:124)-SUMIF(123:123,C43,124:124)+100</f>
        <v>94</v>
      </c>
      <c r="I43" s="3512" t="s">
        <v>3553</v>
      </c>
      <c r="J43" s="386">
        <f>SUMIF(123:123,I43,124:124)-SUMIF(123:123,C43,124:124)+100</f>
        <v>94</v>
      </c>
      <c r="K43" s="561">
        <v>3</v>
      </c>
      <c r="L43" s="2719"/>
      <c r="M43" s="2713"/>
      <c r="N43" s="2713"/>
      <c r="O43" s="2713"/>
      <c r="P43" s="3748"/>
      <c r="Q43" s="1350" t="str">
        <f t="shared" si="11"/>
        <v>内部装修</v>
      </c>
      <c r="R43" s="704" t="s">
        <v>14</v>
      </c>
      <c r="S43" s="705">
        <f t="shared" si="12"/>
        <v>94</v>
      </c>
      <c r="T43" s="704" t="s">
        <v>14</v>
      </c>
      <c r="U43" s="705">
        <f t="shared" si="13"/>
        <v>94</v>
      </c>
      <c r="V43" s="704" t="s">
        <v>14</v>
      </c>
      <c r="W43" s="705">
        <f t="shared" si="14"/>
        <v>94</v>
      </c>
      <c r="X43" s="1353"/>
      <c r="Y43" s="3750"/>
      <c r="Z43" s="1354" t="str">
        <f t="shared" si="15"/>
        <v>内部装修</v>
      </c>
      <c r="AA43" s="1351">
        <f t="shared" si="3"/>
        <v>1.0638297872340425</v>
      </c>
      <c r="AB43" s="1351">
        <f t="shared" si="4"/>
        <v>1.0638297872340425</v>
      </c>
      <c r="AC43" s="1960">
        <f t="shared" si="5"/>
        <v>1.0638297872340425</v>
      </c>
    </row>
    <row r="44" spans="1:29" ht="15">
      <c r="A44" s="423"/>
      <c r="B44" s="375" t="s">
        <v>1707</v>
      </c>
      <c r="C44" s="411"/>
      <c r="D44" s="386">
        <v>100</v>
      </c>
      <c r="E44" s="1904"/>
      <c r="F44" s="412">
        <f>SUMIF(125:125,E44,126:126)-SUMIF(125:125,C44,126:126)+100</f>
        <v>100</v>
      </c>
      <c r="G44" s="1904"/>
      <c r="H44" s="386">
        <f>SUMIF(125:125,G44,126:126)-SUMIF(125:125,C44,126:126)+100</f>
        <v>100</v>
      </c>
      <c r="I44" s="1904"/>
      <c r="J44" s="386">
        <f>SUMIF(125:125,I44,126:126)-SUMIF(125:125,C44,126:126)+100</f>
        <v>100</v>
      </c>
      <c r="K44" s="561"/>
      <c r="L44" s="2719"/>
      <c r="M44" s="2713"/>
      <c r="N44" s="2713"/>
      <c r="O44" s="2713"/>
      <c r="P44" s="3748"/>
      <c r="Q44" s="1350" t="str">
        <f t="shared" si="11"/>
        <v>内部装修维护情况</v>
      </c>
      <c r="R44" s="704" t="s">
        <v>14</v>
      </c>
      <c r="S44" s="705">
        <f t="shared" si="12"/>
        <v>100</v>
      </c>
      <c r="T44" s="704" t="s">
        <v>14</v>
      </c>
      <c r="U44" s="705">
        <f t="shared" si="13"/>
        <v>100</v>
      </c>
      <c r="V44" s="704" t="s">
        <v>14</v>
      </c>
      <c r="W44" s="705">
        <f t="shared" si="14"/>
        <v>100</v>
      </c>
      <c r="X44" s="1353"/>
      <c r="Y44" s="3750"/>
      <c r="Z44" s="1354" t="str">
        <f t="shared" si="15"/>
        <v>内部装修维护情况</v>
      </c>
      <c r="AA44" s="1351">
        <f t="shared" si="3"/>
        <v>1</v>
      </c>
      <c r="AB44" s="1351">
        <f t="shared" si="4"/>
        <v>1</v>
      </c>
      <c r="AC44" s="1960">
        <f t="shared" si="5"/>
        <v>1</v>
      </c>
    </row>
    <row r="45" spans="1:29" s="108" customFormat="1" ht="15">
      <c r="A45" s="424"/>
      <c r="B45" s="3509" t="s">
        <v>3549</v>
      </c>
      <c r="C45" s="3510" t="s">
        <v>3550</v>
      </c>
      <c r="D45" s="127">
        <v>100</v>
      </c>
      <c r="E45" s="3511" t="s">
        <v>3551</v>
      </c>
      <c r="F45" s="376">
        <f>SUMIF(127:127,E45,128:128)-SUMIF(127:127,C45,128:128)+100</f>
        <v>103</v>
      </c>
      <c r="G45" s="3511" t="s">
        <v>3551</v>
      </c>
      <c r="H45" s="127">
        <f>SUMIF(127:127,G45,128:128)-SUMIF(127:127,C45,128:128)+100</f>
        <v>103</v>
      </c>
      <c r="I45" s="3511" t="s">
        <v>3551</v>
      </c>
      <c r="J45" s="127">
        <f>SUMIF(127:127,I45,128:128)-SUMIF(127:127,C45,128:128)+100</f>
        <v>103</v>
      </c>
      <c r="K45" s="562"/>
      <c r="L45" s="2714"/>
      <c r="M45" s="2715"/>
      <c r="N45" s="2715"/>
      <c r="O45" s="2715"/>
      <c r="P45" s="3748"/>
      <c r="Q45" s="1341" t="str">
        <f t="shared" si="11"/>
        <v>含地下</v>
      </c>
      <c r="R45" s="700" t="s">
        <v>14</v>
      </c>
      <c r="S45" s="701">
        <f t="shared" si="12"/>
        <v>103</v>
      </c>
      <c r="T45" s="700" t="s">
        <v>14</v>
      </c>
      <c r="U45" s="701">
        <f t="shared" si="13"/>
        <v>103</v>
      </c>
      <c r="V45" s="700" t="s">
        <v>14</v>
      </c>
      <c r="W45" s="701">
        <f t="shared" si="14"/>
        <v>103</v>
      </c>
      <c r="X45" s="702"/>
      <c r="Y45" s="3750"/>
      <c r="Z45" s="52" t="str">
        <f t="shared" si="15"/>
        <v>含地下</v>
      </c>
      <c r="AA45" s="703">
        <f t="shared" si="3"/>
        <v>0.970873786407767</v>
      </c>
      <c r="AB45" s="703">
        <f t="shared" si="4"/>
        <v>0.970873786407767</v>
      </c>
      <c r="AC45" s="1957">
        <f t="shared" si="5"/>
        <v>0.970873786407767</v>
      </c>
    </row>
    <row r="46" spans="1:29" ht="15">
      <c r="A46" s="423"/>
      <c r="B46" s="1132">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19"/>
      <c r="M46" s="2713"/>
      <c r="N46" s="2713"/>
      <c r="O46" s="2713"/>
      <c r="P46" s="3748"/>
      <c r="Q46" s="1350">
        <f t="shared" si="11"/>
        <v>111</v>
      </c>
      <c r="R46" s="704" t="s">
        <v>14</v>
      </c>
      <c r="S46" s="705">
        <f t="shared" si="12"/>
        <v>100</v>
      </c>
      <c r="T46" s="704" t="s">
        <v>14</v>
      </c>
      <c r="U46" s="705">
        <f t="shared" si="13"/>
        <v>100</v>
      </c>
      <c r="V46" s="704" t="s">
        <v>14</v>
      </c>
      <c r="W46" s="705">
        <f t="shared" si="14"/>
        <v>100</v>
      </c>
      <c r="X46" s="1353"/>
      <c r="Y46" s="3750"/>
      <c r="Z46" s="1354">
        <f t="shared" si="15"/>
        <v>111</v>
      </c>
      <c r="AA46" s="1351">
        <f t="shared" si="3"/>
        <v>1</v>
      </c>
      <c r="AB46" s="1351">
        <f t="shared" si="4"/>
        <v>1</v>
      </c>
      <c r="AC46" s="1960">
        <f t="shared" si="5"/>
        <v>1</v>
      </c>
    </row>
    <row r="47" spans="1:29" ht="15.75" thickBot="1">
      <c r="A47" s="429"/>
      <c r="B47" s="1893">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19"/>
      <c r="M47" s="2713"/>
      <c r="N47" s="2713"/>
      <c r="O47" s="2713"/>
      <c r="P47" s="3749"/>
      <c r="Q47" s="1350">
        <f t="shared" si="11"/>
        <v>111</v>
      </c>
      <c r="R47" s="704" t="s">
        <v>14</v>
      </c>
      <c r="S47" s="705">
        <f t="shared" si="12"/>
        <v>100</v>
      </c>
      <c r="T47" s="704" t="s">
        <v>14</v>
      </c>
      <c r="U47" s="705">
        <f t="shared" si="13"/>
        <v>100</v>
      </c>
      <c r="V47" s="704" t="s">
        <v>14</v>
      </c>
      <c r="W47" s="705">
        <f t="shared" si="14"/>
        <v>100</v>
      </c>
      <c r="X47" s="1353"/>
      <c r="Y47" s="3751"/>
      <c r="Z47" s="1354">
        <f t="shared" si="15"/>
        <v>111</v>
      </c>
      <c r="AA47" s="1351">
        <f t="shared" si="3"/>
        <v>1</v>
      </c>
      <c r="AB47" s="1351">
        <f t="shared" si="4"/>
        <v>1</v>
      </c>
      <c r="AC47" s="1960">
        <f t="shared" si="5"/>
        <v>1</v>
      </c>
    </row>
    <row r="48" spans="1:29" ht="15">
      <c r="A48" s="430" t="s">
        <v>1708</v>
      </c>
      <c r="B48" s="431"/>
      <c r="C48" s="1153" t="s">
        <v>0</v>
      </c>
      <c r="D48" s="1154"/>
      <c r="E48" s="1155">
        <v>11500</v>
      </c>
      <c r="F48" s="1156"/>
      <c r="G48" s="1157">
        <v>11500</v>
      </c>
      <c r="H48" s="1158"/>
      <c r="I48" s="1155">
        <v>13000</v>
      </c>
      <c r="J48" s="436"/>
      <c r="K48" s="713"/>
      <c r="L48" s="2721"/>
      <c r="M48" s="2713"/>
      <c r="N48" s="2713"/>
      <c r="O48" s="2713"/>
      <c r="P48" s="3729" t="str">
        <f>A48</f>
        <v>成交单价（元/平方米）</v>
      </c>
      <c r="Q48" s="3752"/>
      <c r="R48" s="3753">
        <f>E48</f>
        <v>11500</v>
      </c>
      <c r="S48" s="3753"/>
      <c r="T48" s="3753">
        <f>G48</f>
        <v>11500</v>
      </c>
      <c r="U48" s="3753"/>
      <c r="V48" s="3753">
        <f>I48</f>
        <v>13000</v>
      </c>
      <c r="W48" s="3753"/>
      <c r="X48" s="397"/>
      <c r="Y48" s="711"/>
      <c r="Z48" s="397"/>
      <c r="AA48" s="397"/>
      <c r="AB48" s="397"/>
      <c r="AC48" s="578"/>
    </row>
    <row r="49" spans="1:29" ht="15.75" thickBot="1">
      <c r="A49" s="437" t="s">
        <v>1793</v>
      </c>
      <c r="B49" s="438"/>
      <c r="C49" s="1159">
        <f>R50</f>
        <v>14331</v>
      </c>
      <c r="D49" s="2314" t="s">
        <v>2136</v>
      </c>
      <c r="E49" s="1160">
        <f>R49</f>
        <v>13734</v>
      </c>
      <c r="F49" s="2315"/>
      <c r="G49" s="1159">
        <f>T49</f>
        <v>13734</v>
      </c>
      <c r="H49" s="2315"/>
      <c r="I49" s="1160">
        <f>V49</f>
        <v>15526</v>
      </c>
      <c r="J49" s="2315"/>
      <c r="K49" s="2317">
        <f>F49+H49+J49</f>
        <v>0</v>
      </c>
      <c r="L49" s="2721"/>
      <c r="M49" s="2713"/>
      <c r="N49" s="2713"/>
      <c r="O49" s="2713"/>
      <c r="P49" s="3729" t="str">
        <f>A49</f>
        <v>比较价值（元/平方米）</v>
      </c>
      <c r="Q49" s="3752"/>
      <c r="R49" s="3753">
        <f>IF(F1="售价",ROUND(PRODUCT(R48,AA7:AA47),0),ROUND(PRODUCT(R48,AA7:AA47),1))</f>
        <v>13734</v>
      </c>
      <c r="S49" s="3753"/>
      <c r="T49" s="3753">
        <f>IF(F1="售价",ROUND(PRODUCT(T48,AB7:AB47),0),ROUND(PRODUCT(T48,AB7:AB47),1))</f>
        <v>13734</v>
      </c>
      <c r="U49" s="3753"/>
      <c r="V49" s="3753">
        <f>IF(F1="售价",ROUND(PRODUCT(V48,AC7:AC47),0),ROUND(PRODUCT(V48,AC7:AC47),1))</f>
        <v>15526</v>
      </c>
      <c r="W49" s="3753"/>
      <c r="X49" s="397"/>
      <c r="Y49" s="397"/>
      <c r="Z49" s="397"/>
      <c r="AA49" s="397"/>
      <c r="AB49" s="397"/>
      <c r="AC49" s="578"/>
    </row>
    <row r="50" spans="1:29" ht="15.75" thickBot="1">
      <c r="A50" s="441" t="s">
        <v>1794</v>
      </c>
      <c r="B50" s="442"/>
      <c r="C50" s="1162">
        <f>R50</f>
        <v>14331</v>
      </c>
      <c r="D50" s="1162"/>
      <c r="E50" s="1162"/>
      <c r="F50" s="1162"/>
      <c r="G50" s="1162"/>
      <c r="H50" s="1162"/>
      <c r="I50" s="1162"/>
      <c r="J50" s="443"/>
      <c r="K50" s="714"/>
      <c r="L50" s="2721"/>
      <c r="M50" s="2713"/>
      <c r="N50" s="2713"/>
      <c r="O50" s="2713"/>
      <c r="P50" s="3865" t="str">
        <f>A50</f>
        <v>估价对象XX用房的比较价值（楼面单价，元/平方米）</v>
      </c>
      <c r="Q50" s="3866"/>
      <c r="R50" s="3867">
        <f>IF(F1="售价",ROUND(IF(D49="简单平均",AVERAGE(R49:V49),R49*F49+T49*H49+V49*J49),0),ROUND(IF(D49="简单平均",AVERAGE(R49:V49),R49*F49+T49*H49+V49*J49),1))</f>
        <v>14331</v>
      </c>
      <c r="S50" s="3867"/>
      <c r="T50" s="3867"/>
      <c r="U50" s="3867"/>
      <c r="V50" s="3867"/>
      <c r="W50" s="3867"/>
      <c r="X50" s="1944"/>
      <c r="Y50" s="1944"/>
      <c r="Z50" s="1944"/>
      <c r="AA50" s="1944"/>
      <c r="AB50" s="1944"/>
      <c r="AC50" s="1945"/>
    </row>
    <row r="51" spans="1:29">
      <c r="A51" s="2722"/>
      <c r="B51" s="2722"/>
      <c r="C51" s="2722"/>
      <c r="D51" s="2722"/>
      <c r="E51" s="2722">
        <v>2011</v>
      </c>
      <c r="F51" s="2722"/>
      <c r="G51" s="3496">
        <v>2015</v>
      </c>
      <c r="H51" s="2722"/>
      <c r="I51" s="2722">
        <v>2015</v>
      </c>
      <c r="J51" s="2722"/>
      <c r="K51" s="2727"/>
      <c r="L51" s="2723"/>
      <c r="M51" s="2722"/>
      <c r="N51" s="2722"/>
      <c r="O51" s="2722"/>
      <c r="P51" s="2752"/>
      <c r="Q51" s="2722"/>
      <c r="R51" s="2722"/>
      <c r="S51" s="2722"/>
      <c r="T51" s="2722"/>
      <c r="U51" s="2722"/>
      <c r="V51" s="2722"/>
      <c r="W51" s="2722"/>
      <c r="X51" s="2722"/>
      <c r="Y51" s="2722"/>
      <c r="Z51" s="2722"/>
      <c r="AA51" s="2722"/>
      <c r="AB51" s="2722"/>
      <c r="AC51" s="2722"/>
    </row>
    <row r="52" spans="1:29">
      <c r="A52" s="2722"/>
      <c r="B52" s="2722"/>
      <c r="C52" s="2722"/>
      <c r="D52" s="2722"/>
      <c r="E52" s="2722"/>
      <c r="F52" s="2722"/>
      <c r="G52" s="2722"/>
      <c r="H52" s="2722"/>
      <c r="I52" s="2722"/>
      <c r="J52" s="2722"/>
      <c r="K52" s="2727"/>
      <c r="L52" s="2723"/>
      <c r="M52" s="2722"/>
      <c r="N52" s="2722"/>
      <c r="O52" s="2722"/>
      <c r="P52" s="2752"/>
      <c r="Q52" s="2722"/>
      <c r="R52" s="2722"/>
      <c r="S52" s="2722"/>
      <c r="T52" s="2722"/>
      <c r="U52" s="2722"/>
      <c r="V52" s="2722"/>
      <c r="W52" s="2722"/>
      <c r="X52" s="2722"/>
      <c r="Y52" s="2722"/>
      <c r="Z52" s="2722"/>
      <c r="AA52" s="2722"/>
      <c r="AB52" s="2722"/>
      <c r="AC52" s="2722"/>
    </row>
    <row r="53" spans="1:29" ht="13.5" customHeight="1">
      <c r="A53" s="2722"/>
      <c r="B53" s="2722"/>
      <c r="C53" s="446" t="s">
        <v>1795</v>
      </c>
      <c r="D53" s="447"/>
      <c r="E53" s="448">
        <f>IF(E48&lt;E49,E49/E48-1,E48/E49-1)</f>
        <v>0.19426086956521749</v>
      </c>
      <c r="F53" s="449" t="str">
        <f>IF(OR(E53&gt;=0.3,E53&lt;=-0.3),"超过30%","")</f>
        <v/>
      </c>
      <c r="G53" s="448">
        <f>IF(G48&lt;G49,G49/G48-1,G48/G49-1)</f>
        <v>0.19426086956521749</v>
      </c>
      <c r="H53" s="449" t="str">
        <f>IF(OR(G53&gt;=0.3,G53&lt;=-0.3),"超过30%","")</f>
        <v/>
      </c>
      <c r="I53" s="448">
        <f>IF(I48&lt;I49,I49/I48-1,I48/I49-1)</f>
        <v>0.19430769230769229</v>
      </c>
      <c r="J53" s="449" t="str">
        <f>IF(OR(I53&gt;=0.3,I53&lt;=-0.3),"超过30%","")</f>
        <v/>
      </c>
      <c r="K53" s="2727"/>
      <c r="L53" s="2723"/>
      <c r="M53" s="2722"/>
      <c r="N53" s="2722"/>
      <c r="O53" s="2722"/>
      <c r="P53" s="2752"/>
      <c r="Q53" s="2722"/>
      <c r="R53" s="2722"/>
      <c r="S53" s="2722"/>
      <c r="T53" s="2722"/>
      <c r="U53" s="2722"/>
      <c r="V53" s="2722"/>
      <c r="W53" s="2722"/>
      <c r="X53" s="2722"/>
      <c r="Y53" s="2722"/>
      <c r="Z53" s="2722"/>
      <c r="AA53" s="2722"/>
      <c r="AB53" s="2722"/>
      <c r="AC53" s="2722"/>
    </row>
    <row r="54" spans="1:29" ht="13.5" customHeight="1">
      <c r="A54" s="2722"/>
      <c r="B54" s="2722"/>
      <c r="C54" s="446" t="s">
        <v>1796</v>
      </c>
      <c r="D54" s="450"/>
      <c r="E54" s="448">
        <f>IF(E49&lt;G49,G49/E49-1,E49/G49-1)</f>
        <v>0</v>
      </c>
      <c r="F54" s="449" t="str">
        <f>IF(OR(E54&gt;=0.2,E54&lt;=-0.2),"超过20%","")</f>
        <v/>
      </c>
      <c r="G54" s="448">
        <f>IF(G49&lt;I49,I49/G49-1,G49/I49-1)</f>
        <v>0.13047910295616716</v>
      </c>
      <c r="H54" s="449" t="str">
        <f>IF(OR(G54&gt;=0.2,G54&lt;=-0.2),"超过20%","")</f>
        <v/>
      </c>
      <c r="I54" s="448">
        <f>IF(I49&lt;E49,E49/I49-1,I49/E49-1)</f>
        <v>0.13047910295616716</v>
      </c>
      <c r="J54" s="449" t="str">
        <f>IF(OR(I54&gt;=0.2,I54&lt;=-0.2),"超过20%","")</f>
        <v/>
      </c>
      <c r="K54" s="2727"/>
      <c r="L54" s="2723"/>
      <c r="M54" s="2722"/>
      <c r="N54" s="2722"/>
      <c r="O54" s="2722"/>
      <c r="P54" s="2752"/>
      <c r="Q54" s="2722"/>
      <c r="R54" s="2722"/>
      <c r="S54" s="2722"/>
      <c r="T54" s="2722"/>
      <c r="U54" s="2722"/>
      <c r="V54" s="2722"/>
      <c r="W54" s="2722"/>
      <c r="X54" s="2722"/>
      <c r="Y54" s="2722"/>
      <c r="Z54" s="2722"/>
      <c r="AA54" s="2722"/>
      <c r="AB54" s="2722"/>
      <c r="AC54" s="2722"/>
    </row>
    <row r="55" spans="1:29" s="451" customFormat="1" ht="13.5" customHeight="1">
      <c r="A55" s="2725"/>
      <c r="B55" s="2725"/>
      <c r="C55" s="446" t="s">
        <v>1797</v>
      </c>
      <c r="D55" s="450"/>
      <c r="E55" s="448">
        <f>IF(E48&lt;G48,G48/E48-1,E48/G48-1)</f>
        <v>0</v>
      </c>
      <c r="F55" s="449" t="str">
        <f>IF(OR(E55&gt;=0.3,E55&lt;=-0.3),"超过30%","")</f>
        <v/>
      </c>
      <c r="G55" s="448">
        <f>IF(G48&lt;I48,I48/G48-1,G48/I48-1)</f>
        <v>0.13043478260869557</v>
      </c>
      <c r="H55" s="449" t="str">
        <f>IF(OR(G55&gt;=0.3,G55&lt;=-0.3),"超过30%","")</f>
        <v/>
      </c>
      <c r="I55" s="448">
        <f>IF(I48&lt;E48,E48/I48-1,I48/E48-1)</f>
        <v>0.13043478260869557</v>
      </c>
      <c r="J55" s="449" t="str">
        <f>IF(OR(I55&gt;=0.3,I55&lt;=-0.3),"超过30%","")</f>
        <v/>
      </c>
      <c r="K55" s="2730"/>
      <c r="L55" s="2724"/>
      <c r="M55" s="2725"/>
      <c r="N55" s="2725"/>
      <c r="O55" s="2725"/>
      <c r="P55" s="2753"/>
      <c r="Q55" s="2725"/>
      <c r="R55" s="2725"/>
      <c r="S55" s="2725"/>
      <c r="T55" s="2725"/>
      <c r="U55" s="2725"/>
      <c r="V55" s="2725"/>
      <c r="W55" s="2725"/>
      <c r="X55" s="2725"/>
      <c r="Y55" s="2725"/>
      <c r="Z55" s="2725"/>
      <c r="AA55" s="2725"/>
      <c r="AB55" s="2725"/>
      <c r="AC55" s="2725"/>
    </row>
    <row r="56" spans="1:29" s="451" customFormat="1">
      <c r="A56" s="2725"/>
      <c r="B56" s="2728"/>
      <c r="C56" s="2729"/>
      <c r="D56" s="2725"/>
      <c r="E56" s="2725"/>
      <c r="F56" s="2725"/>
      <c r="G56" s="2725"/>
      <c r="H56" s="2725"/>
      <c r="I56" s="2725"/>
      <c r="J56" s="2725"/>
      <c r="K56" s="2730"/>
      <c r="L56" s="2724"/>
      <c r="M56" s="2725"/>
      <c r="N56" s="2725"/>
      <c r="O56" s="2725"/>
      <c r="P56" s="2753"/>
      <c r="Q56" s="2725"/>
      <c r="R56" s="2725"/>
      <c r="S56" s="2725"/>
      <c r="T56" s="2725"/>
      <c r="U56" s="2725"/>
      <c r="V56" s="2725"/>
      <c r="W56" s="2725"/>
      <c r="X56" s="2725"/>
      <c r="Y56" s="2725"/>
      <c r="Z56" s="2725"/>
      <c r="AA56" s="2725"/>
      <c r="AB56" s="2725"/>
      <c r="AC56" s="2725"/>
    </row>
    <row r="57" spans="1:29">
      <c r="A57" s="2722"/>
      <c r="B57" s="2728"/>
      <c r="C57" s="2729"/>
      <c r="D57" s="2722"/>
      <c r="E57" s="2722"/>
      <c r="F57" s="2722"/>
      <c r="G57" s="2722"/>
      <c r="H57" s="2722"/>
      <c r="I57" s="2722"/>
      <c r="J57" s="2722"/>
      <c r="K57" s="2727"/>
      <c r="L57" s="2723"/>
      <c r="M57" s="2722"/>
      <c r="N57" s="2722"/>
      <c r="O57" s="2722"/>
      <c r="P57" s="2752"/>
      <c r="Q57" s="2722"/>
      <c r="R57" s="2722"/>
      <c r="S57" s="2722"/>
      <c r="T57" s="2722"/>
      <c r="U57" s="2722"/>
      <c r="V57" s="2722"/>
      <c r="W57" s="2722"/>
      <c r="X57" s="2722"/>
      <c r="Y57" s="2722"/>
      <c r="Z57" s="2722"/>
      <c r="AA57" s="2722"/>
      <c r="AB57" s="2722"/>
      <c r="AC57" s="2722"/>
    </row>
    <row r="58" spans="1:29" ht="21.75" thickBot="1">
      <c r="A58" s="693" t="s">
        <v>1798</v>
      </c>
      <c r="B58" s="689"/>
      <c r="C58" s="694"/>
      <c r="D58" s="694"/>
      <c r="E58" s="694"/>
      <c r="F58" s="695"/>
      <c r="G58" s="695"/>
      <c r="H58" s="694"/>
      <c r="I58" s="694"/>
      <c r="J58" s="694"/>
      <c r="K58" s="696"/>
      <c r="L58" s="941"/>
      <c r="M58" s="939"/>
      <c r="N58" s="2765"/>
      <c r="O58" s="2765"/>
      <c r="P58" s="2754"/>
      <c r="Q58" s="2736"/>
      <c r="R58" s="2722"/>
      <c r="S58" s="2722"/>
      <c r="T58" s="2722"/>
      <c r="U58" s="2722"/>
      <c r="V58" s="2722"/>
      <c r="W58" s="2722"/>
      <c r="X58" s="2722"/>
      <c r="Y58" s="2722"/>
      <c r="Z58" s="2722"/>
      <c r="AA58" s="2722"/>
      <c r="AB58" s="2722"/>
      <c r="AC58" s="2722"/>
    </row>
    <row r="59" spans="1:29" s="457" customFormat="1" ht="15">
      <c r="A59" s="454" t="s">
        <v>1679</v>
      </c>
      <c r="B59" s="455"/>
      <c r="C59" s="1182" t="str">
        <f>YEAR(C7)&amp;"-"&amp;MONTH(C7)</f>
        <v>2023-5</v>
      </c>
      <c r="D59" s="1183">
        <f>EDATE(C59,-1)</f>
        <v>45017</v>
      </c>
      <c r="E59" s="1183">
        <f>EDATE(D59,-1)</f>
        <v>44986</v>
      </c>
      <c r="F59" s="1183">
        <f t="shared" ref="F59:O59" si="16">EDATE(E59,-1)</f>
        <v>44958</v>
      </c>
      <c r="G59" s="1183">
        <f t="shared" si="16"/>
        <v>44927</v>
      </c>
      <c r="H59" s="1183">
        <f t="shared" si="16"/>
        <v>44896</v>
      </c>
      <c r="I59" s="1183">
        <f t="shared" si="16"/>
        <v>44866</v>
      </c>
      <c r="J59" s="1183">
        <f t="shared" si="16"/>
        <v>44835</v>
      </c>
      <c r="K59" s="1183">
        <f t="shared" si="16"/>
        <v>44805</v>
      </c>
      <c r="L59" s="1183">
        <f t="shared" si="16"/>
        <v>44774</v>
      </c>
      <c r="M59" s="1183">
        <f t="shared" si="16"/>
        <v>44743</v>
      </c>
      <c r="N59" s="1183">
        <f t="shared" si="16"/>
        <v>44713</v>
      </c>
      <c r="O59" s="1183">
        <f t="shared" si="16"/>
        <v>44682</v>
      </c>
      <c r="P59" s="2755"/>
      <c r="Q59" s="2737"/>
      <c r="R59" s="2737"/>
      <c r="S59" s="2737"/>
      <c r="T59" s="2737"/>
      <c r="U59" s="2737"/>
      <c r="V59" s="2737"/>
      <c r="W59" s="2737"/>
      <c r="X59" s="2737"/>
      <c r="Y59" s="2737"/>
      <c r="Z59" s="2737"/>
      <c r="AA59" s="2737"/>
      <c r="AB59" s="2737"/>
      <c r="AC59" s="2737"/>
    </row>
    <row r="60" spans="1:29" s="108" customFormat="1" ht="15">
      <c r="A60" s="458"/>
      <c r="B60" s="459"/>
      <c r="C60" s="1181">
        <v>100</v>
      </c>
      <c r="D60" s="461"/>
      <c r="E60" s="461"/>
      <c r="F60" s="461"/>
      <c r="G60" s="461"/>
      <c r="H60" s="461"/>
      <c r="I60" s="461"/>
      <c r="J60" s="461"/>
      <c r="K60" s="461"/>
      <c r="L60" s="461"/>
      <c r="M60" s="462"/>
      <c r="N60" s="461"/>
      <c r="O60" s="462"/>
      <c r="P60" s="2756"/>
      <c r="Q60" s="2658"/>
      <c r="R60" s="2658"/>
      <c r="S60" s="2658"/>
      <c r="T60" s="2658"/>
      <c r="U60" s="2658"/>
      <c r="V60" s="2658"/>
      <c r="W60" s="2658"/>
      <c r="X60" s="2658"/>
      <c r="Y60" s="2658"/>
      <c r="Z60" s="2658"/>
      <c r="AA60" s="2658"/>
      <c r="AB60" s="2658"/>
      <c r="AC60" s="2658"/>
    </row>
    <row r="61" spans="1:29" s="108" customFormat="1" ht="15.75" thickBot="1">
      <c r="A61" s="464" t="s">
        <v>1716</v>
      </c>
      <c r="B61" s="465"/>
      <c r="C61" s="466"/>
      <c r="D61" s="467"/>
      <c r="E61" s="467"/>
      <c r="F61" s="467"/>
      <c r="G61" s="467"/>
      <c r="H61" s="467"/>
      <c r="I61" s="467"/>
      <c r="J61" s="467"/>
      <c r="K61" s="467"/>
      <c r="L61" s="467"/>
      <c r="M61" s="468"/>
      <c r="N61" s="467"/>
      <c r="O61" s="468"/>
      <c r="P61" s="2756"/>
      <c r="Q61" s="2736"/>
      <c r="R61" s="2658"/>
      <c r="S61" s="2658"/>
      <c r="T61" s="2658"/>
      <c r="U61" s="2658"/>
      <c r="V61" s="2658"/>
      <c r="W61" s="2658"/>
      <c r="X61" s="2658"/>
      <c r="Y61" s="2658"/>
      <c r="Z61" s="2658"/>
      <c r="AA61" s="2658"/>
      <c r="AB61" s="2658"/>
      <c r="AC61" s="2658"/>
    </row>
    <row r="62" spans="1:29" s="108" customFormat="1" ht="15">
      <c r="A62" s="470" t="s">
        <v>1681</v>
      </c>
      <c r="B62" s="459"/>
      <c r="C62" s="471" t="s">
        <v>1776</v>
      </c>
      <c r="D62" s="472"/>
      <c r="E62" s="472"/>
      <c r="F62" s="472"/>
      <c r="G62" s="472"/>
      <c r="H62" s="472"/>
      <c r="I62" s="472"/>
      <c r="J62" s="472"/>
      <c r="K62" s="472"/>
      <c r="L62" s="473"/>
      <c r="M62" s="474"/>
      <c r="N62" s="2748"/>
      <c r="O62" s="2748"/>
      <c r="P62" s="2757"/>
      <c r="Q62" s="2736"/>
      <c r="R62" s="2658"/>
      <c r="S62" s="2658"/>
      <c r="T62" s="2658"/>
      <c r="U62" s="2658"/>
      <c r="V62" s="2658"/>
      <c r="W62" s="2658"/>
      <c r="X62" s="2658"/>
      <c r="Y62" s="2658"/>
      <c r="Z62" s="2658"/>
      <c r="AA62" s="2658"/>
      <c r="AB62" s="2658"/>
      <c r="AC62" s="2658"/>
    </row>
    <row r="63" spans="1:29" s="108" customFormat="1" ht="15.75" thickBot="1">
      <c r="A63" s="470"/>
      <c r="B63" s="459"/>
      <c r="C63" s="460">
        <v>100</v>
      </c>
      <c r="D63" s="461"/>
      <c r="E63" s="461"/>
      <c r="F63" s="461"/>
      <c r="G63" s="461"/>
      <c r="H63" s="461"/>
      <c r="I63" s="461"/>
      <c r="J63" s="461"/>
      <c r="K63" s="461"/>
      <c r="L63" s="461"/>
      <c r="M63" s="463"/>
      <c r="N63" s="2748"/>
      <c r="O63" s="2748"/>
      <c r="P63" s="2756"/>
      <c r="Q63" s="2736"/>
      <c r="R63" s="2658"/>
      <c r="S63" s="2658"/>
      <c r="T63" s="2658"/>
      <c r="U63" s="2658"/>
      <c r="V63" s="2658"/>
      <c r="W63" s="2658"/>
      <c r="X63" s="2658"/>
      <c r="Y63" s="2658"/>
      <c r="Z63" s="2658"/>
      <c r="AA63" s="2658"/>
      <c r="AB63" s="2658"/>
      <c r="AC63" s="2658"/>
    </row>
    <row r="64" spans="1:29">
      <c r="A64" s="476" t="s">
        <v>1719</v>
      </c>
      <c r="B64" s="477" t="s">
        <v>1685</v>
      </c>
      <c r="C64" s="478" t="str">
        <f>C9</f>
        <v>商业</v>
      </c>
      <c r="D64" s="3495" t="s">
        <v>3545</v>
      </c>
      <c r="E64" s="479"/>
      <c r="F64" s="479"/>
      <c r="G64" s="479"/>
      <c r="H64" s="479"/>
      <c r="I64" s="479"/>
      <c r="J64" s="479"/>
      <c r="K64" s="480"/>
      <c r="L64" s="481"/>
      <c r="M64" s="482"/>
      <c r="N64" s="2749"/>
      <c r="O64" s="2749"/>
      <c r="P64" s="2758"/>
      <c r="Q64" s="2736"/>
      <c r="R64" s="2722"/>
      <c r="S64" s="2722"/>
      <c r="T64" s="2722"/>
      <c r="U64" s="2722"/>
      <c r="V64" s="2722"/>
      <c r="W64" s="2722"/>
      <c r="X64" s="2722"/>
      <c r="Y64" s="2722"/>
      <c r="Z64" s="2722"/>
      <c r="AA64" s="2722"/>
      <c r="AB64" s="2722"/>
      <c r="AC64" s="2722"/>
    </row>
    <row r="65" spans="1:29" ht="15.75" thickBot="1">
      <c r="A65" s="483"/>
      <c r="B65" s="484"/>
      <c r="C65" s="485">
        <v>100</v>
      </c>
      <c r="D65" s="485">
        <v>85</v>
      </c>
      <c r="E65" s="485"/>
      <c r="F65" s="485"/>
      <c r="G65" s="485"/>
      <c r="H65" s="485"/>
      <c r="I65" s="485"/>
      <c r="J65" s="485"/>
      <c r="K65" s="485"/>
      <c r="L65" s="485"/>
      <c r="M65" s="486"/>
      <c r="N65" s="2750"/>
      <c r="O65" s="2750"/>
      <c r="P65" s="2758"/>
      <c r="Q65" s="2736"/>
      <c r="R65" s="2722"/>
      <c r="S65" s="2722"/>
      <c r="T65" s="2722"/>
      <c r="U65" s="2722"/>
      <c r="V65" s="2722"/>
      <c r="W65" s="2722"/>
      <c r="X65" s="2722"/>
      <c r="Y65" s="2722"/>
      <c r="Z65" s="2722"/>
      <c r="AA65" s="2722"/>
      <c r="AB65" s="2722"/>
      <c r="AC65" s="2722"/>
    </row>
    <row r="66" spans="1:29" ht="27.75" thickTop="1">
      <c r="A66" s="483"/>
      <c r="B66" s="487" t="s">
        <v>1688</v>
      </c>
      <c r="C66" s="532" t="s">
        <v>3556</v>
      </c>
      <c r="D66" s="532" t="s">
        <v>3557</v>
      </c>
      <c r="E66" s="532" t="s">
        <v>3558</v>
      </c>
      <c r="F66" s="3498" t="s">
        <v>3559</v>
      </c>
      <c r="G66" s="532" t="s">
        <v>3560</v>
      </c>
      <c r="H66" s="532"/>
      <c r="I66" s="532"/>
      <c r="J66" s="532"/>
      <c r="K66" s="532"/>
      <c r="L66" s="534"/>
      <c r="M66" s="535"/>
      <c r="N66" s="2749"/>
      <c r="O66" s="2749"/>
      <c r="P66" s="2758"/>
      <c r="Q66" s="2736"/>
      <c r="R66" s="2722"/>
      <c r="S66" s="2722"/>
      <c r="T66" s="2722"/>
      <c r="U66" s="2722"/>
      <c r="V66" s="2722"/>
      <c r="W66" s="2722"/>
      <c r="X66" s="2722"/>
      <c r="Y66" s="2722"/>
      <c r="Z66" s="2722"/>
      <c r="AA66" s="2722"/>
      <c r="AB66" s="2722"/>
      <c r="AC66" s="2722"/>
    </row>
    <row r="67" spans="1:29" ht="15.75" thickBot="1">
      <c r="A67" s="483"/>
      <c r="B67" s="492"/>
      <c r="C67" s="485">
        <v>100</v>
      </c>
      <c r="D67" s="485">
        <v>98</v>
      </c>
      <c r="E67" s="485">
        <v>96</v>
      </c>
      <c r="F67" s="485">
        <v>94</v>
      </c>
      <c r="G67" s="485">
        <v>92</v>
      </c>
      <c r="H67" s="485"/>
      <c r="I67" s="485"/>
      <c r="J67" s="485"/>
      <c r="K67" s="485"/>
      <c r="L67" s="485"/>
      <c r="M67" s="486"/>
      <c r="N67" s="2750"/>
      <c r="O67" s="2750"/>
      <c r="P67" s="2758"/>
      <c r="Q67" s="2736"/>
      <c r="R67" s="2722"/>
      <c r="S67" s="2722"/>
      <c r="T67" s="2722"/>
      <c r="U67" s="2722"/>
      <c r="V67" s="2722"/>
      <c r="W67" s="2722"/>
      <c r="X67" s="2722"/>
      <c r="Y67" s="2722"/>
      <c r="Z67" s="2722"/>
      <c r="AA67" s="2722"/>
      <c r="AB67" s="2722"/>
      <c r="AC67" s="2722"/>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0"/>
      <c r="O68" s="2750"/>
      <c r="P68" s="2758"/>
      <c r="Q68" s="2736"/>
      <c r="R68" s="2722"/>
      <c r="S68" s="2722"/>
      <c r="T68" s="2722"/>
      <c r="U68" s="2722"/>
      <c r="V68" s="2722"/>
      <c r="W68" s="2722"/>
      <c r="X68" s="2722"/>
      <c r="Y68" s="2722"/>
      <c r="Z68" s="2722"/>
      <c r="AA68" s="2722"/>
      <c r="AB68" s="2722"/>
      <c r="AC68" s="2722"/>
    </row>
    <row r="69" spans="1:29" ht="15">
      <c r="A69" s="483"/>
      <c r="B69" s="497"/>
      <c r="C69" s="498">
        <v>0</v>
      </c>
      <c r="D69" s="498">
        <v>3</v>
      </c>
      <c r="E69" s="498"/>
      <c r="F69" s="498"/>
      <c r="G69" s="498"/>
      <c r="H69" s="498"/>
      <c r="I69" s="498"/>
      <c r="J69" s="498"/>
      <c r="K69" s="499"/>
      <c r="L69" s="500"/>
      <c r="M69" s="501"/>
      <c r="N69" s="2749"/>
      <c r="O69" s="2749"/>
      <c r="P69" s="2758"/>
      <c r="Q69" s="2736"/>
      <c r="R69" s="2722"/>
      <c r="S69" s="2722"/>
      <c r="T69" s="2722"/>
      <c r="U69" s="2722"/>
      <c r="V69" s="2722"/>
      <c r="W69" s="2722"/>
      <c r="X69" s="2722"/>
      <c r="Y69" s="2722"/>
      <c r="Z69" s="2722"/>
      <c r="AA69" s="2722"/>
      <c r="AB69" s="2722"/>
      <c r="AC69" s="2722"/>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0"/>
      <c r="O70" s="2750"/>
      <c r="P70" s="2758"/>
      <c r="Q70" s="2736"/>
      <c r="R70" s="2722"/>
      <c r="S70" s="2722"/>
      <c r="T70" s="2722"/>
      <c r="U70" s="2722"/>
      <c r="V70" s="2722"/>
      <c r="W70" s="2722"/>
      <c r="X70" s="2722"/>
      <c r="Y70" s="2722"/>
      <c r="Z70" s="2722"/>
      <c r="AA70" s="2722"/>
      <c r="AB70" s="2722"/>
      <c r="AC70" s="2722"/>
    </row>
    <row r="71" spans="1:29" s="422" customFormat="1" ht="15.75" thickTop="1">
      <c r="A71" s="502"/>
      <c r="B71" s="487">
        <f>B12</f>
        <v>111</v>
      </c>
      <c r="C71" s="503"/>
      <c r="D71" s="503"/>
      <c r="E71" s="503"/>
      <c r="F71" s="503"/>
      <c r="G71" s="503"/>
      <c r="H71" s="504"/>
      <c r="I71" s="504"/>
      <c r="J71" s="504"/>
      <c r="K71" s="504"/>
      <c r="L71" s="505"/>
      <c r="M71" s="506"/>
      <c r="N71" s="2751"/>
      <c r="O71" s="2751"/>
      <c r="P71" s="2759"/>
      <c r="Q71" s="2742"/>
      <c r="R71" s="2743"/>
      <c r="S71" s="2743"/>
      <c r="T71" s="2743"/>
      <c r="U71" s="2743"/>
      <c r="V71" s="2743"/>
      <c r="W71" s="2743"/>
      <c r="X71" s="2743"/>
      <c r="Y71" s="2743"/>
      <c r="Z71" s="2743"/>
      <c r="AA71" s="2743"/>
      <c r="AB71" s="2743"/>
      <c r="AC71" s="2743"/>
    </row>
    <row r="72" spans="1:29" s="422" customFormat="1" ht="15.75" thickBot="1">
      <c r="A72" s="502"/>
      <c r="B72" s="492"/>
      <c r="C72" s="509"/>
      <c r="D72" s="485"/>
      <c r="E72" s="485"/>
      <c r="F72" s="485"/>
      <c r="G72" s="485"/>
      <c r="H72" s="485"/>
      <c r="I72" s="485"/>
      <c r="J72" s="485"/>
      <c r="K72" s="485"/>
      <c r="L72" s="485"/>
      <c r="M72" s="486"/>
      <c r="N72" s="2750"/>
      <c r="O72" s="2750"/>
      <c r="P72" s="2759"/>
      <c r="Q72" s="2742"/>
      <c r="R72" s="2743"/>
      <c r="S72" s="2743"/>
      <c r="T72" s="2743"/>
      <c r="U72" s="2743"/>
      <c r="V72" s="2743"/>
      <c r="W72" s="2743"/>
      <c r="X72" s="2743"/>
      <c r="Y72" s="2743"/>
      <c r="Z72" s="2743"/>
      <c r="AA72" s="2743"/>
      <c r="AB72" s="2743"/>
      <c r="AC72" s="2743"/>
    </row>
    <row r="73" spans="1:29" s="422" customFormat="1" ht="15.75" thickTop="1">
      <c r="A73" s="502"/>
      <c r="B73" s="487">
        <f>B13</f>
        <v>111</v>
      </c>
      <c r="C73" s="503"/>
      <c r="D73" s="503"/>
      <c r="E73" s="503"/>
      <c r="F73" s="503"/>
      <c r="G73" s="503"/>
      <c r="H73" s="504"/>
      <c r="I73" s="504"/>
      <c r="J73" s="504"/>
      <c r="K73" s="504"/>
      <c r="L73" s="505"/>
      <c r="M73" s="506"/>
      <c r="N73" s="2751"/>
      <c r="O73" s="2751"/>
      <c r="P73" s="2760"/>
      <c r="Q73" s="2745"/>
      <c r="R73" s="2743"/>
      <c r="S73" s="2743"/>
      <c r="T73" s="2743"/>
      <c r="U73" s="2743"/>
      <c r="V73" s="2743"/>
      <c r="W73" s="2743"/>
      <c r="X73" s="2743"/>
      <c r="Y73" s="2743"/>
      <c r="Z73" s="2743"/>
      <c r="AA73" s="2743"/>
      <c r="AB73" s="2743"/>
      <c r="AC73" s="2743"/>
    </row>
    <row r="74" spans="1:29" s="422" customFormat="1" ht="15.75" thickBot="1">
      <c r="A74" s="502"/>
      <c r="B74" s="492"/>
      <c r="C74" s="509"/>
      <c r="D74" s="509"/>
      <c r="E74" s="509"/>
      <c r="F74" s="509"/>
      <c r="G74" s="509"/>
      <c r="H74" s="511"/>
      <c r="I74" s="511"/>
      <c r="J74" s="511"/>
      <c r="K74" s="511"/>
      <c r="L74" s="511"/>
      <c r="M74" s="512"/>
      <c r="N74" s="2751"/>
      <c r="O74" s="2751"/>
      <c r="P74" s="2759"/>
      <c r="Q74" s="2742"/>
      <c r="R74" s="2743"/>
      <c r="S74" s="2743"/>
      <c r="T74" s="2743"/>
      <c r="U74" s="2743"/>
      <c r="V74" s="2743"/>
      <c r="W74" s="2743"/>
      <c r="X74" s="2743"/>
      <c r="Y74" s="2743"/>
      <c r="Z74" s="2743"/>
      <c r="AA74" s="2743"/>
      <c r="AB74" s="2743"/>
      <c r="AC74" s="2743"/>
    </row>
    <row r="75" spans="1:29" s="422" customFormat="1" ht="15.75" thickTop="1">
      <c r="A75" s="502"/>
      <c r="B75" s="495">
        <f>B14</f>
        <v>111</v>
      </c>
      <c r="C75" s="472"/>
      <c r="D75" s="472"/>
      <c r="E75" s="472"/>
      <c r="F75" s="472"/>
      <c r="G75" s="472"/>
      <c r="H75" s="513"/>
      <c r="I75" s="513"/>
      <c r="J75" s="513"/>
      <c r="K75" s="513"/>
      <c r="L75" s="514"/>
      <c r="M75" s="515"/>
      <c r="N75" s="2751"/>
      <c r="O75" s="2751"/>
      <c r="P75" s="2761"/>
      <c r="Q75" s="2742"/>
      <c r="R75" s="2743"/>
      <c r="S75" s="2743"/>
      <c r="T75" s="2743"/>
      <c r="U75" s="2743"/>
      <c r="V75" s="2743"/>
      <c r="W75" s="2743"/>
      <c r="X75" s="2743"/>
      <c r="Y75" s="2743"/>
      <c r="Z75" s="2743"/>
      <c r="AA75" s="2743"/>
      <c r="AB75" s="2743"/>
      <c r="AC75" s="2743"/>
    </row>
    <row r="76" spans="1:29" s="422" customFormat="1" ht="15.75" thickBot="1">
      <c r="A76" s="517"/>
      <c r="B76" s="518"/>
      <c r="C76" s="519"/>
      <c r="D76" s="519"/>
      <c r="E76" s="519"/>
      <c r="F76" s="519"/>
      <c r="G76" s="519"/>
      <c r="H76" s="520"/>
      <c r="I76" s="520"/>
      <c r="J76" s="520"/>
      <c r="K76" s="520"/>
      <c r="L76" s="520"/>
      <c r="M76" s="521"/>
      <c r="N76" s="2751"/>
      <c r="O76" s="2751"/>
      <c r="P76" s="2759"/>
      <c r="Q76" s="2742"/>
      <c r="R76" s="2743"/>
      <c r="S76" s="2743"/>
      <c r="T76" s="2743"/>
      <c r="U76" s="2743"/>
      <c r="V76" s="2743"/>
      <c r="W76" s="2743"/>
      <c r="X76" s="2743"/>
      <c r="Y76" s="2743"/>
      <c r="Z76" s="2743"/>
      <c r="AA76" s="2743"/>
      <c r="AB76" s="2743"/>
      <c r="AC76" s="2743"/>
    </row>
    <row r="77" spans="1:29">
      <c r="A77" s="476" t="s">
        <v>1690</v>
      </c>
      <c r="B77" s="477" t="s">
        <v>1821</v>
      </c>
      <c r="C77" s="522" t="s">
        <v>1721</v>
      </c>
      <c r="D77" s="522" t="s">
        <v>1722</v>
      </c>
      <c r="E77" s="522" t="s">
        <v>1723</v>
      </c>
      <c r="F77" s="522" t="s">
        <v>1724</v>
      </c>
      <c r="G77" s="522" t="s">
        <v>1725</v>
      </c>
      <c r="H77" s="478"/>
      <c r="I77" s="478"/>
      <c r="J77" s="478"/>
      <c r="K77" s="523"/>
      <c r="L77" s="524"/>
      <c r="M77" s="525"/>
      <c r="N77" s="2749"/>
      <c r="O77" s="2749"/>
      <c r="P77" s="2762"/>
      <c r="Q77" s="2736"/>
      <c r="R77" s="2722"/>
      <c r="S77" s="2722"/>
      <c r="T77" s="2722"/>
      <c r="U77" s="2722"/>
      <c r="V77" s="2722"/>
      <c r="W77" s="2722"/>
      <c r="X77" s="2722"/>
      <c r="Y77" s="2722"/>
      <c r="Z77" s="2722"/>
      <c r="AA77" s="2722"/>
      <c r="AB77" s="2722"/>
      <c r="AC77" s="2722"/>
    </row>
    <row r="78" spans="1:29" ht="15.75" thickBot="1">
      <c r="A78" s="483"/>
      <c r="B78" s="492"/>
      <c r="C78" s="493">
        <v>100</v>
      </c>
      <c r="D78" s="493">
        <f>C78-$K15</f>
        <v>98</v>
      </c>
      <c r="E78" s="493">
        <f>D78-$K15</f>
        <v>96</v>
      </c>
      <c r="F78" s="493">
        <f>E78-$K15</f>
        <v>94</v>
      </c>
      <c r="G78" s="493">
        <f>F78-$K15</f>
        <v>92</v>
      </c>
      <c r="H78" s="493"/>
      <c r="I78" s="493"/>
      <c r="J78" s="493"/>
      <c r="K78" s="493"/>
      <c r="L78" s="493"/>
      <c r="M78" s="494"/>
      <c r="N78" s="2750"/>
      <c r="O78" s="2750"/>
      <c r="P78" s="2758"/>
      <c r="Q78" s="2736"/>
      <c r="R78" s="2722"/>
      <c r="S78" s="2722"/>
      <c r="T78" s="2722"/>
      <c r="U78" s="2722"/>
      <c r="V78" s="2722"/>
      <c r="W78" s="2722"/>
      <c r="X78" s="2722"/>
      <c r="Y78" s="2722"/>
      <c r="Z78" s="2722"/>
      <c r="AA78" s="2722"/>
      <c r="AB78" s="2722"/>
      <c r="AC78" s="2722"/>
    </row>
    <row r="79" spans="1:29" ht="15.75" thickTop="1">
      <c r="A79" s="483"/>
      <c r="B79" s="487" t="s">
        <v>1726</v>
      </c>
      <c r="C79" s="527" t="s">
        <v>1721</v>
      </c>
      <c r="D79" s="527" t="s">
        <v>1722</v>
      </c>
      <c r="E79" s="527" t="s">
        <v>1723</v>
      </c>
      <c r="F79" s="527" t="s">
        <v>1724</v>
      </c>
      <c r="G79" s="527" t="s">
        <v>1725</v>
      </c>
      <c r="H79" s="488"/>
      <c r="I79" s="488"/>
      <c r="J79" s="488"/>
      <c r="K79" s="489"/>
      <c r="L79" s="490"/>
      <c r="M79" s="491"/>
      <c r="N79" s="2749"/>
      <c r="O79" s="2749"/>
      <c r="P79" s="2758"/>
      <c r="Q79" s="2736"/>
      <c r="R79" s="2722"/>
      <c r="S79" s="2722"/>
      <c r="T79" s="2722"/>
      <c r="U79" s="2722"/>
      <c r="V79" s="2722"/>
      <c r="W79" s="2722"/>
      <c r="X79" s="2722"/>
      <c r="Y79" s="2722"/>
      <c r="Z79" s="2722"/>
      <c r="AA79" s="2722"/>
      <c r="AB79" s="2722"/>
      <c r="AC79" s="2722"/>
    </row>
    <row r="80" spans="1:29" ht="15.75" thickBot="1">
      <c r="A80" s="483"/>
      <c r="B80" s="492"/>
      <c r="C80" s="493">
        <v>100</v>
      </c>
      <c r="D80" s="493">
        <f>C80-$K17</f>
        <v>98</v>
      </c>
      <c r="E80" s="493">
        <f>D80-$K17</f>
        <v>96</v>
      </c>
      <c r="F80" s="493">
        <f>E80-$K17</f>
        <v>94</v>
      </c>
      <c r="G80" s="493">
        <f>F80-$K17</f>
        <v>92</v>
      </c>
      <c r="H80" s="493"/>
      <c r="I80" s="493"/>
      <c r="J80" s="493"/>
      <c r="K80" s="493"/>
      <c r="L80" s="493"/>
      <c r="M80" s="494"/>
      <c r="N80" s="2750"/>
      <c r="O80" s="2750"/>
      <c r="P80" s="2758"/>
      <c r="Q80" s="2736"/>
      <c r="R80" s="2722"/>
      <c r="S80" s="2722"/>
      <c r="T80" s="2722"/>
      <c r="U80" s="2722"/>
      <c r="V80" s="2722"/>
      <c r="W80" s="2722"/>
      <c r="X80" s="2722"/>
      <c r="Y80" s="2722"/>
      <c r="Z80" s="2722"/>
      <c r="AA80" s="2722"/>
      <c r="AB80" s="2722"/>
      <c r="AC80" s="2722"/>
    </row>
    <row r="81" spans="1:29" ht="15.75" thickTop="1">
      <c r="A81" s="483"/>
      <c r="B81" s="487" t="s">
        <v>1727</v>
      </c>
      <c r="C81" s="527" t="s">
        <v>1721</v>
      </c>
      <c r="D81" s="527" t="s">
        <v>1722</v>
      </c>
      <c r="E81" s="527" t="s">
        <v>1723</v>
      </c>
      <c r="F81" s="527" t="s">
        <v>1724</v>
      </c>
      <c r="G81" s="527" t="s">
        <v>1725</v>
      </c>
      <c r="H81" s="488"/>
      <c r="I81" s="488"/>
      <c r="J81" s="488"/>
      <c r="K81" s="489"/>
      <c r="L81" s="490"/>
      <c r="M81" s="491"/>
      <c r="N81" s="2749"/>
      <c r="O81" s="2749"/>
      <c r="P81" s="2758"/>
      <c r="Q81" s="2736"/>
      <c r="R81" s="2722"/>
      <c r="S81" s="2722"/>
      <c r="T81" s="2722"/>
      <c r="U81" s="2722"/>
      <c r="V81" s="2722"/>
      <c r="W81" s="2722"/>
      <c r="X81" s="2722"/>
      <c r="Y81" s="2722"/>
      <c r="Z81" s="2722"/>
      <c r="AA81" s="2722"/>
      <c r="AB81" s="2722"/>
      <c r="AC81" s="2722"/>
    </row>
    <row r="82" spans="1:29" ht="15.75" thickBot="1">
      <c r="A82" s="483"/>
      <c r="B82" s="492"/>
      <c r="C82" s="493">
        <v>100</v>
      </c>
      <c r="D82" s="493">
        <f>C82-$K19</f>
        <v>98</v>
      </c>
      <c r="E82" s="493">
        <f>D82-$K19</f>
        <v>96</v>
      </c>
      <c r="F82" s="493">
        <f>E82-$K19</f>
        <v>94</v>
      </c>
      <c r="G82" s="493">
        <f>F82-$K19</f>
        <v>92</v>
      </c>
      <c r="H82" s="493"/>
      <c r="I82" s="493"/>
      <c r="J82" s="493"/>
      <c r="K82" s="493"/>
      <c r="L82" s="493"/>
      <c r="M82" s="494"/>
      <c r="N82" s="2750"/>
      <c r="O82" s="2750"/>
      <c r="P82" s="2758"/>
      <c r="Q82" s="2736"/>
      <c r="R82" s="2722"/>
      <c r="S82" s="2722"/>
      <c r="T82" s="2722"/>
      <c r="U82" s="2722"/>
      <c r="V82" s="2722"/>
      <c r="W82" s="2722"/>
      <c r="X82" s="2722"/>
      <c r="Y82" s="2722"/>
      <c r="Z82" s="2722"/>
      <c r="AA82" s="2722"/>
      <c r="AB82" s="2722"/>
      <c r="AC82" s="2722"/>
    </row>
    <row r="83" spans="1:29" ht="15.75" thickTop="1">
      <c r="A83" s="483"/>
      <c r="B83" s="495" t="s">
        <v>1813</v>
      </c>
      <c r="C83" s="608" t="s">
        <v>1799</v>
      </c>
      <c r="D83" s="608" t="s">
        <v>1800</v>
      </c>
      <c r="E83" s="608" t="s">
        <v>1801</v>
      </c>
      <c r="F83" s="608" t="s">
        <v>1802</v>
      </c>
      <c r="G83" s="608" t="s">
        <v>1803</v>
      </c>
      <c r="H83" s="488"/>
      <c r="I83" s="488"/>
      <c r="J83" s="488"/>
      <c r="K83" s="488"/>
      <c r="L83" s="488"/>
      <c r="M83" s="1128"/>
      <c r="N83" s="2750"/>
      <c r="O83" s="2750"/>
      <c r="P83" s="2758"/>
      <c r="Q83" s="2736"/>
      <c r="R83" s="2722"/>
      <c r="S83" s="2722"/>
      <c r="T83" s="2722"/>
      <c r="U83" s="2722"/>
      <c r="V83" s="2722"/>
      <c r="W83" s="2722"/>
      <c r="X83" s="2722"/>
      <c r="Y83" s="2722"/>
      <c r="Z83" s="2722"/>
      <c r="AA83" s="2722"/>
      <c r="AB83" s="2722"/>
      <c r="AC83" s="2722"/>
    </row>
    <row r="84" spans="1:29" ht="15.75" thickBot="1">
      <c r="A84" s="483"/>
      <c r="B84" s="495"/>
      <c r="C84" s="493">
        <v>100</v>
      </c>
      <c r="D84" s="493">
        <f>C84-$K21</f>
        <v>98</v>
      </c>
      <c r="E84" s="493">
        <f>D84-$K21</f>
        <v>96</v>
      </c>
      <c r="F84" s="493">
        <f>E84-$K21</f>
        <v>94</v>
      </c>
      <c r="G84" s="493">
        <f>F84-$K21</f>
        <v>92</v>
      </c>
      <c r="H84" s="608"/>
      <c r="I84" s="608"/>
      <c r="J84" s="608"/>
      <c r="K84" s="608"/>
      <c r="L84" s="608"/>
      <c r="M84" s="401"/>
      <c r="N84" s="2750"/>
      <c r="O84" s="2750"/>
      <c r="P84" s="2758"/>
      <c r="Q84" s="2736"/>
      <c r="R84" s="2722"/>
      <c r="S84" s="2722"/>
      <c r="T84" s="2722"/>
      <c r="U84" s="2722"/>
      <c r="V84" s="2722"/>
      <c r="W84" s="2722"/>
      <c r="X84" s="2722"/>
      <c r="Y84" s="2722"/>
      <c r="Z84" s="2722"/>
      <c r="AA84" s="2722"/>
      <c r="AB84" s="2722"/>
      <c r="AC84" s="2722"/>
    </row>
    <row r="85" spans="1:29" ht="15.75" thickTop="1">
      <c r="A85" s="483"/>
      <c r="B85" s="487" t="s">
        <v>1822</v>
      </c>
      <c r="C85" s="527" t="s">
        <v>1721</v>
      </c>
      <c r="D85" s="527" t="s">
        <v>1722</v>
      </c>
      <c r="E85" s="527" t="s">
        <v>1723</v>
      </c>
      <c r="F85" s="527" t="s">
        <v>1724</v>
      </c>
      <c r="G85" s="527" t="s">
        <v>1725</v>
      </c>
      <c r="H85" s="488"/>
      <c r="I85" s="488"/>
      <c r="J85" s="488"/>
      <c r="K85" s="489"/>
      <c r="L85" s="490"/>
      <c r="M85" s="491"/>
      <c r="N85" s="2749"/>
      <c r="O85" s="2749"/>
      <c r="P85" s="2758"/>
      <c r="Q85" s="2736"/>
      <c r="R85" s="2722"/>
      <c r="S85" s="2722"/>
      <c r="T85" s="2722"/>
      <c r="U85" s="2722"/>
      <c r="V85" s="2722"/>
      <c r="W85" s="2722"/>
      <c r="X85" s="2722"/>
      <c r="Y85" s="2722"/>
      <c r="Z85" s="2722"/>
      <c r="AA85" s="2722"/>
      <c r="AB85" s="2722"/>
      <c r="AC85" s="2722"/>
    </row>
    <row r="86" spans="1:29" ht="15.75" thickBot="1">
      <c r="A86" s="483"/>
      <c r="B86" s="492"/>
      <c r="C86" s="493">
        <v>100</v>
      </c>
      <c r="D86" s="493">
        <f>C86-$K23</f>
        <v>98</v>
      </c>
      <c r="E86" s="493">
        <f>D86-$K23</f>
        <v>96</v>
      </c>
      <c r="F86" s="493">
        <f>E86-$K23</f>
        <v>94</v>
      </c>
      <c r="G86" s="493">
        <f>F86-$K23</f>
        <v>92</v>
      </c>
      <c r="H86" s="493"/>
      <c r="I86" s="493"/>
      <c r="J86" s="493"/>
      <c r="K86" s="493"/>
      <c r="L86" s="493"/>
      <c r="M86" s="494"/>
      <c r="N86" s="2750"/>
      <c r="O86" s="2750"/>
      <c r="P86" s="2758"/>
      <c r="Q86" s="2736"/>
      <c r="R86" s="2722"/>
      <c r="S86" s="2722"/>
      <c r="T86" s="2722"/>
      <c r="U86" s="2722"/>
      <c r="V86" s="2722"/>
      <c r="W86" s="2722"/>
      <c r="X86" s="2722"/>
      <c r="Y86" s="2722"/>
      <c r="Z86" s="2722"/>
      <c r="AA86" s="2722"/>
      <c r="AB86" s="2722"/>
      <c r="AC86" s="2722"/>
    </row>
    <row r="87" spans="1:29" s="108" customFormat="1" ht="27.75" thickTop="1">
      <c r="A87" s="528"/>
      <c r="B87" s="487" t="s">
        <v>1823</v>
      </c>
      <c r="C87" s="3507" t="s">
        <v>3561</v>
      </c>
      <c r="D87" s="3507" t="s">
        <v>3562</v>
      </c>
      <c r="E87" s="503"/>
      <c r="F87" s="503"/>
      <c r="G87" s="503"/>
      <c r="H87" s="503"/>
      <c r="I87" s="503"/>
      <c r="J87" s="503"/>
      <c r="K87" s="503"/>
      <c r="L87" s="529"/>
      <c r="M87" s="530"/>
      <c r="N87" s="2748"/>
      <c r="O87" s="2748"/>
      <c r="P87" s="2758"/>
      <c r="Q87" s="2736"/>
      <c r="R87" s="2658"/>
      <c r="S87" s="2658"/>
      <c r="T87" s="2658"/>
      <c r="U87" s="2658"/>
      <c r="V87" s="2658"/>
      <c r="W87" s="2658"/>
      <c r="X87" s="2658"/>
      <c r="Y87" s="2658"/>
      <c r="Z87" s="2658"/>
      <c r="AA87" s="2658"/>
      <c r="AB87" s="2658"/>
      <c r="AC87" s="2658"/>
    </row>
    <row r="88" spans="1:29" s="108" customFormat="1" ht="15.75" thickBot="1">
      <c r="A88" s="528"/>
      <c r="B88" s="492"/>
      <c r="C88" s="531">
        <v>100</v>
      </c>
      <c r="D88" s="493">
        <f t="shared" ref="D88:M88" si="19">C88-$K25</f>
        <v>98</v>
      </c>
      <c r="E88" s="493">
        <f t="shared" si="19"/>
        <v>96</v>
      </c>
      <c r="F88" s="493">
        <f t="shared" si="19"/>
        <v>94</v>
      </c>
      <c r="G88" s="493">
        <f t="shared" si="19"/>
        <v>92</v>
      </c>
      <c r="H88" s="493">
        <f t="shared" si="19"/>
        <v>90</v>
      </c>
      <c r="I88" s="493">
        <f t="shared" si="19"/>
        <v>88</v>
      </c>
      <c r="J88" s="493">
        <f t="shared" si="19"/>
        <v>86</v>
      </c>
      <c r="K88" s="493">
        <f t="shared" si="19"/>
        <v>84</v>
      </c>
      <c r="L88" s="493">
        <f t="shared" si="19"/>
        <v>82</v>
      </c>
      <c r="M88" s="493">
        <f t="shared" si="19"/>
        <v>80</v>
      </c>
      <c r="N88" s="2750"/>
      <c r="O88" s="2750"/>
      <c r="P88" s="2758"/>
      <c r="Q88" s="2736"/>
      <c r="R88" s="2658"/>
      <c r="S88" s="2658"/>
      <c r="T88" s="2658"/>
      <c r="U88" s="2658"/>
      <c r="V88" s="2658"/>
      <c r="W88" s="2658"/>
      <c r="X88" s="2658"/>
      <c r="Y88" s="2658"/>
      <c r="Z88" s="2658"/>
      <c r="AA88" s="2658"/>
      <c r="AB88" s="2658"/>
      <c r="AC88" s="2658"/>
    </row>
    <row r="89" spans="1:29" s="108" customFormat="1" ht="15.75" thickTop="1">
      <c r="A89" s="528"/>
      <c r="B89" s="487" t="str">
        <f>B27</f>
        <v>楼层</v>
      </c>
      <c r="C89" s="503"/>
      <c r="D89" s="503"/>
      <c r="E89" s="503"/>
      <c r="F89" s="1925"/>
      <c r="G89" s="503"/>
      <c r="H89" s="503"/>
      <c r="I89" s="503"/>
      <c r="J89" s="503"/>
      <c r="K89" s="503"/>
      <c r="L89" s="503"/>
      <c r="M89" s="530"/>
      <c r="N89" s="2748"/>
      <c r="O89" s="2748"/>
      <c r="P89" s="2758"/>
      <c r="Q89" s="2736"/>
      <c r="R89" s="2658"/>
      <c r="S89" s="2658"/>
      <c r="T89" s="2658"/>
      <c r="U89" s="2658"/>
      <c r="V89" s="2658"/>
      <c r="W89" s="2658"/>
      <c r="X89" s="2658"/>
      <c r="Y89" s="2658"/>
      <c r="Z89" s="2658"/>
      <c r="AA89" s="2658"/>
      <c r="AB89" s="2658"/>
      <c r="AC89" s="2658"/>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0"/>
      <c r="O90" s="2750"/>
      <c r="P90" s="2758"/>
      <c r="Q90" s="2736"/>
      <c r="R90" s="2658"/>
      <c r="S90" s="2658"/>
      <c r="T90" s="2658"/>
      <c r="U90" s="2658"/>
      <c r="V90" s="2658"/>
      <c r="W90" s="2658"/>
      <c r="X90" s="2658"/>
      <c r="Y90" s="2658"/>
      <c r="Z90" s="2658"/>
      <c r="AA90" s="2658"/>
      <c r="AB90" s="2658"/>
      <c r="AC90" s="2658"/>
    </row>
    <row r="91" spans="1:29" s="422" customFormat="1" ht="15.75" thickTop="1">
      <c r="A91" s="502"/>
      <c r="B91" s="487" t="str">
        <f>B28</f>
        <v>朝向</v>
      </c>
      <c r="C91" s="503"/>
      <c r="D91" s="503"/>
      <c r="E91" s="503"/>
      <c r="F91" s="503"/>
      <c r="G91" s="503"/>
      <c r="H91" s="504"/>
      <c r="I91" s="504"/>
      <c r="J91" s="504"/>
      <c r="K91" s="504"/>
      <c r="L91" s="505"/>
      <c r="M91" s="506"/>
      <c r="N91" s="2751"/>
      <c r="O91" s="2751"/>
      <c r="P91" s="2759"/>
      <c r="Q91" s="2742"/>
      <c r="R91" s="2743"/>
      <c r="S91" s="2743"/>
      <c r="T91" s="2743"/>
      <c r="U91" s="2743"/>
      <c r="V91" s="2743"/>
      <c r="W91" s="2743"/>
      <c r="X91" s="2743"/>
      <c r="Y91" s="2743"/>
      <c r="Z91" s="2743"/>
      <c r="AA91" s="2743"/>
      <c r="AB91" s="2743"/>
      <c r="AC91" s="2743"/>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1"/>
      <c r="O92" s="2751"/>
      <c r="P92" s="2759"/>
      <c r="Q92" s="2742"/>
      <c r="R92" s="2743"/>
      <c r="S92" s="2743"/>
      <c r="T92" s="2743"/>
      <c r="U92" s="2743"/>
      <c r="V92" s="2743"/>
      <c r="W92" s="2743"/>
      <c r="X92" s="2743"/>
      <c r="Y92" s="2743"/>
      <c r="Z92" s="2743"/>
      <c r="AA92" s="2743"/>
      <c r="AB92" s="2743"/>
      <c r="AC92" s="2743"/>
    </row>
    <row r="93" spans="1:29" ht="15.75" thickTop="1">
      <c r="A93" s="483"/>
      <c r="B93" s="487">
        <f>B29</f>
        <v>111</v>
      </c>
      <c r="C93" s="503"/>
      <c r="D93" s="503"/>
      <c r="E93" s="503"/>
      <c r="F93" s="503"/>
      <c r="G93" s="503"/>
      <c r="H93" s="503"/>
      <c r="I93" s="503"/>
      <c r="J93" s="503"/>
      <c r="K93" s="503"/>
      <c r="L93" s="529"/>
      <c r="M93" s="530"/>
      <c r="N93" s="2749"/>
      <c r="O93" s="2749"/>
      <c r="P93" s="2758"/>
      <c r="Q93" s="2736"/>
      <c r="R93" s="2722"/>
      <c r="S93" s="2722"/>
      <c r="T93" s="2722"/>
      <c r="U93" s="2722"/>
      <c r="V93" s="2722"/>
      <c r="W93" s="2722"/>
      <c r="X93" s="2722"/>
      <c r="Y93" s="2722"/>
      <c r="Z93" s="2722"/>
      <c r="AA93" s="2722"/>
      <c r="AB93" s="2722"/>
      <c r="AC93" s="2722"/>
    </row>
    <row r="94" spans="1:29" ht="15.75" thickBot="1">
      <c r="A94" s="483"/>
      <c r="B94" s="492"/>
      <c r="C94" s="509"/>
      <c r="D94" s="485"/>
      <c r="E94" s="485"/>
      <c r="F94" s="485"/>
      <c r="G94" s="485"/>
      <c r="H94" s="485"/>
      <c r="I94" s="485"/>
      <c r="J94" s="485"/>
      <c r="K94" s="485"/>
      <c r="L94" s="485"/>
      <c r="M94" s="486"/>
      <c r="N94" s="2750"/>
      <c r="O94" s="2750"/>
      <c r="P94" s="2758"/>
      <c r="Q94" s="2736"/>
      <c r="R94" s="2722"/>
      <c r="S94" s="2722"/>
      <c r="T94" s="2722"/>
      <c r="U94" s="2722"/>
      <c r="V94" s="2722"/>
      <c r="W94" s="2722"/>
      <c r="X94" s="2722"/>
      <c r="Y94" s="2722"/>
      <c r="Z94" s="2722"/>
      <c r="AA94" s="2722"/>
      <c r="AB94" s="2722"/>
      <c r="AC94" s="2722"/>
    </row>
    <row r="95" spans="1:29" ht="15.75" thickTop="1">
      <c r="A95" s="483"/>
      <c r="B95" s="487">
        <f>B30</f>
        <v>111</v>
      </c>
      <c r="C95" s="503"/>
      <c r="D95" s="503"/>
      <c r="E95" s="503"/>
      <c r="F95" s="503"/>
      <c r="G95" s="532"/>
      <c r="H95" s="532"/>
      <c r="I95" s="532"/>
      <c r="J95" s="532"/>
      <c r="K95" s="533"/>
      <c r="L95" s="534"/>
      <c r="M95" s="535"/>
      <c r="N95" s="2749"/>
      <c r="O95" s="2749"/>
      <c r="P95" s="2758"/>
      <c r="Q95" s="2736"/>
      <c r="R95" s="2722"/>
      <c r="S95" s="2722"/>
      <c r="T95" s="2722"/>
      <c r="U95" s="2722"/>
      <c r="V95" s="2722"/>
      <c r="W95" s="2722"/>
      <c r="X95" s="2722"/>
      <c r="Y95" s="2722"/>
      <c r="Z95" s="2722"/>
      <c r="AA95" s="2722"/>
      <c r="AB95" s="2722"/>
      <c r="AC95" s="2722"/>
    </row>
    <row r="96" spans="1:29" ht="15.75" thickBot="1">
      <c r="A96" s="483"/>
      <c r="B96" s="492"/>
      <c r="C96" s="509"/>
      <c r="D96" s="509"/>
      <c r="E96" s="509"/>
      <c r="F96" s="509"/>
      <c r="G96" s="485"/>
      <c r="H96" s="485"/>
      <c r="I96" s="485"/>
      <c r="J96" s="485"/>
      <c r="K96" s="485"/>
      <c r="L96" s="485"/>
      <c r="M96" s="486"/>
      <c r="N96" s="2750"/>
      <c r="O96" s="2750"/>
      <c r="P96" s="2758"/>
      <c r="Q96" s="2736"/>
      <c r="R96" s="2722"/>
      <c r="S96" s="2722"/>
      <c r="T96" s="2722"/>
      <c r="U96" s="2722"/>
      <c r="V96" s="2722"/>
      <c r="W96" s="2722"/>
      <c r="X96" s="2722"/>
      <c r="Y96" s="2722"/>
      <c r="Z96" s="2722"/>
      <c r="AA96" s="2722"/>
      <c r="AB96" s="2722"/>
      <c r="AC96" s="2722"/>
    </row>
    <row r="97" spans="1:29" ht="15.75" thickTop="1">
      <c r="A97" s="483"/>
      <c r="B97" s="487">
        <f>B31</f>
        <v>111</v>
      </c>
      <c r="C97" s="503"/>
      <c r="D97" s="503"/>
      <c r="E97" s="503"/>
      <c r="F97" s="503"/>
      <c r="G97" s="532"/>
      <c r="H97" s="532"/>
      <c r="I97" s="532"/>
      <c r="J97" s="532"/>
      <c r="K97" s="533"/>
      <c r="L97" s="534"/>
      <c r="M97" s="535"/>
      <c r="N97" s="2749"/>
      <c r="O97" s="2749"/>
      <c r="P97" s="2758"/>
      <c r="Q97" s="2736"/>
      <c r="R97" s="2722"/>
      <c r="S97" s="2722"/>
      <c r="T97" s="2722"/>
      <c r="U97" s="2722"/>
      <c r="V97" s="2722"/>
      <c r="W97" s="2722"/>
      <c r="X97" s="2722"/>
      <c r="Y97" s="2722"/>
      <c r="Z97" s="2722"/>
      <c r="AA97" s="2722"/>
      <c r="AB97" s="2722"/>
      <c r="AC97" s="2722"/>
    </row>
    <row r="98" spans="1:29" ht="15.75" thickBot="1">
      <c r="A98" s="483"/>
      <c r="B98" s="492"/>
      <c r="C98" s="509"/>
      <c r="D98" s="485"/>
      <c r="E98" s="485"/>
      <c r="F98" s="485"/>
      <c r="G98" s="485"/>
      <c r="H98" s="485"/>
      <c r="I98" s="485"/>
      <c r="J98" s="485"/>
      <c r="K98" s="485"/>
      <c r="L98" s="485"/>
      <c r="M98" s="486"/>
      <c r="N98" s="2750"/>
      <c r="O98" s="2750"/>
      <c r="P98" s="2758"/>
      <c r="Q98" s="2736"/>
      <c r="R98" s="2722"/>
      <c r="S98" s="2722"/>
      <c r="T98" s="2722"/>
      <c r="U98" s="2722"/>
      <c r="V98" s="2722"/>
      <c r="W98" s="2722"/>
      <c r="X98" s="2722"/>
      <c r="Y98" s="2722"/>
      <c r="Z98" s="2722"/>
      <c r="AA98" s="2722"/>
      <c r="AB98" s="2722"/>
      <c r="AC98" s="2722"/>
    </row>
    <row r="99" spans="1:29" ht="15.75" thickTop="1">
      <c r="A99" s="483"/>
      <c r="B99" s="495">
        <f>B32</f>
        <v>111</v>
      </c>
      <c r="C99" s="472"/>
      <c r="D99" s="472"/>
      <c r="E99" s="472"/>
      <c r="F99" s="472"/>
      <c r="G99" s="536"/>
      <c r="H99" s="536"/>
      <c r="I99" s="536"/>
      <c r="J99" s="536"/>
      <c r="K99" s="537"/>
      <c r="L99" s="538"/>
      <c r="M99" s="539"/>
      <c r="N99" s="2749"/>
      <c r="O99" s="2749"/>
      <c r="P99" s="2758"/>
      <c r="Q99" s="2736"/>
      <c r="R99" s="2722"/>
      <c r="S99" s="2722"/>
      <c r="T99" s="2722"/>
      <c r="U99" s="2722"/>
      <c r="V99" s="2722"/>
      <c r="W99" s="2722"/>
      <c r="X99" s="2722"/>
      <c r="Y99" s="2722"/>
      <c r="Z99" s="2722"/>
      <c r="AA99" s="2722"/>
      <c r="AB99" s="2722"/>
      <c r="AC99" s="2722"/>
    </row>
    <row r="100" spans="1:29" ht="15.75" thickBot="1">
      <c r="A100" s="1926"/>
      <c r="B100" s="518"/>
      <c r="C100" s="519"/>
      <c r="D100" s="519"/>
      <c r="E100" s="519"/>
      <c r="F100" s="519"/>
      <c r="G100" s="540"/>
      <c r="H100" s="540"/>
      <c r="I100" s="540"/>
      <c r="J100" s="540"/>
      <c r="K100" s="540"/>
      <c r="L100" s="540"/>
      <c r="M100" s="541"/>
      <c r="N100" s="2750"/>
      <c r="O100" s="2750"/>
      <c r="P100" s="2758"/>
      <c r="Q100" s="2736"/>
      <c r="R100" s="2722"/>
      <c r="S100" s="2722"/>
      <c r="T100" s="2722"/>
      <c r="U100" s="2722"/>
      <c r="V100" s="2722"/>
      <c r="W100" s="2722"/>
      <c r="X100" s="2722"/>
      <c r="Y100" s="2722"/>
      <c r="Z100" s="2722"/>
      <c r="AA100" s="2722"/>
      <c r="AB100" s="2722"/>
      <c r="AC100" s="2722"/>
    </row>
    <row r="101" spans="1:29">
      <c r="A101" s="476" t="s">
        <v>1694</v>
      </c>
      <c r="B101" s="477" t="s">
        <v>1736</v>
      </c>
      <c r="C101" s="3495" t="s">
        <v>3563</v>
      </c>
      <c r="D101" s="3495" t="s">
        <v>3564</v>
      </c>
      <c r="E101" s="479"/>
      <c r="F101" s="479"/>
      <c r="G101" s="479"/>
      <c r="H101" s="479"/>
      <c r="I101" s="479"/>
      <c r="J101" s="479"/>
      <c r="K101" s="480"/>
      <c r="L101" s="481"/>
      <c r="M101" s="482"/>
      <c r="N101" s="2749"/>
      <c r="O101" s="2749"/>
      <c r="P101" s="2758"/>
      <c r="Q101" s="2736"/>
      <c r="R101" s="2722"/>
      <c r="S101" s="2722"/>
      <c r="T101" s="2722"/>
      <c r="U101" s="2722"/>
      <c r="V101" s="2722"/>
      <c r="W101" s="2722"/>
      <c r="X101" s="2722"/>
      <c r="Y101" s="2722"/>
      <c r="Z101" s="2722"/>
      <c r="AA101" s="2722"/>
      <c r="AB101" s="2722"/>
      <c r="AC101" s="2722"/>
    </row>
    <row r="102" spans="1:29" ht="15.75" thickBot="1">
      <c r="A102" s="483"/>
      <c r="B102" s="492"/>
      <c r="C102" s="493">
        <v>100</v>
      </c>
      <c r="D102" s="493">
        <f t="shared" ref="D102:M102" si="22">C102-$K33</f>
        <v>95</v>
      </c>
      <c r="E102" s="493">
        <f t="shared" si="22"/>
        <v>90</v>
      </c>
      <c r="F102" s="493">
        <f t="shared" si="22"/>
        <v>85</v>
      </c>
      <c r="G102" s="493">
        <f t="shared" si="22"/>
        <v>80</v>
      </c>
      <c r="H102" s="493">
        <f t="shared" si="22"/>
        <v>75</v>
      </c>
      <c r="I102" s="493">
        <f t="shared" si="22"/>
        <v>70</v>
      </c>
      <c r="J102" s="493">
        <f t="shared" si="22"/>
        <v>65</v>
      </c>
      <c r="K102" s="493">
        <f t="shared" si="22"/>
        <v>60</v>
      </c>
      <c r="L102" s="493">
        <f t="shared" si="22"/>
        <v>55</v>
      </c>
      <c r="M102" s="494">
        <f t="shared" si="22"/>
        <v>50</v>
      </c>
      <c r="N102" s="2750"/>
      <c r="O102" s="2750"/>
      <c r="P102" s="2758"/>
      <c r="Q102" s="2736"/>
      <c r="R102" s="2722"/>
      <c r="S102" s="2722"/>
      <c r="T102" s="2722"/>
      <c r="U102" s="2722"/>
      <c r="V102" s="2722"/>
      <c r="W102" s="2722"/>
      <c r="X102" s="2722"/>
      <c r="Y102" s="2722"/>
      <c r="Z102" s="2722"/>
      <c r="AA102" s="2722"/>
      <c r="AB102" s="2722"/>
      <c r="AC102" s="2722"/>
    </row>
    <row r="103" spans="1:29" ht="15.75" thickTop="1">
      <c r="A103" s="483"/>
      <c r="B103" s="487" t="s">
        <v>1737</v>
      </c>
      <c r="C103" s="527" t="str">
        <f>C104&amp;"(含)"&amp;"-"&amp;D104</f>
        <v>0(含)-20000</v>
      </c>
      <c r="D103" s="527" t="str">
        <f t="shared" ref="D103:L103" si="23">D104&amp;"(含)"&amp;"-"&amp;E104</f>
        <v>20000(含)-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48"/>
      <c r="O103" s="2748"/>
      <c r="P103" s="2758"/>
      <c r="Q103" s="2736"/>
      <c r="R103" s="2722"/>
      <c r="S103" s="2722"/>
      <c r="T103" s="2722"/>
      <c r="U103" s="2722"/>
      <c r="V103" s="2722"/>
      <c r="W103" s="2722"/>
      <c r="X103" s="2722"/>
      <c r="Y103" s="2722"/>
      <c r="Z103" s="2722"/>
      <c r="AA103" s="2722"/>
      <c r="AB103" s="2722"/>
      <c r="AC103" s="2722"/>
    </row>
    <row r="104" spans="1:29" s="422" customFormat="1">
      <c r="A104" s="542"/>
      <c r="B104" s="543"/>
      <c r="C104" s="544">
        <v>0</v>
      </c>
      <c r="D104" s="544">
        <v>20000</v>
      </c>
      <c r="E104" s="544"/>
      <c r="F104" s="544"/>
      <c r="G104" s="544"/>
      <c r="H104" s="544"/>
      <c r="I104" s="544"/>
      <c r="J104" s="545"/>
      <c r="K104" s="545"/>
      <c r="L104" s="546"/>
      <c r="M104" s="547"/>
      <c r="N104" s="2751"/>
      <c r="O104" s="2751"/>
      <c r="P104" s="2759"/>
      <c r="Q104" s="2742"/>
      <c r="R104" s="2743"/>
      <c r="S104" s="2743"/>
      <c r="T104" s="2743"/>
      <c r="U104" s="2743"/>
      <c r="V104" s="2743"/>
      <c r="W104" s="2743"/>
      <c r="X104" s="2743"/>
      <c r="Y104" s="2743"/>
      <c r="Z104" s="2743"/>
      <c r="AA104" s="2743"/>
      <c r="AB104" s="2743"/>
      <c r="AC104" s="2743"/>
    </row>
    <row r="105" spans="1:29" s="422" customFormat="1" ht="15.75" thickBot="1">
      <c r="A105" s="502"/>
      <c r="B105" s="492"/>
      <c r="C105" s="509"/>
      <c r="D105" s="485"/>
      <c r="E105" s="485"/>
      <c r="F105" s="485"/>
      <c r="G105" s="485"/>
      <c r="H105" s="485"/>
      <c r="I105" s="485"/>
      <c r="J105" s="485"/>
      <c r="K105" s="485"/>
      <c r="L105" s="485"/>
      <c r="M105" s="486"/>
      <c r="N105" s="2750"/>
      <c r="O105" s="2750"/>
      <c r="P105" s="2759"/>
      <c r="Q105" s="2742"/>
      <c r="R105" s="2743"/>
      <c r="S105" s="2743"/>
      <c r="T105" s="2743"/>
      <c r="U105" s="2743"/>
      <c r="V105" s="2743"/>
      <c r="W105" s="2743"/>
      <c r="X105" s="2743"/>
      <c r="Y105" s="2743"/>
      <c r="Z105" s="2743"/>
      <c r="AA105" s="2743"/>
      <c r="AB105" s="2743"/>
      <c r="AC105" s="2743"/>
    </row>
    <row r="106" spans="1:29" ht="15" thickTop="1">
      <c r="A106" s="548"/>
      <c r="B106" s="487" t="s">
        <v>1738</v>
      </c>
      <c r="C106" s="503"/>
      <c r="D106" s="503"/>
      <c r="E106" s="532"/>
      <c r="F106" s="532"/>
      <c r="G106" s="532"/>
      <c r="H106" s="532"/>
      <c r="I106" s="532"/>
      <c r="J106" s="532"/>
      <c r="K106" s="533"/>
      <c r="L106" s="534"/>
      <c r="M106" s="535"/>
      <c r="N106" s="2749"/>
      <c r="O106" s="2749"/>
      <c r="P106" s="2758"/>
      <c r="Q106" s="2736"/>
      <c r="R106" s="2722"/>
      <c r="S106" s="2722"/>
      <c r="T106" s="2722"/>
      <c r="U106" s="2722"/>
      <c r="V106" s="2722"/>
      <c r="W106" s="2722"/>
      <c r="X106" s="2722"/>
      <c r="Y106" s="2722"/>
      <c r="Z106" s="2722"/>
      <c r="AA106" s="2722"/>
      <c r="AB106" s="2722"/>
      <c r="AC106" s="2722"/>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0"/>
      <c r="O107" s="2750"/>
      <c r="P107" s="2758"/>
      <c r="Q107" s="2736"/>
      <c r="R107" s="2722"/>
      <c r="S107" s="2722"/>
      <c r="T107" s="2722"/>
      <c r="U107" s="2722"/>
      <c r="V107" s="2722"/>
      <c r="W107" s="2722"/>
      <c r="X107" s="2722"/>
      <c r="Y107" s="2722"/>
      <c r="Z107" s="2722"/>
      <c r="AA107" s="2722"/>
      <c r="AB107" s="2722"/>
      <c r="AC107" s="2722"/>
    </row>
    <row r="108" spans="1:29" ht="15" thickTop="1">
      <c r="A108" s="548"/>
      <c r="B108" s="487" t="s">
        <v>1740</v>
      </c>
      <c r="C108" s="503"/>
      <c r="D108" s="503"/>
      <c r="E108" s="503"/>
      <c r="F108" s="532"/>
      <c r="G108" s="532"/>
      <c r="H108" s="532"/>
      <c r="I108" s="532"/>
      <c r="J108" s="532"/>
      <c r="K108" s="533"/>
      <c r="L108" s="534"/>
      <c r="M108" s="535"/>
      <c r="N108" s="2749"/>
      <c r="O108" s="2749"/>
      <c r="P108" s="2758"/>
      <c r="Q108" s="2736"/>
      <c r="R108" s="2722"/>
      <c r="S108" s="2722"/>
      <c r="T108" s="2722"/>
      <c r="U108" s="2722"/>
      <c r="V108" s="2722"/>
      <c r="W108" s="2722"/>
      <c r="X108" s="2722"/>
      <c r="Y108" s="2722"/>
      <c r="Z108" s="2722"/>
      <c r="AA108" s="2722"/>
      <c r="AB108" s="2722"/>
      <c r="AC108" s="2722"/>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0"/>
      <c r="O109" s="2750"/>
      <c r="P109" s="2758"/>
      <c r="Q109" s="2736"/>
      <c r="R109" s="2722"/>
      <c r="S109" s="2722"/>
      <c r="T109" s="2722"/>
      <c r="U109" s="2722"/>
      <c r="V109" s="2722"/>
      <c r="W109" s="2722"/>
      <c r="X109" s="2722"/>
      <c r="Y109" s="2722"/>
      <c r="Z109" s="2722"/>
      <c r="AA109" s="2722"/>
      <c r="AB109" s="2722"/>
      <c r="AC109" s="2722"/>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49"/>
      <c r="O110" s="2749"/>
      <c r="P110" s="2758"/>
      <c r="Q110" s="2736"/>
      <c r="R110" s="2722"/>
      <c r="S110" s="2722"/>
      <c r="T110" s="2722"/>
      <c r="U110" s="2722"/>
      <c r="V110" s="2722"/>
      <c r="W110" s="2722"/>
      <c r="X110" s="2722"/>
      <c r="Y110" s="2722"/>
      <c r="Z110" s="2722"/>
      <c r="AA110" s="2722"/>
      <c r="AB110" s="2722"/>
      <c r="AC110" s="2722"/>
    </row>
    <row r="111" spans="1:29">
      <c r="A111" s="548"/>
      <c r="B111" s="495"/>
      <c r="C111" s="552">
        <v>0.5</v>
      </c>
      <c r="D111" s="552">
        <v>0.6</v>
      </c>
      <c r="E111" s="552">
        <v>0.7</v>
      </c>
      <c r="F111" s="552">
        <v>0.8</v>
      </c>
      <c r="G111" s="552">
        <v>0.9</v>
      </c>
      <c r="H111" s="552">
        <v>1.0001</v>
      </c>
      <c r="I111" s="571"/>
      <c r="J111" s="571"/>
      <c r="K111" s="572"/>
      <c r="L111" s="573"/>
      <c r="M111" s="574"/>
      <c r="N111" s="2749"/>
      <c r="O111" s="2749"/>
      <c r="P111" s="2758"/>
      <c r="Q111" s="2736"/>
      <c r="R111" s="2722"/>
      <c r="S111" s="2722"/>
      <c r="T111" s="2722"/>
      <c r="U111" s="2722"/>
      <c r="V111" s="2722"/>
      <c r="W111" s="2722"/>
      <c r="X111" s="2722"/>
      <c r="Y111" s="2722"/>
      <c r="Z111" s="2722"/>
      <c r="AA111" s="2722"/>
      <c r="AB111" s="2722"/>
      <c r="AC111" s="2722"/>
    </row>
    <row r="112" spans="1:29" ht="15.75" thickBot="1">
      <c r="A112" s="483"/>
      <c r="B112" s="492"/>
      <c r="C112" s="531">
        <v>100</v>
      </c>
      <c r="D112" s="493">
        <f>C112+$K37</f>
        <v>101</v>
      </c>
      <c r="E112" s="493">
        <f t="shared" ref="E112:M112" si="26">D112+$K37</f>
        <v>102</v>
      </c>
      <c r="F112" s="493">
        <f t="shared" si="26"/>
        <v>103</v>
      </c>
      <c r="G112" s="493">
        <f t="shared" si="26"/>
        <v>104</v>
      </c>
      <c r="H112" s="493">
        <f t="shared" si="26"/>
        <v>105</v>
      </c>
      <c r="I112" s="493">
        <f t="shared" si="26"/>
        <v>106</v>
      </c>
      <c r="J112" s="493">
        <f t="shared" si="26"/>
        <v>107</v>
      </c>
      <c r="K112" s="493">
        <f t="shared" si="26"/>
        <v>108</v>
      </c>
      <c r="L112" s="493">
        <f t="shared" si="26"/>
        <v>109</v>
      </c>
      <c r="M112" s="493">
        <f t="shared" si="26"/>
        <v>110</v>
      </c>
      <c r="N112" s="2750"/>
      <c r="O112" s="2750"/>
      <c r="P112" s="2758"/>
      <c r="Q112" s="2736"/>
      <c r="R112" s="2722"/>
      <c r="S112" s="2722"/>
      <c r="T112" s="2722"/>
      <c r="U112" s="2722"/>
      <c r="V112" s="2722"/>
      <c r="W112" s="2722"/>
      <c r="X112" s="2722"/>
      <c r="Y112" s="2722"/>
      <c r="Z112" s="2722"/>
      <c r="AA112" s="2722"/>
      <c r="AB112" s="2722"/>
      <c r="AC112" s="2722"/>
    </row>
    <row r="113" spans="1:29" s="422" customFormat="1" ht="15" thickTop="1">
      <c r="A113" s="542"/>
      <c r="B113" s="487" t="s">
        <v>1824</v>
      </c>
      <c r="C113" s="503"/>
      <c r="D113" s="503"/>
      <c r="E113" s="503"/>
      <c r="F113" s="503"/>
      <c r="G113" s="503"/>
      <c r="H113" s="532"/>
      <c r="I113" s="532"/>
      <c r="J113" s="532"/>
      <c r="K113" s="533"/>
      <c r="L113" s="534"/>
      <c r="M113" s="535"/>
      <c r="N113" s="2751"/>
      <c r="O113" s="2751"/>
      <c r="P113" s="2759"/>
      <c r="Q113" s="2742"/>
      <c r="R113" s="2743"/>
      <c r="S113" s="2743"/>
      <c r="T113" s="2743"/>
      <c r="U113" s="2743"/>
      <c r="V113" s="2743"/>
      <c r="W113" s="2743"/>
      <c r="X113" s="2743"/>
      <c r="Y113" s="2743"/>
      <c r="Z113" s="2743"/>
      <c r="AA113" s="2743"/>
      <c r="AB113" s="2743"/>
      <c r="AC113" s="2743"/>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1"/>
      <c r="O114" s="2751"/>
      <c r="P114" s="2759"/>
      <c r="Q114" s="2742"/>
      <c r="R114" s="2743"/>
      <c r="S114" s="2743"/>
      <c r="T114" s="2743"/>
      <c r="U114" s="2743"/>
      <c r="V114" s="2743"/>
      <c r="W114" s="2743"/>
      <c r="X114" s="2743"/>
      <c r="Y114" s="2743"/>
      <c r="Z114" s="2743"/>
      <c r="AA114" s="2743"/>
      <c r="AB114" s="2743"/>
      <c r="AC114" s="2743"/>
    </row>
    <row r="115" spans="1:29" ht="15" thickTop="1">
      <c r="A115" s="548"/>
      <c r="B115" s="487" t="s">
        <v>1741</v>
      </c>
      <c r="C115" s="503"/>
      <c r="D115" s="503"/>
      <c r="E115" s="532"/>
      <c r="F115" s="532"/>
      <c r="G115" s="532"/>
      <c r="H115" s="532"/>
      <c r="I115" s="532"/>
      <c r="J115" s="532"/>
      <c r="K115" s="533"/>
      <c r="L115" s="534"/>
      <c r="M115" s="535"/>
      <c r="N115" s="2749"/>
      <c r="O115" s="2749"/>
      <c r="P115" s="2758"/>
      <c r="Q115" s="2736"/>
      <c r="R115" s="2722"/>
      <c r="S115" s="2722"/>
      <c r="T115" s="2722"/>
      <c r="U115" s="2722"/>
      <c r="V115" s="2722"/>
      <c r="W115" s="2722"/>
      <c r="X115" s="2722"/>
      <c r="Y115" s="2722"/>
      <c r="Z115" s="2722"/>
      <c r="AA115" s="2722"/>
      <c r="AB115" s="2722"/>
      <c r="AC115" s="2722"/>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0"/>
      <c r="O116" s="2750"/>
      <c r="P116" s="2758"/>
      <c r="Q116" s="2736"/>
      <c r="R116" s="2722"/>
      <c r="S116" s="2722"/>
      <c r="T116" s="2722"/>
      <c r="U116" s="2722"/>
      <c r="V116" s="2722"/>
      <c r="W116" s="2722"/>
      <c r="X116" s="2722"/>
      <c r="Y116" s="2722"/>
      <c r="Z116" s="2722"/>
      <c r="AA116" s="2722"/>
      <c r="AB116" s="2722"/>
      <c r="AC116" s="2722"/>
    </row>
    <row r="117" spans="1:29" ht="15" thickTop="1">
      <c r="A117" s="548"/>
      <c r="B117" s="487" t="s">
        <v>1742</v>
      </c>
      <c r="C117" s="503"/>
      <c r="D117" s="503"/>
      <c r="E117" s="503"/>
      <c r="F117" s="503"/>
      <c r="G117" s="503"/>
      <c r="H117" s="532"/>
      <c r="I117" s="532"/>
      <c r="J117" s="532"/>
      <c r="K117" s="533"/>
      <c r="L117" s="534"/>
      <c r="M117" s="535"/>
      <c r="N117" s="2749"/>
      <c r="O117" s="2749"/>
      <c r="P117" s="2758"/>
      <c r="Q117" s="2736"/>
      <c r="R117" s="2722"/>
      <c r="S117" s="2722"/>
      <c r="T117" s="2722"/>
      <c r="U117" s="2722"/>
      <c r="V117" s="2722"/>
      <c r="W117" s="2722"/>
      <c r="X117" s="2722"/>
      <c r="Y117" s="2722"/>
      <c r="Z117" s="2722"/>
      <c r="AA117" s="2722"/>
      <c r="AB117" s="2722"/>
      <c r="AC117" s="2722"/>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0"/>
      <c r="O118" s="2750"/>
      <c r="P118" s="2758"/>
      <c r="Q118" s="2736"/>
      <c r="R118" s="2722"/>
      <c r="S118" s="2722"/>
      <c r="T118" s="2722"/>
      <c r="U118" s="2722"/>
      <c r="V118" s="2722"/>
      <c r="W118" s="2722"/>
      <c r="X118" s="2722"/>
      <c r="Y118" s="2722"/>
      <c r="Z118" s="2722"/>
      <c r="AA118" s="2722"/>
      <c r="AB118" s="2722"/>
      <c r="AC118" s="2722"/>
    </row>
    <row r="119" spans="1:29" ht="15" thickTop="1">
      <c r="A119" s="548"/>
      <c r="B119" s="584" t="s">
        <v>1825</v>
      </c>
      <c r="C119" s="532"/>
      <c r="D119" s="532"/>
      <c r="E119" s="532"/>
      <c r="F119" s="532"/>
      <c r="G119" s="532"/>
      <c r="H119" s="532"/>
      <c r="I119" s="532"/>
      <c r="J119" s="532"/>
      <c r="K119" s="532"/>
      <c r="L119" s="1965"/>
      <c r="M119" s="1966"/>
      <c r="N119" s="2750"/>
      <c r="O119" s="2750"/>
      <c r="P119" s="2763"/>
      <c r="Q119" s="2764"/>
      <c r="R119" s="2722"/>
      <c r="S119" s="2722"/>
      <c r="T119" s="2722"/>
      <c r="U119" s="2722"/>
      <c r="V119" s="2722"/>
      <c r="W119" s="2722"/>
      <c r="X119" s="2722"/>
      <c r="Y119" s="2722"/>
      <c r="Z119" s="2722"/>
      <c r="AA119" s="2722"/>
      <c r="AB119" s="2722"/>
      <c r="AC119" s="2722"/>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0"/>
      <c r="O120" s="2750"/>
      <c r="P120" s="2758"/>
      <c r="Q120" s="2736"/>
      <c r="R120" s="2722"/>
      <c r="S120" s="2722"/>
      <c r="T120" s="2722"/>
      <c r="U120" s="2722"/>
      <c r="V120" s="2722"/>
      <c r="W120" s="2722"/>
      <c r="X120" s="2722"/>
      <c r="Y120" s="2722"/>
      <c r="Z120" s="2722"/>
      <c r="AA120" s="2722"/>
      <c r="AB120" s="2722"/>
      <c r="AC120" s="2722"/>
    </row>
    <row r="121" spans="1:29" s="422" customFormat="1" ht="15" thickTop="1">
      <c r="A121" s="542"/>
      <c r="B121" s="487" t="s">
        <v>1808</v>
      </c>
      <c r="C121" s="503"/>
      <c r="D121" s="503"/>
      <c r="E121" s="503"/>
      <c r="F121" s="532"/>
      <c r="G121" s="504"/>
      <c r="H121" s="504"/>
      <c r="I121" s="504"/>
      <c r="J121" s="504"/>
      <c r="K121" s="504"/>
      <c r="L121" s="505"/>
      <c r="M121" s="506"/>
      <c r="N121" s="2751"/>
      <c r="O121" s="2751"/>
      <c r="P121" s="2759"/>
      <c r="Q121" s="2742"/>
      <c r="R121" s="2743"/>
      <c r="S121" s="2743"/>
      <c r="T121" s="2743"/>
      <c r="U121" s="2743"/>
      <c r="V121" s="2743"/>
      <c r="W121" s="2743"/>
      <c r="X121" s="2743"/>
      <c r="Y121" s="2743"/>
      <c r="Z121" s="2743"/>
      <c r="AA121" s="2743"/>
      <c r="AB121" s="2743"/>
      <c r="AC121" s="2743"/>
    </row>
    <row r="122" spans="1:29" s="422" customFormat="1" ht="15.75" thickBot="1">
      <c r="A122" s="502"/>
      <c r="B122" s="484"/>
      <c r="C122" s="509"/>
      <c r="D122" s="509"/>
      <c r="E122" s="509"/>
      <c r="F122" s="509"/>
      <c r="G122" s="509"/>
      <c r="H122" s="509"/>
      <c r="I122" s="509"/>
      <c r="J122" s="509"/>
      <c r="K122" s="509"/>
      <c r="L122" s="509"/>
      <c r="M122" s="509"/>
      <c r="N122" s="2751"/>
      <c r="O122" s="2751"/>
      <c r="P122" s="2759"/>
      <c r="Q122" s="2742"/>
      <c r="R122" s="2743"/>
      <c r="S122" s="2743"/>
      <c r="T122" s="2743"/>
      <c r="U122" s="2743"/>
      <c r="V122" s="2743"/>
      <c r="W122" s="2743"/>
      <c r="X122" s="2743"/>
      <c r="Y122" s="2743"/>
      <c r="Z122" s="2743"/>
      <c r="AA122" s="2743"/>
      <c r="AB122" s="2743"/>
      <c r="AC122" s="2743"/>
    </row>
    <row r="123" spans="1:29" ht="15" thickTop="1">
      <c r="A123" s="548"/>
      <c r="B123" s="487" t="s">
        <v>1744</v>
      </c>
      <c r="C123" s="3507" t="s">
        <v>3552</v>
      </c>
      <c r="D123" s="3507" t="s">
        <v>3554</v>
      </c>
      <c r="E123" s="3507" t="s">
        <v>3553</v>
      </c>
      <c r="F123" s="3513" t="s">
        <v>3555</v>
      </c>
      <c r="G123" s="532"/>
      <c r="H123" s="532"/>
      <c r="I123" s="532"/>
      <c r="J123" s="532"/>
      <c r="K123" s="533"/>
      <c r="L123" s="534"/>
      <c r="M123" s="535"/>
      <c r="N123" s="2749"/>
      <c r="O123" s="2749"/>
      <c r="P123" s="2758"/>
      <c r="Q123" s="2736"/>
      <c r="R123" s="2722"/>
      <c r="S123" s="2722"/>
      <c r="T123" s="2722"/>
      <c r="U123" s="2722"/>
      <c r="V123" s="2722"/>
      <c r="W123" s="2722"/>
      <c r="X123" s="2722"/>
      <c r="Y123" s="2722"/>
      <c r="Z123" s="2722"/>
      <c r="AA123" s="2722"/>
      <c r="AB123" s="2722"/>
      <c r="AC123" s="2722"/>
    </row>
    <row r="124" spans="1:29" ht="15.75" thickBot="1">
      <c r="A124" s="483"/>
      <c r="B124" s="492"/>
      <c r="C124" s="493">
        <v>100</v>
      </c>
      <c r="D124" s="493">
        <f t="shared" ref="D124:M124" si="30">C124-$K43</f>
        <v>97</v>
      </c>
      <c r="E124" s="493">
        <f t="shared" si="30"/>
        <v>94</v>
      </c>
      <c r="F124" s="493">
        <f t="shared" si="30"/>
        <v>91</v>
      </c>
      <c r="G124" s="493">
        <f t="shared" si="30"/>
        <v>88</v>
      </c>
      <c r="H124" s="493">
        <f t="shared" si="30"/>
        <v>85</v>
      </c>
      <c r="I124" s="493">
        <f t="shared" si="30"/>
        <v>82</v>
      </c>
      <c r="J124" s="493">
        <f t="shared" si="30"/>
        <v>79</v>
      </c>
      <c r="K124" s="493">
        <f t="shared" si="30"/>
        <v>76</v>
      </c>
      <c r="L124" s="493">
        <f t="shared" si="30"/>
        <v>73</v>
      </c>
      <c r="M124" s="494">
        <f t="shared" si="30"/>
        <v>70</v>
      </c>
      <c r="N124" s="2750"/>
      <c r="O124" s="2750"/>
      <c r="P124" s="2758"/>
      <c r="Q124" s="2736"/>
      <c r="R124" s="2722"/>
      <c r="S124" s="2722"/>
      <c r="T124" s="2722"/>
      <c r="U124" s="2722"/>
      <c r="V124" s="2722"/>
      <c r="W124" s="2722"/>
      <c r="X124" s="2722"/>
      <c r="Y124" s="2722"/>
      <c r="Z124" s="2722"/>
      <c r="AA124" s="2722"/>
      <c r="AB124" s="2722"/>
      <c r="AC124" s="2722"/>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49"/>
      <c r="O125" s="2749"/>
      <c r="P125" s="2759"/>
      <c r="Q125" s="2736"/>
      <c r="R125" s="2722"/>
      <c r="S125" s="2722"/>
      <c r="T125" s="2722"/>
      <c r="U125" s="2722"/>
      <c r="V125" s="2722"/>
      <c r="W125" s="2722"/>
      <c r="X125" s="2722"/>
      <c r="Y125" s="2722"/>
      <c r="Z125" s="2722"/>
      <c r="AA125" s="2722"/>
      <c r="AB125" s="2722"/>
      <c r="AC125" s="2722"/>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0"/>
      <c r="O126" s="2750"/>
      <c r="P126" s="2758"/>
      <c r="Q126" s="2736"/>
      <c r="R126" s="2722"/>
      <c r="S126" s="2722"/>
      <c r="T126" s="2722"/>
      <c r="U126" s="2722"/>
      <c r="V126" s="2722"/>
      <c r="W126" s="2722"/>
      <c r="X126" s="2722"/>
      <c r="Y126" s="2722"/>
      <c r="Z126" s="2722"/>
      <c r="AA126" s="2722"/>
      <c r="AB126" s="2722"/>
      <c r="AC126" s="2722"/>
    </row>
    <row r="127" spans="1:29" s="422" customFormat="1" ht="15" thickTop="1">
      <c r="A127" s="542"/>
      <c r="B127" s="487" t="str">
        <f>B45</f>
        <v>含地下</v>
      </c>
      <c r="C127" s="3507" t="s">
        <v>3550</v>
      </c>
      <c r="D127" s="3507" t="s">
        <v>3551</v>
      </c>
      <c r="E127" s="503"/>
      <c r="F127" s="503"/>
      <c r="G127" s="503"/>
      <c r="H127" s="504"/>
      <c r="I127" s="504"/>
      <c r="J127" s="504"/>
      <c r="K127" s="504"/>
      <c r="L127" s="505"/>
      <c r="M127" s="506"/>
      <c r="N127" s="2751"/>
      <c r="O127" s="2751"/>
      <c r="P127" s="2759"/>
      <c r="Q127" s="2742"/>
      <c r="R127" s="2743"/>
      <c r="S127" s="2743"/>
      <c r="T127" s="2743"/>
      <c r="U127" s="2743"/>
      <c r="V127" s="2743"/>
      <c r="W127" s="2743"/>
      <c r="X127" s="2743"/>
      <c r="Y127" s="2743"/>
      <c r="Z127" s="2743"/>
      <c r="AA127" s="2743"/>
      <c r="AB127" s="2743"/>
      <c r="AC127" s="2743"/>
    </row>
    <row r="128" spans="1:29" s="422" customFormat="1" ht="15.75" thickBot="1">
      <c r="A128" s="502"/>
      <c r="B128" s="492"/>
      <c r="C128" s="509">
        <v>100</v>
      </c>
      <c r="D128" s="485">
        <v>103</v>
      </c>
      <c r="E128" s="485"/>
      <c r="F128" s="485"/>
      <c r="G128" s="509"/>
      <c r="H128" s="511"/>
      <c r="I128" s="511"/>
      <c r="J128" s="511"/>
      <c r="K128" s="511"/>
      <c r="L128" s="511"/>
      <c r="M128" s="512"/>
      <c r="N128" s="2751"/>
      <c r="O128" s="2751"/>
      <c r="P128" s="2759"/>
      <c r="Q128" s="2742"/>
      <c r="R128" s="2743"/>
      <c r="S128" s="2743"/>
      <c r="T128" s="2743"/>
      <c r="U128" s="2743"/>
      <c r="V128" s="2743"/>
      <c r="W128" s="2743"/>
      <c r="X128" s="2743"/>
      <c r="Y128" s="2743"/>
      <c r="Z128" s="2743"/>
      <c r="AA128" s="2743"/>
      <c r="AB128" s="2743"/>
      <c r="AC128" s="2743"/>
    </row>
    <row r="129" spans="1:29" ht="15" thickTop="1">
      <c r="A129" s="548"/>
      <c r="B129" s="487">
        <f>B46</f>
        <v>111</v>
      </c>
      <c r="C129" s="503"/>
      <c r="D129" s="503"/>
      <c r="E129" s="503"/>
      <c r="F129" s="503"/>
      <c r="G129" s="532"/>
      <c r="H129" s="532"/>
      <c r="I129" s="532"/>
      <c r="J129" s="532"/>
      <c r="K129" s="533"/>
      <c r="L129" s="534"/>
      <c r="M129" s="535"/>
      <c r="N129" s="2749"/>
      <c r="O129" s="2749"/>
      <c r="P129" s="2758"/>
      <c r="Q129" s="2736"/>
      <c r="R129" s="2722"/>
      <c r="S129" s="2722"/>
      <c r="T129" s="2722"/>
      <c r="U129" s="2722"/>
      <c r="V129" s="2722"/>
      <c r="W129" s="2722"/>
      <c r="X129" s="2722"/>
      <c r="Y129" s="2722"/>
      <c r="Z129" s="2722"/>
      <c r="AA129" s="2722"/>
      <c r="AB129" s="2722"/>
      <c r="AC129" s="2722"/>
    </row>
    <row r="130" spans="1:29" ht="15.75" thickBot="1">
      <c r="A130" s="483"/>
      <c r="B130" s="492"/>
      <c r="C130" s="509"/>
      <c r="D130" s="509"/>
      <c r="E130" s="509"/>
      <c r="F130" s="509"/>
      <c r="G130" s="485"/>
      <c r="H130" s="485"/>
      <c r="I130" s="485"/>
      <c r="J130" s="485"/>
      <c r="K130" s="485"/>
      <c r="L130" s="485"/>
      <c r="M130" s="486"/>
      <c r="N130" s="2750"/>
      <c r="O130" s="2750"/>
      <c r="P130" s="2758"/>
      <c r="Q130" s="2736"/>
      <c r="R130" s="2722"/>
      <c r="S130" s="2722"/>
      <c r="T130" s="2722"/>
      <c r="U130" s="2722"/>
      <c r="V130" s="2722"/>
      <c r="W130" s="2722"/>
      <c r="X130" s="2722"/>
      <c r="Y130" s="2722"/>
      <c r="Z130" s="2722"/>
      <c r="AA130" s="2722"/>
      <c r="AB130" s="2722"/>
      <c r="AC130" s="2722"/>
    </row>
    <row r="131" spans="1:29" ht="15" thickTop="1">
      <c r="A131" s="548"/>
      <c r="B131" s="495">
        <f>B47</f>
        <v>111</v>
      </c>
      <c r="C131" s="472"/>
      <c r="D131" s="472"/>
      <c r="E131" s="472"/>
      <c r="F131" s="472"/>
      <c r="G131" s="536"/>
      <c r="H131" s="536"/>
      <c r="I131" s="536"/>
      <c r="J131" s="536"/>
      <c r="K131" s="472"/>
      <c r="L131" s="473"/>
      <c r="M131" s="539"/>
      <c r="N131" s="2749"/>
      <c r="O131" s="2749"/>
      <c r="P131" s="2758"/>
      <c r="Q131" s="2736"/>
      <c r="R131" s="2722"/>
      <c r="S131" s="2722"/>
      <c r="T131" s="2722"/>
      <c r="U131" s="2722"/>
      <c r="V131" s="2722"/>
      <c r="W131" s="2722"/>
      <c r="X131" s="2722"/>
      <c r="Y131" s="2722"/>
      <c r="Z131" s="2722"/>
      <c r="AA131" s="2722"/>
      <c r="AB131" s="2722"/>
      <c r="AC131" s="2722"/>
    </row>
    <row r="132" spans="1:29" ht="15.75" thickBot="1">
      <c r="A132" s="1926"/>
      <c r="B132" s="518"/>
      <c r="C132" s="519"/>
      <c r="D132" s="519"/>
      <c r="E132" s="519"/>
      <c r="F132" s="519"/>
      <c r="G132" s="540"/>
      <c r="H132" s="540"/>
      <c r="I132" s="540"/>
      <c r="J132" s="540"/>
      <c r="K132" s="540"/>
      <c r="L132" s="540"/>
      <c r="M132" s="541"/>
      <c r="N132" s="2750"/>
      <c r="O132" s="2750"/>
      <c r="P132" s="2758"/>
      <c r="Q132" s="2736"/>
      <c r="R132" s="2722"/>
      <c r="S132" s="2722"/>
      <c r="T132" s="2722"/>
      <c r="U132" s="2722"/>
      <c r="V132" s="2722"/>
      <c r="W132" s="2722"/>
      <c r="X132" s="2722"/>
      <c r="Y132" s="2722"/>
      <c r="Z132" s="2722"/>
      <c r="AA132" s="2722"/>
      <c r="AB132" s="2722"/>
      <c r="AC132" s="272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9" priority="20" stopIfTrue="1" operator="containsText" text="超过">
      <formula>NOT(ISERROR(SEARCH("超过",F53)))</formula>
    </cfRule>
  </conditionalFormatting>
  <conditionalFormatting sqref="H55">
    <cfRule type="containsText" dxfId="18" priority="19" stopIfTrue="1" operator="containsText" text="超过">
      <formula>NOT(ISERROR(SEARCH("超过",H55)))</formula>
    </cfRule>
  </conditionalFormatting>
  <conditionalFormatting sqref="F55">
    <cfRule type="containsText" dxfId="17" priority="18" stopIfTrue="1" operator="containsText" text="超过">
      <formula>NOT(ISERROR(SEARCH("超过",F55)))</formula>
    </cfRule>
  </conditionalFormatting>
  <conditionalFormatting sqref="F54 H54">
    <cfRule type="containsText" dxfId="16" priority="17" stopIfTrue="1" operator="containsText" text="超过">
      <formula>NOT(ISERROR(SEARCH("超过",F54)))</formula>
    </cfRule>
  </conditionalFormatting>
  <conditionalFormatting sqref="E53">
    <cfRule type="expression" dxfId="15" priority="16" stopIfTrue="1">
      <formula>$F$53="超过30%"</formula>
    </cfRule>
  </conditionalFormatting>
  <conditionalFormatting sqref="E54">
    <cfRule type="expression" dxfId="14" priority="15" stopIfTrue="1">
      <formula>$F$54="超过20%"</formula>
    </cfRule>
  </conditionalFormatting>
  <conditionalFormatting sqref="E55">
    <cfRule type="expression" dxfId="13" priority="14" stopIfTrue="1">
      <formula>$F$55="超过30%"</formula>
    </cfRule>
  </conditionalFormatting>
  <conditionalFormatting sqref="G55">
    <cfRule type="expression" dxfId="12" priority="13" stopIfTrue="1">
      <formula>$H$55="超过30%"</formula>
    </cfRule>
  </conditionalFormatting>
  <conditionalFormatting sqref="G53">
    <cfRule type="expression" dxfId="11" priority="12" stopIfTrue="1">
      <formula>$H$53="超过30%"</formula>
    </cfRule>
  </conditionalFormatting>
  <conditionalFormatting sqref="G54">
    <cfRule type="expression" dxfId="10" priority="11" stopIfTrue="1">
      <formula>$H$54="超过20%"</formula>
    </cfRule>
  </conditionalFormatting>
  <conditionalFormatting sqref="J53">
    <cfRule type="containsText" dxfId="9" priority="10" stopIfTrue="1" operator="containsText" text="超过">
      <formula>NOT(ISERROR(SEARCH("超过",J53)))</formula>
    </cfRule>
  </conditionalFormatting>
  <conditionalFormatting sqref="J55">
    <cfRule type="containsText" dxfId="8" priority="9" stopIfTrue="1" operator="containsText" text="超过">
      <formula>NOT(ISERROR(SEARCH("超过",J55)))</formula>
    </cfRule>
  </conditionalFormatting>
  <conditionalFormatting sqref="J54">
    <cfRule type="containsText" dxfId="7" priority="8" stopIfTrue="1" operator="containsText" text="超过">
      <formula>NOT(ISERROR(SEARCH("超过",J54)))</formula>
    </cfRule>
  </conditionalFormatting>
  <conditionalFormatting sqref="I53">
    <cfRule type="expression" dxfId="6" priority="7" stopIfTrue="1">
      <formula>$J$53="超过30%"</formula>
    </cfRule>
  </conditionalFormatting>
  <conditionalFormatting sqref="I54">
    <cfRule type="expression" dxfId="5" priority="6" stopIfTrue="1">
      <formula>$J$53+$J$54="超过20%"</formula>
    </cfRule>
  </conditionalFormatting>
  <conditionalFormatting sqref="I55">
    <cfRule type="expression" dxfId="4" priority="5" stopIfTrue="1">
      <formula>$J$55="超过30%"</formula>
    </cfRule>
  </conditionalFormatting>
  <conditionalFormatting sqref="F49">
    <cfRule type="expression" dxfId="3" priority="4">
      <formula>$D$49="简单平均"</formula>
    </cfRule>
  </conditionalFormatting>
  <conditionalFormatting sqref="H49">
    <cfRule type="expression" dxfId="2" priority="3">
      <formula>$D$49="简单平均"</formula>
    </cfRule>
  </conditionalFormatting>
  <conditionalFormatting sqref="J49">
    <cfRule type="expression" dxfId="1" priority="2">
      <formula>$D$49="简单平均"</formula>
    </cfRule>
  </conditionalFormatting>
  <conditionalFormatting sqref="F7:F47 H7:H47 J7:J47">
    <cfRule type="cellIs" dxfId="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6" workbookViewId="0">
      <selection activeCell="A98" sqref="A98"/>
    </sheetView>
  </sheetViews>
  <sheetFormatPr defaultRowHeight="13.5"/>
  <sheetData/>
  <phoneticPr fontId="134" type="noConversion"/>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5" customWidth="1"/>
    <col min="2" max="3" width="22.375" style="1475" customWidth="1"/>
    <col min="4" max="4" width="23" style="1475" customWidth="1"/>
    <col min="5" max="16384" width="9" style="1475"/>
  </cols>
  <sheetData>
    <row r="1" spans="1:4" ht="18.75">
      <c r="A1" s="3547" t="s">
        <v>949</v>
      </c>
      <c r="B1" s="3547"/>
      <c r="C1" s="3547"/>
      <c r="D1" s="3547"/>
    </row>
    <row r="2" spans="1:4" ht="18">
      <c r="A2" s="3548" t="s">
        <v>933</v>
      </c>
      <c r="B2" s="3548"/>
      <c r="C2" s="3548"/>
      <c r="D2" s="3548"/>
    </row>
    <row r="3" spans="1:4" ht="18.75">
      <c r="A3" s="1507" t="s">
        <v>934</v>
      </c>
      <c r="B3" s="1507" t="s">
        <v>935</v>
      </c>
      <c r="C3" s="1507" t="s">
        <v>936</v>
      </c>
      <c r="D3" s="1507" t="s">
        <v>937</v>
      </c>
    </row>
    <row r="4" spans="1:4" ht="56.25" customHeight="1">
      <c r="A4" s="1508">
        <f>项目基本情况!B4</f>
        <v>0</v>
      </c>
      <c r="B4" s="1509">
        <f>项目基本情况!C4</f>
        <v>0</v>
      </c>
      <c r="C4" s="1510"/>
      <c r="D4" s="1511" t="s">
        <v>938</v>
      </c>
    </row>
    <row r="5" spans="1:4" ht="56.25" customHeight="1">
      <c r="A5" s="1508">
        <f>项目基本情况!D4</f>
        <v>0</v>
      </c>
      <c r="B5" s="1509">
        <f>项目基本情况!E4</f>
        <v>0</v>
      </c>
      <c r="C5" s="1512"/>
      <c r="D5" s="1511" t="s">
        <v>938</v>
      </c>
    </row>
    <row r="6" spans="1:4" ht="18">
      <c r="A6" s="3548" t="s">
        <v>939</v>
      </c>
      <c r="B6" s="3548"/>
      <c r="C6" s="3548"/>
      <c r="D6" s="3548"/>
    </row>
    <row r="7" spans="1:4" ht="18.75">
      <c r="A7" s="1507" t="s">
        <v>934</v>
      </c>
      <c r="B7" s="1509" t="s">
        <v>940</v>
      </c>
      <c r="C7" s="1507" t="s">
        <v>936</v>
      </c>
      <c r="D7" s="1507" t="s">
        <v>937</v>
      </c>
    </row>
    <row r="8" spans="1:4" ht="56.25" customHeight="1">
      <c r="A8" s="1513" t="s">
        <v>390</v>
      </c>
      <c r="B8" s="1513" t="s">
        <v>0</v>
      </c>
      <c r="C8" s="1510"/>
      <c r="D8" s="1511" t="s">
        <v>938</v>
      </c>
    </row>
    <row r="9" spans="1:4">
      <c r="A9" s="674"/>
      <c r="B9" s="674"/>
      <c r="C9" s="674"/>
      <c r="D9" s="674"/>
    </row>
    <row r="10" spans="1:4" ht="18.75">
      <c r="A10" s="1514" t="s">
        <v>941</v>
      </c>
      <c r="B10" s="674"/>
      <c r="C10" s="674"/>
      <c r="D10" s="674"/>
    </row>
    <row r="11" spans="1:4" ht="30" customHeight="1">
      <c r="A11" s="3549" t="s">
        <v>942</v>
      </c>
      <c r="B11" s="3550"/>
      <c r="C11" s="3550"/>
      <c r="D11" s="3550"/>
    </row>
    <row r="12" spans="1:4" ht="15.75">
      <c r="A12" s="3550"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51"/>
      <c r="C12" s="3551"/>
      <c r="D12" s="3551"/>
    </row>
    <row r="13" spans="1:4" ht="30" customHeight="1">
      <c r="A13" s="3550"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51"/>
      <c r="C13" s="3551"/>
      <c r="D13" s="3551"/>
    </row>
    <row r="14" spans="1:4" ht="15.75" customHeight="1">
      <c r="A14" s="3550" t="str">
        <f>IF(项目基本情况!B8="抵押","4.本次评估估价师所知悉的法定优先受偿款情况说明如下：","——")</f>
        <v>4.本次评估估价师所知悉的法定优先受偿款情况说明如下：</v>
      </c>
      <c r="B14" s="3551"/>
      <c r="C14" s="3551"/>
      <c r="D14" s="3551"/>
    </row>
    <row r="15" spans="1:4" ht="42" customHeight="1">
      <c r="A15" s="3550"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50"/>
      <c r="C15" s="3550"/>
      <c r="D15" s="3550"/>
    </row>
    <row r="16" spans="1:4" ht="30" customHeight="1">
      <c r="A16" s="3553" t="s">
        <v>943</v>
      </c>
      <c r="B16" s="3553"/>
      <c r="C16" s="3553"/>
      <c r="D16" s="3553"/>
    </row>
    <row r="17" spans="1:4" ht="144" customHeight="1">
      <c r="A17" s="3553" t="s">
        <v>944</v>
      </c>
      <c r="B17" s="3553"/>
      <c r="C17" s="3553"/>
      <c r="D17" s="3553"/>
    </row>
    <row r="18" spans="1:4" ht="15.75" customHeight="1">
      <c r="A18" s="3550" t="str">
        <f>IF(项目基本情况!B8="抵押",结果表!K120,"——")</f>
        <v>故，本次评估不存在估价师知悉的法定优先受偿款</v>
      </c>
      <c r="B18" s="3550"/>
      <c r="C18" s="3550"/>
      <c r="D18" s="3550"/>
    </row>
    <row r="19" spans="1:4" ht="46.5" customHeight="1">
      <c r="A19" s="3550"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50"/>
      <c r="C19" s="3550"/>
      <c r="D19" s="3550"/>
    </row>
    <row r="20" spans="1:4" ht="57.75" customHeight="1">
      <c r="A20" s="3550"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50"/>
      <c r="C20" s="3550"/>
      <c r="D20" s="3550"/>
    </row>
    <row r="21" spans="1:4" ht="57.75" customHeight="1">
      <c r="A21" s="355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54"/>
      <c r="C21" s="3554"/>
      <c r="D21" s="3554"/>
    </row>
    <row r="22" spans="1:4" ht="18.75" customHeight="1">
      <c r="A22" s="3555" t="s">
        <v>945</v>
      </c>
      <c r="B22" s="3555"/>
      <c r="C22" s="3555"/>
      <c r="D22" s="3555"/>
    </row>
    <row r="23" spans="1:4">
      <c r="A23" s="1515"/>
      <c r="B23" s="1487"/>
      <c r="C23" s="1487"/>
      <c r="D23" s="1487"/>
    </row>
    <row r="24" spans="1:4">
      <c r="A24" s="1515"/>
      <c r="B24" s="1487"/>
      <c r="C24" s="1487"/>
      <c r="D24" s="1487"/>
    </row>
    <row r="25" spans="1:4" ht="18.75">
      <c r="A25" s="1516" t="s">
        <v>946</v>
      </c>
    </row>
    <row r="26" spans="1:4" ht="18">
      <c r="A26" s="1485"/>
    </row>
    <row r="27" spans="1:4" ht="18.75">
      <c r="A27" s="1485" t="s">
        <v>947</v>
      </c>
    </row>
    <row r="30" spans="1:4" ht="18.75">
      <c r="D30" s="1516" t="s">
        <v>948</v>
      </c>
    </row>
    <row r="31" spans="1:4" ht="13.5" customHeight="1">
      <c r="C31" s="3552">
        <v>42551</v>
      </c>
      <c r="D31" s="3552"/>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3" customWidth="1"/>
    <col min="3" max="10" width="12.5" style="1473" customWidth="1"/>
    <col min="11" max="16384" width="9" style="1473"/>
  </cols>
  <sheetData>
    <row r="1" spans="1:10" ht="18.75">
      <c r="A1" s="1506" t="s">
        <v>391</v>
      </c>
      <c r="B1" s="1517"/>
      <c r="C1" s="1517"/>
      <c r="D1" s="1517"/>
      <c r="E1" s="1517"/>
      <c r="F1" s="1517"/>
      <c r="G1" s="1517"/>
      <c r="H1" s="1517"/>
      <c r="I1" s="1517"/>
      <c r="J1" s="1517"/>
    </row>
    <row r="2" spans="1:10" ht="18.75">
      <c r="A2" s="1518"/>
      <c r="B2" s="1517"/>
      <c r="C2" s="1517"/>
      <c r="D2" s="1517"/>
      <c r="E2" s="1517"/>
      <c r="F2" s="1517"/>
      <c r="G2" s="1517"/>
      <c r="H2" s="1517"/>
      <c r="I2" s="1517"/>
      <c r="J2" s="1517"/>
    </row>
    <row r="3" spans="1:10">
      <c r="A3" s="1517"/>
      <c r="B3" s="1517"/>
      <c r="C3" s="1517"/>
      <c r="D3" s="1517"/>
      <c r="E3" s="1517"/>
      <c r="F3" s="1517"/>
      <c r="G3" s="1517"/>
      <c r="H3" s="1517"/>
      <c r="I3" s="1517"/>
      <c r="J3" s="1517"/>
    </row>
    <row r="4" spans="1:10">
      <c r="A4" s="1517"/>
      <c r="B4" s="1517"/>
      <c r="C4" s="1517"/>
      <c r="D4" s="1517"/>
      <c r="E4" s="1517"/>
      <c r="F4" s="1517"/>
      <c r="G4" s="1517"/>
      <c r="H4" s="1517"/>
      <c r="I4" s="1517"/>
      <c r="J4" s="1517"/>
    </row>
    <row r="5" spans="1:10">
      <c r="A5" s="1517"/>
      <c r="B5" s="1517"/>
      <c r="C5" s="1517"/>
      <c r="D5" s="1517"/>
      <c r="E5" s="1517"/>
      <c r="F5" s="1517"/>
      <c r="G5" s="1517"/>
      <c r="H5" s="1517"/>
      <c r="I5" s="1517"/>
      <c r="J5" s="1517"/>
    </row>
    <row r="6" spans="1:10">
      <c r="A6" s="1517"/>
      <c r="B6" s="1517"/>
      <c r="C6" s="1517"/>
      <c r="D6" s="1517"/>
      <c r="E6" s="1517"/>
      <c r="F6" s="1517"/>
      <c r="G6" s="1517"/>
      <c r="H6" s="1517"/>
      <c r="I6" s="1517"/>
      <c r="J6" s="1517"/>
    </row>
    <row r="7" spans="1:10">
      <c r="A7" s="1517"/>
      <c r="B7" s="1517"/>
      <c r="C7" s="1517"/>
      <c r="D7" s="1517"/>
      <c r="E7" s="1517"/>
      <c r="F7" s="1517"/>
      <c r="G7" s="1517"/>
      <c r="H7" s="1517"/>
      <c r="I7" s="1517"/>
      <c r="J7" s="1517"/>
    </row>
    <row r="8" spans="1:10">
      <c r="A8" s="1517"/>
      <c r="B8" s="1517"/>
      <c r="C8" s="1517"/>
      <c r="D8" s="1517"/>
      <c r="E8" s="1517"/>
      <c r="F8" s="1517"/>
      <c r="G8" s="1517"/>
      <c r="H8" s="1517"/>
      <c r="I8" s="1517"/>
      <c r="J8" s="1517"/>
    </row>
    <row r="9" spans="1:10">
      <c r="A9" s="1517"/>
      <c r="B9" s="1517"/>
      <c r="C9" s="1517"/>
      <c r="D9" s="1517"/>
      <c r="E9" s="1517"/>
      <c r="F9" s="1517"/>
      <c r="G9" s="1517"/>
      <c r="H9" s="1517"/>
      <c r="I9" s="1517"/>
      <c r="J9" s="1517"/>
    </row>
    <row r="10" spans="1:10">
      <c r="A10" s="1517"/>
      <c r="B10" s="1517"/>
      <c r="C10" s="1517"/>
      <c r="D10" s="1517"/>
      <c r="E10" s="1517"/>
      <c r="F10" s="1517"/>
      <c r="G10" s="1517"/>
      <c r="H10" s="1517"/>
      <c r="I10" s="1517"/>
      <c r="J10" s="1517"/>
    </row>
    <row r="11" spans="1:10">
      <c r="A11" s="1517"/>
      <c r="B11" s="1517"/>
      <c r="C11" s="1517"/>
      <c r="D11" s="1517"/>
      <c r="E11" s="1517"/>
      <c r="F11" s="1517"/>
      <c r="G11" s="1517"/>
      <c r="H11" s="1517"/>
      <c r="I11" s="1517"/>
      <c r="J11" s="1517"/>
    </row>
    <row r="12" spans="1:10">
      <c r="A12" s="1517"/>
      <c r="B12" s="1517"/>
      <c r="C12" s="1517"/>
      <c r="D12" s="1517"/>
      <c r="E12" s="1517"/>
      <c r="F12" s="1517"/>
      <c r="G12" s="1517"/>
      <c r="H12" s="1517"/>
      <c r="I12" s="1517"/>
      <c r="J12" s="1517"/>
    </row>
    <row r="13" spans="1:10">
      <c r="A13" s="1517"/>
      <c r="B13" s="1517"/>
      <c r="C13" s="1517"/>
      <c r="D13" s="1517"/>
      <c r="E13" s="1517"/>
      <c r="F13" s="1517"/>
      <c r="G13" s="1517"/>
      <c r="H13" s="1517"/>
      <c r="I13" s="1517"/>
      <c r="J13" s="1517"/>
    </row>
    <row r="14" spans="1:10">
      <c r="A14" s="1517"/>
      <c r="B14" s="1517"/>
      <c r="C14" s="1517"/>
      <c r="D14" s="1517"/>
      <c r="E14" s="1517"/>
      <c r="F14" s="1517"/>
      <c r="G14" s="1517"/>
      <c r="H14" s="1517"/>
      <c r="I14" s="1517"/>
      <c r="J14" s="1517"/>
    </row>
    <row r="15" spans="1:10">
      <c r="A15" s="1517"/>
      <c r="B15" s="1517"/>
      <c r="C15" s="1517"/>
      <c r="D15" s="1517"/>
      <c r="E15" s="1517"/>
      <c r="F15" s="1517"/>
      <c r="G15" s="1517"/>
      <c r="H15" s="1517"/>
      <c r="I15" s="1517"/>
      <c r="J15" s="1517"/>
    </row>
    <row r="16" spans="1:10">
      <c r="A16" s="1517"/>
      <c r="B16" s="1517"/>
      <c r="C16" s="1517"/>
      <c r="D16" s="1517"/>
      <c r="E16" s="1517"/>
      <c r="F16" s="1517"/>
      <c r="G16" s="1517"/>
      <c r="H16" s="1517"/>
      <c r="I16" s="1517"/>
      <c r="J16" s="1517"/>
    </row>
    <row r="17" spans="1:10">
      <c r="A17" s="1517"/>
      <c r="B17" s="1517"/>
      <c r="C17" s="1517"/>
      <c r="D17" s="1517"/>
      <c r="E17" s="1517"/>
      <c r="F17" s="1517"/>
      <c r="G17" s="1517"/>
      <c r="H17" s="1517"/>
      <c r="I17" s="1517"/>
      <c r="J17" s="1517"/>
    </row>
    <row r="18" spans="1:10">
      <c r="A18" s="1517"/>
      <c r="B18" s="1517"/>
      <c r="C18" s="1517"/>
      <c r="D18" s="1517"/>
      <c r="E18" s="1517"/>
      <c r="F18" s="1517"/>
      <c r="G18" s="1517"/>
      <c r="H18" s="1517"/>
      <c r="I18" s="1517"/>
      <c r="J18" s="1517"/>
    </row>
    <row r="19" spans="1:10">
      <c r="A19" s="1517"/>
      <c r="B19" s="1517"/>
      <c r="C19" s="1517"/>
      <c r="D19" s="1517"/>
      <c r="E19" s="1517"/>
      <c r="F19" s="1517"/>
      <c r="G19" s="1517"/>
      <c r="H19" s="1517"/>
      <c r="I19" s="1517"/>
      <c r="J19" s="1517"/>
    </row>
    <row r="20" spans="1:10">
      <c r="A20" s="1517"/>
      <c r="B20" s="1517"/>
      <c r="C20" s="1517"/>
      <c r="D20" s="1517"/>
      <c r="E20" s="1517"/>
      <c r="F20" s="1517"/>
      <c r="G20" s="1517"/>
      <c r="H20" s="1517"/>
      <c r="I20" s="1517"/>
      <c r="J20" s="1517"/>
    </row>
    <row r="21" spans="1:10">
      <c r="A21" s="1517"/>
      <c r="B21" s="1517"/>
      <c r="C21" s="1517"/>
      <c r="D21" s="1517"/>
      <c r="E21" s="1517"/>
      <c r="F21" s="1517"/>
      <c r="G21" s="1517"/>
      <c r="H21" s="1517"/>
      <c r="I21" s="1517"/>
      <c r="J21" s="1517"/>
    </row>
    <row r="22" spans="1:10">
      <c r="A22" s="1517"/>
      <c r="B22" s="1517"/>
      <c r="C22" s="1517"/>
      <c r="D22" s="1517"/>
      <c r="E22" s="1517"/>
      <c r="F22" s="1517"/>
      <c r="G22" s="1517"/>
      <c r="H22" s="1517"/>
      <c r="I22" s="1517"/>
      <c r="J22" s="1517"/>
    </row>
    <row r="23" spans="1:10">
      <c r="A23" s="1517"/>
      <c r="B23" s="1517"/>
      <c r="C23" s="1517"/>
      <c r="D23" s="1517"/>
      <c r="E23" s="1517"/>
      <c r="F23" s="1517"/>
      <c r="G23" s="1517"/>
      <c r="H23" s="1517"/>
      <c r="I23" s="1517"/>
      <c r="J23" s="1517"/>
    </row>
    <row r="24" spans="1:10">
      <c r="A24" s="1517"/>
      <c r="B24" s="1517"/>
      <c r="C24" s="1517"/>
      <c r="D24" s="1517"/>
      <c r="E24" s="1517"/>
      <c r="F24" s="1517"/>
      <c r="G24" s="1517"/>
      <c r="H24" s="1517"/>
      <c r="I24" s="1517"/>
      <c r="J24" s="1517"/>
    </row>
    <row r="25" spans="1:10">
      <c r="A25" s="1517"/>
      <c r="B25" s="1517"/>
      <c r="C25" s="1517"/>
      <c r="D25" s="1517"/>
      <c r="E25" s="1517"/>
      <c r="F25" s="1517"/>
      <c r="G25" s="1517"/>
      <c r="H25" s="1517"/>
      <c r="I25" s="1517"/>
      <c r="J25" s="1517"/>
    </row>
    <row r="26" spans="1:10">
      <c r="A26" s="1517"/>
      <c r="B26" s="1517"/>
      <c r="C26" s="1517"/>
      <c r="D26" s="1517"/>
      <c r="E26" s="1517"/>
      <c r="F26" s="1517"/>
      <c r="G26" s="1517"/>
      <c r="H26" s="1517"/>
      <c r="I26" s="1517"/>
      <c r="J26" s="1517"/>
    </row>
    <row r="27" spans="1:10">
      <c r="A27" s="1517"/>
      <c r="B27" s="1517"/>
      <c r="C27" s="1517"/>
      <c r="D27" s="1517"/>
      <c r="E27" s="1517"/>
      <c r="F27" s="1517"/>
      <c r="G27" s="1517"/>
      <c r="H27" s="1517"/>
      <c r="I27" s="1517"/>
      <c r="J27" s="1517"/>
    </row>
    <row r="28" spans="1:10">
      <c r="A28" s="1517"/>
      <c r="B28" s="1517"/>
      <c r="C28" s="1517"/>
      <c r="D28" s="1517"/>
      <c r="E28" s="1517"/>
      <c r="F28" s="1517"/>
      <c r="G28" s="1517"/>
      <c r="H28" s="1517"/>
      <c r="I28" s="1517"/>
      <c r="J28" s="1517"/>
    </row>
    <row r="29" spans="1:10">
      <c r="A29" s="1517"/>
      <c r="B29" s="1517"/>
      <c r="C29" s="1517"/>
      <c r="D29" s="1517"/>
      <c r="E29" s="1517"/>
      <c r="F29" s="1517"/>
      <c r="G29" s="1517"/>
      <c r="H29" s="1517"/>
      <c r="I29" s="1517"/>
      <c r="J29" s="1517"/>
    </row>
    <row r="30" spans="1:10">
      <c r="A30" s="1517"/>
      <c r="B30" s="1517"/>
      <c r="C30" s="1517"/>
      <c r="D30" s="1517"/>
      <c r="E30" s="1517"/>
      <c r="F30" s="1517"/>
      <c r="G30" s="1517"/>
      <c r="H30" s="1517"/>
      <c r="I30" s="1517"/>
      <c r="J30" s="1517"/>
    </row>
    <row r="31" spans="1:10">
      <c r="A31" s="1517"/>
      <c r="B31" s="1517"/>
      <c r="C31" s="1517"/>
      <c r="D31" s="1517"/>
      <c r="E31" s="1517"/>
      <c r="F31" s="1517"/>
      <c r="G31" s="1517"/>
      <c r="H31" s="1517"/>
      <c r="I31" s="1517"/>
      <c r="J31" s="15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3" customWidth="1"/>
    <col min="2" max="16384" width="14.5" style="1505"/>
  </cols>
  <sheetData>
    <row r="1" spans="1:7" s="1520" customFormat="1" ht="18.75">
      <c r="A1" s="1519" t="s">
        <v>950</v>
      </c>
    </row>
    <row r="3" spans="1:7">
      <c r="A3" s="1521" t="s">
        <v>55</v>
      </c>
      <c r="B3" s="1505" t="s">
        <v>951</v>
      </c>
      <c r="G3" s="1522"/>
    </row>
    <row r="4" spans="1:7">
      <c r="G4" s="1522"/>
    </row>
    <row r="5" spans="1:7">
      <c r="A5" s="1524" t="s">
        <v>46</v>
      </c>
      <c r="B5" s="1505" t="s">
        <v>952</v>
      </c>
      <c r="G5" s="1522"/>
    </row>
    <row r="6" spans="1:7">
      <c r="G6" s="1522"/>
    </row>
    <row r="7" spans="1:7">
      <c r="A7" s="1525" t="s">
        <v>108</v>
      </c>
      <c r="B7" s="1505" t="s">
        <v>953</v>
      </c>
      <c r="G7" s="1522"/>
    </row>
    <row r="8" spans="1:7">
      <c r="G8" s="1522"/>
    </row>
    <row r="9" spans="1:7">
      <c r="A9" s="1526" t="s">
        <v>47</v>
      </c>
      <c r="B9" s="1505" t="s">
        <v>954</v>
      </c>
    </row>
    <row r="11" spans="1:7">
      <c r="A11" s="1527" t="s">
        <v>48</v>
      </c>
      <c r="B11" s="1528" t="s">
        <v>45</v>
      </c>
    </row>
    <row r="13" spans="1:7">
      <c r="A13" s="1529" t="s">
        <v>955</v>
      </c>
    </row>
    <row r="15" spans="1:7" ht="13.5">
      <c r="A15" s="3561" t="s">
        <v>956</v>
      </c>
      <c r="B15" s="3556" t="s">
        <v>109</v>
      </c>
      <c r="C15" s="3557"/>
    </row>
    <row r="16" spans="1:7" ht="13.5">
      <c r="A16" s="3562"/>
      <c r="B16" s="3556" t="s">
        <v>42</v>
      </c>
      <c r="C16" s="3557"/>
    </row>
    <row r="17" spans="1:3" ht="13.5">
      <c r="A17" s="3562"/>
      <c r="B17" s="3559" t="s">
        <v>957</v>
      </c>
      <c r="C17" s="1530" t="s">
        <v>956</v>
      </c>
    </row>
    <row r="18" spans="1:3" ht="13.5">
      <c r="A18" s="3562"/>
      <c r="B18" s="3559"/>
      <c r="C18" s="1530" t="s">
        <v>958</v>
      </c>
    </row>
    <row r="19" spans="1:3" ht="13.5">
      <c r="A19" s="3562"/>
      <c r="B19" s="3559"/>
      <c r="C19" s="1530" t="s">
        <v>959</v>
      </c>
    </row>
    <row r="20" spans="1:3" ht="13.5">
      <c r="A20" s="3563"/>
      <c r="B20" s="3558" t="s">
        <v>960</v>
      </c>
      <c r="C20" s="3557"/>
    </row>
    <row r="21" spans="1:3" ht="13.5">
      <c r="A21" s="1531" t="s">
        <v>961</v>
      </c>
      <c r="B21" s="1532"/>
      <c r="C21" s="1533"/>
    </row>
    <row r="22" spans="1:3" ht="13.5">
      <c r="A22" s="3560" t="s">
        <v>962</v>
      </c>
      <c r="B22" s="3558" t="s">
        <v>963</v>
      </c>
      <c r="C22" s="3557"/>
    </row>
    <row r="23" spans="1:3" ht="13.5">
      <c r="A23" s="3560"/>
      <c r="B23" s="3558" t="s">
        <v>964</v>
      </c>
      <c r="C23" s="3557"/>
    </row>
    <row r="24" spans="1:3" ht="13.5">
      <c r="A24" s="3560"/>
      <c r="B24" s="3558" t="s">
        <v>965</v>
      </c>
      <c r="C24" s="3557"/>
    </row>
    <row r="25" spans="1:3" ht="13.5">
      <c r="A25" s="3560"/>
      <c r="B25" s="3559" t="s">
        <v>966</v>
      </c>
      <c r="C25" s="1530" t="s">
        <v>967</v>
      </c>
    </row>
    <row r="26" spans="1:3" ht="13.5">
      <c r="A26" s="3560"/>
      <c r="B26" s="3559"/>
      <c r="C26" s="1530" t="s">
        <v>968</v>
      </c>
    </row>
    <row r="27" spans="1:3" ht="13.5">
      <c r="A27" s="3560"/>
      <c r="B27" s="3559"/>
      <c r="C27" s="1530" t="s">
        <v>969</v>
      </c>
    </row>
    <row r="28" spans="1:3" ht="13.5">
      <c r="A28" s="3560"/>
      <c r="B28" s="3559"/>
      <c r="C28" s="1530" t="s">
        <v>970</v>
      </c>
    </row>
    <row r="29" spans="1:3" ht="13.5">
      <c r="A29" s="3560"/>
      <c r="B29" s="3559"/>
      <c r="C29" s="1530" t="s">
        <v>971</v>
      </c>
    </row>
    <row r="30" spans="1:3" ht="13.5">
      <c r="A30" s="3560"/>
      <c r="B30" s="3559"/>
      <c r="C30" s="1530" t="s">
        <v>972</v>
      </c>
    </row>
    <row r="31" spans="1:3" ht="13.5">
      <c r="A31" s="3560"/>
      <c r="B31" s="3559"/>
      <c r="C31" s="1530" t="s">
        <v>973</v>
      </c>
    </row>
    <row r="32" spans="1:3" ht="13.5">
      <c r="A32" s="3560"/>
      <c r="B32" s="3559"/>
      <c r="C32" s="1530" t="s">
        <v>974</v>
      </c>
    </row>
    <row r="33" spans="1:3" ht="13.5">
      <c r="A33" s="3560"/>
      <c r="B33" s="3559"/>
      <c r="C33" s="1530" t="s">
        <v>975</v>
      </c>
    </row>
    <row r="34" spans="1:3">
      <c r="A34" s="1534" t="s">
        <v>49</v>
      </c>
    </row>
    <row r="37" spans="1:3">
      <c r="A37" s="1534" t="s">
        <v>976</v>
      </c>
    </row>
    <row r="38" spans="1:3" ht="13.5">
      <c r="A38" s="1535" t="s">
        <v>50</v>
      </c>
    </row>
    <row r="39" spans="1:3" ht="13.5">
      <c r="A39" s="1535" t="s">
        <v>51</v>
      </c>
    </row>
    <row r="40" spans="1:3" ht="13.5">
      <c r="A40" s="1535" t="s">
        <v>52</v>
      </c>
    </row>
    <row r="41" spans="1:3" ht="13.5">
      <c r="A41" s="1536" t="s">
        <v>53</v>
      </c>
    </row>
    <row r="42" spans="1:3" ht="13.5">
      <c r="A42" s="1535"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4" customWidth="1"/>
    <col min="2" max="2" width="38.625" style="2334" customWidth="1"/>
    <col min="3" max="3" width="26" style="2334" customWidth="1"/>
    <col min="4" max="4" width="35" style="2334" hidden="1" customWidth="1"/>
    <col min="5" max="5" width="30.125" style="2334" customWidth="1"/>
    <col min="6" max="6" width="35.5" style="2334" customWidth="1"/>
    <col min="7" max="7" width="31" style="2334" customWidth="1"/>
    <col min="8" max="8" width="37.5" style="2334" hidden="1" customWidth="1"/>
    <col min="9" max="16384" width="22.625" style="2334"/>
  </cols>
  <sheetData>
    <row r="1" spans="1:8" ht="24" customHeight="1">
      <c r="A1" s="2333"/>
      <c r="B1" s="2333"/>
      <c r="C1" s="2333"/>
      <c r="D1" s="2333"/>
      <c r="E1" s="2333"/>
      <c r="F1" s="2333"/>
      <c r="G1" s="2333"/>
      <c r="H1" s="2333"/>
    </row>
    <row r="2" spans="1:8" ht="24" customHeight="1">
      <c r="A2" s="2335" t="s">
        <v>2137</v>
      </c>
      <c r="B2" s="2336">
        <f ca="1">TODAY()</f>
        <v>45071</v>
      </c>
      <c r="C2" s="2337" t="s">
        <v>2138</v>
      </c>
      <c r="D2" s="2337"/>
      <c r="E2" s="2337"/>
      <c r="F2" s="2333"/>
      <c r="G2" s="2333"/>
      <c r="H2" s="2333"/>
    </row>
    <row r="3" spans="1:8" ht="24" customHeight="1">
      <c r="A3" s="2338" t="s">
        <v>2139</v>
      </c>
      <c r="B3" s="2339" t="s">
        <v>2140</v>
      </c>
      <c r="C3" s="2339" t="s">
        <v>2141</v>
      </c>
      <c r="D3" s="2340" t="s">
        <v>2142</v>
      </c>
      <c r="E3" s="2341" t="s">
        <v>2143</v>
      </c>
      <c r="F3" s="1302" t="s">
        <v>2144</v>
      </c>
      <c r="G3" s="2339" t="s">
        <v>2141</v>
      </c>
      <c r="H3" s="2340" t="s">
        <v>2145</v>
      </c>
    </row>
    <row r="4" spans="1:8" ht="24" customHeight="1">
      <c r="A4" s="1302" t="s">
        <v>2146</v>
      </c>
      <c r="B4" s="1302">
        <f ca="1">IF(C4&lt;B2,"已过期",1119970066)</f>
        <v>1119970066</v>
      </c>
      <c r="C4" s="2342">
        <v>45937</v>
      </c>
      <c r="D4" s="2343" t="str">
        <f ca="1">A4&amp;"（注册号："&amp;B4&amp;"）"</f>
        <v>梁津（注册号：1119970066）</v>
      </c>
      <c r="E4" s="2344" t="s">
        <v>2146</v>
      </c>
      <c r="F4" s="1302">
        <f ca="1">IF(G4&lt;B2,"已过期",96010014)</f>
        <v>96010014</v>
      </c>
      <c r="G4" s="2345">
        <v>47118</v>
      </c>
      <c r="H4" s="2346" t="str">
        <f ca="1">E4&amp;"（注册号："&amp;F4&amp;"）"</f>
        <v>梁津（注册号：96010014）</v>
      </c>
    </row>
    <row r="5" spans="1:8" ht="24" customHeight="1">
      <c r="A5" s="1302" t="s">
        <v>2147</v>
      </c>
      <c r="B5" s="1302">
        <f ca="1">IF(C5&lt;B2,"已过期",1119970111)</f>
        <v>1119970111</v>
      </c>
      <c r="C5" s="2342">
        <v>45937</v>
      </c>
      <c r="D5" s="2343" t="str">
        <f t="shared" ref="D5:D15" ca="1" si="0">A5&amp;"（注册号："&amp;B5&amp;"）"</f>
        <v>叶凌（注册号：1119970111）</v>
      </c>
      <c r="E5" s="2344" t="s">
        <v>2147</v>
      </c>
      <c r="F5" s="1302">
        <f ca="1">IF(G5&lt;B2,"已过期",94010078)</f>
        <v>94010078</v>
      </c>
      <c r="G5" s="2345">
        <v>46387</v>
      </c>
      <c r="H5" s="2346" t="str">
        <f t="shared" ref="H5:H16" ca="1" si="1">E5&amp;"（注册号："&amp;F5&amp;"）"</f>
        <v>叶凌（注册号：94010078）</v>
      </c>
    </row>
    <row r="6" spans="1:8" ht="24" customHeight="1">
      <c r="A6" s="1302" t="s">
        <v>2148</v>
      </c>
      <c r="B6" s="1302">
        <f ca="1">IF(C6&lt;B2,"已过期",1120050019)</f>
        <v>1120050019</v>
      </c>
      <c r="C6" s="2342">
        <v>45410</v>
      </c>
      <c r="D6" s="2343" t="str">
        <f t="shared" ca="1" si="0"/>
        <v>王鹏（注册号：1120050019）</v>
      </c>
      <c r="E6" s="2344" t="s">
        <v>2148</v>
      </c>
      <c r="F6" s="1302">
        <f ca="1">IF(G6&lt;B2,"已过期",2002110030)</f>
        <v>2002110030</v>
      </c>
      <c r="G6" s="2345">
        <v>46387</v>
      </c>
      <c r="H6" s="2346" t="str">
        <f t="shared" ca="1" si="1"/>
        <v>王鹏（注册号：2002110030）</v>
      </c>
    </row>
    <row r="7" spans="1:8" ht="24" customHeight="1">
      <c r="A7" s="1302" t="s">
        <v>2149</v>
      </c>
      <c r="B7" s="1302">
        <f ca="1">IF(C7&lt;B2,"已过期",1120000080)</f>
        <v>1120000080</v>
      </c>
      <c r="C7" s="2342">
        <v>45937</v>
      </c>
      <c r="D7" s="2343" t="str">
        <f t="shared" ca="1" si="0"/>
        <v>欧红伟（注册号：1120000080）</v>
      </c>
      <c r="E7" s="2344" t="s">
        <v>2149</v>
      </c>
      <c r="F7" s="1302">
        <f ca="1">IF(G7&lt;B2,"已过期",2000110082)</f>
        <v>2000110082</v>
      </c>
      <c r="G7" s="2345">
        <v>46387</v>
      </c>
      <c r="H7" s="2346" t="str">
        <f t="shared" ca="1" si="1"/>
        <v>欧红伟（注册号：2000110082）</v>
      </c>
    </row>
    <row r="8" spans="1:8" ht="24" customHeight="1">
      <c r="A8" s="1302" t="s">
        <v>2150</v>
      </c>
      <c r="B8" s="1302">
        <f ca="1">IF(C8&lt;B2,"已过期",1419970001)</f>
        <v>1419970001</v>
      </c>
      <c r="C8" s="2342">
        <v>45937</v>
      </c>
      <c r="D8" s="2343" t="str">
        <f t="shared" ca="1" si="0"/>
        <v>吴薇（注册号：1419970001）</v>
      </c>
      <c r="E8" s="2344" t="s">
        <v>2150</v>
      </c>
      <c r="F8" s="1302">
        <f ca="1">IF(G8&lt;B2,"已过期",2002110125)</f>
        <v>2002110125</v>
      </c>
      <c r="G8" s="2345">
        <v>47118</v>
      </c>
      <c r="H8" s="2346" t="str">
        <f t="shared" ca="1" si="1"/>
        <v>吴薇（注册号：2002110125）</v>
      </c>
    </row>
    <row r="9" spans="1:8" ht="24" customHeight="1">
      <c r="A9" s="1302" t="s">
        <v>2151</v>
      </c>
      <c r="B9" s="1302">
        <f ca="1">IF(C9&lt;B2,"已过期",1120060040)</f>
        <v>1120060040</v>
      </c>
      <c r="C9" s="2347">
        <v>45592</v>
      </c>
      <c r="D9" s="2343" t="str">
        <f t="shared" ca="1" si="0"/>
        <v>陈颖（注册号：1120060040）</v>
      </c>
      <c r="E9" s="2344" t="s">
        <v>2151</v>
      </c>
      <c r="F9" s="1302">
        <f ca="1">IF(G9&lt;B2,"已过期",2004110096)</f>
        <v>2004110096</v>
      </c>
      <c r="G9" s="2345">
        <v>47118</v>
      </c>
      <c r="H9" s="2346" t="str">
        <f t="shared" ca="1" si="1"/>
        <v>陈颖（注册号：2004110096）</v>
      </c>
    </row>
    <row r="10" spans="1:8" ht="24" customHeight="1">
      <c r="A10" s="1302" t="s">
        <v>2152</v>
      </c>
      <c r="B10" s="1302">
        <f ca="1">IF(C10&lt;B2,"已过期",1120100036)</f>
        <v>1120100036</v>
      </c>
      <c r="C10" s="2347">
        <v>45752</v>
      </c>
      <c r="D10" s="2343" t="str">
        <f t="shared" ca="1" si="0"/>
        <v>崔锴（注册号：1120100036）</v>
      </c>
      <c r="E10" s="2344" t="s">
        <v>2152</v>
      </c>
      <c r="F10" s="1302">
        <f ca="1">IF(G10&lt;B2,"已过期",2010110070)</f>
        <v>2010110070</v>
      </c>
      <c r="G10" s="2345">
        <v>47907</v>
      </c>
      <c r="H10" s="2346" t="str">
        <f t="shared" ca="1" si="1"/>
        <v>崔锴（注册号：2010110070）</v>
      </c>
    </row>
    <row r="11" spans="1:8" ht="24" customHeight="1">
      <c r="A11" s="1302" t="s">
        <v>2153</v>
      </c>
      <c r="B11" s="1302">
        <f ca="1">IF(C11&lt;B2,"已过期",1120070131)</f>
        <v>1120070131</v>
      </c>
      <c r="C11" s="2342">
        <v>45937</v>
      </c>
      <c r="D11" s="2343" t="str">
        <f t="shared" ca="1" si="0"/>
        <v>郑燚（注册号：1120070131）</v>
      </c>
      <c r="E11" s="2344" t="s">
        <v>2153</v>
      </c>
      <c r="F11" s="1302">
        <f ca="1">IF(G11&lt;B2,"已过期",2014110011)</f>
        <v>2014110011</v>
      </c>
      <c r="G11" s="2345">
        <v>49302</v>
      </c>
      <c r="H11" s="2346" t="str">
        <f t="shared" ca="1" si="1"/>
        <v>郑燚（注册号：2014110011）</v>
      </c>
    </row>
    <row r="12" spans="1:8" ht="24" customHeight="1">
      <c r="A12" s="1302" t="s">
        <v>2154</v>
      </c>
      <c r="B12" s="1302">
        <f ca="1">IF(C12&lt;B2,"已过期",1120040230)</f>
        <v>1120040230</v>
      </c>
      <c r="C12" s="2347">
        <v>45937</v>
      </c>
      <c r="D12" s="2343" t="str">
        <f t="shared" ca="1" si="0"/>
        <v>苏海（注册号：1120040230）</v>
      </c>
      <c r="E12" s="2344" t="s">
        <v>2154</v>
      </c>
      <c r="F12" s="1302">
        <f ca="1">IF(G12&lt;B2,"已过期",98030020)</f>
        <v>98030020</v>
      </c>
      <c r="G12" s="2345">
        <v>47118</v>
      </c>
      <c r="H12" s="2346" t="str">
        <f t="shared" ca="1" si="1"/>
        <v>苏海（注册号：98030020）</v>
      </c>
    </row>
    <row r="13" spans="1:8" ht="24" customHeight="1">
      <c r="A13" s="1302" t="s">
        <v>2155</v>
      </c>
      <c r="B13" s="1302">
        <f ca="1">IF(C13&lt;B2,"已过期",1120020033)</f>
        <v>1120020033</v>
      </c>
      <c r="C13" s="2342">
        <v>45375</v>
      </c>
      <c r="D13" s="2343" t="str">
        <f t="shared" ca="1" si="0"/>
        <v>刘敬东（注册号：1120020033）</v>
      </c>
      <c r="E13" s="2344" t="s">
        <v>2155</v>
      </c>
      <c r="F13" s="1302">
        <f ca="1">IF(G13&lt;B2,"已过期",2000110137)</f>
        <v>2000110137</v>
      </c>
      <c r="G13" s="2345">
        <v>46387</v>
      </c>
      <c r="H13" s="2346" t="str">
        <f t="shared" ca="1" si="1"/>
        <v>刘敬东（注册号：2000110137）</v>
      </c>
    </row>
    <row r="14" spans="1:8" ht="24" customHeight="1">
      <c r="A14" s="1302" t="s">
        <v>2156</v>
      </c>
      <c r="B14" s="1302" t="str">
        <f ca="1">IF(C14&lt;B2,"已过期",1119980106)</f>
        <v>已过期</v>
      </c>
      <c r="C14" s="2347">
        <v>44969</v>
      </c>
      <c r="D14" s="2343" t="str">
        <f t="shared" ca="1" si="0"/>
        <v>刘俊财（注册号：已过期）</v>
      </c>
      <c r="E14" s="2344" t="s">
        <v>2156</v>
      </c>
      <c r="F14" s="1302">
        <f ca="1">IF(G14&lt;B2,"已过期",96010063)</f>
        <v>96010063</v>
      </c>
      <c r="G14" s="2345">
        <v>47483</v>
      </c>
      <c r="H14" s="2346" t="str">
        <f t="shared" ca="1" si="1"/>
        <v>刘俊财（注册号：96010063）</v>
      </c>
    </row>
    <row r="15" spans="1:8" ht="24" customHeight="1">
      <c r="A15" s="1302" t="s">
        <v>2438</v>
      </c>
      <c r="B15" s="1302">
        <v>1120210056</v>
      </c>
      <c r="C15" s="2347">
        <v>45410</v>
      </c>
      <c r="D15" s="2343" t="str">
        <f t="shared" si="0"/>
        <v>宁小鳗（注册号：1120210056）</v>
      </c>
      <c r="E15" s="2344" t="s">
        <v>2157</v>
      </c>
      <c r="F15" s="1302">
        <f ca="1">IF(G15&lt;B2,"已过期",2011110090)</f>
        <v>2011110090</v>
      </c>
      <c r="G15" s="2345">
        <v>48302</v>
      </c>
      <c r="H15" s="2346" t="str">
        <f t="shared" ca="1" si="1"/>
        <v>赵雯（注册号：2011110090）</v>
      </c>
    </row>
    <row r="16" spans="1:8" s="2349" customFormat="1" ht="24" customHeight="1">
      <c r="A16" s="1302"/>
      <c r="B16" s="1302"/>
      <c r="C16" s="1302"/>
      <c r="D16" s="2343" t="str">
        <f>A16&amp;"（注册号："&amp;B16&amp;"）"</f>
        <v>（注册号：）</v>
      </c>
      <c r="E16" s="2344"/>
      <c r="F16" s="1302"/>
      <c r="G16" s="1302"/>
      <c r="H16" s="2348" t="str">
        <f t="shared" si="1"/>
        <v>（注册号：）</v>
      </c>
    </row>
    <row r="17" spans="1:8" ht="24" customHeight="1">
      <c r="A17" s="3564" t="s">
        <v>2158</v>
      </c>
      <c r="B17" s="3564"/>
      <c r="C17" s="3564"/>
      <c r="D17" s="3564"/>
      <c r="E17" s="3564"/>
      <c r="F17" s="3564"/>
      <c r="G17" s="3564"/>
      <c r="H17" s="3564"/>
    </row>
    <row r="18" spans="1:8" ht="24" customHeight="1">
      <c r="A18" s="3565" t="s">
        <v>2159</v>
      </c>
      <c r="B18" s="3565"/>
      <c r="C18" s="3565"/>
      <c r="D18" s="2340"/>
      <c r="E18" s="3566" t="s">
        <v>2160</v>
      </c>
      <c r="F18" s="3565"/>
      <c r="G18" s="3565"/>
    </row>
    <row r="19" spans="1:8" s="2351" customFormat="1" ht="24" customHeight="1">
      <c r="A19" s="2350" t="s">
        <v>2161</v>
      </c>
      <c r="B19" s="2339" t="s">
        <v>2162</v>
      </c>
      <c r="C19" s="2339" t="s">
        <v>2141</v>
      </c>
      <c r="D19" s="2340"/>
      <c r="E19" s="2344" t="s">
        <v>2161</v>
      </c>
      <c r="F19" s="2339" t="s">
        <v>2162</v>
      </c>
      <c r="G19" s="2339" t="s">
        <v>2141</v>
      </c>
    </row>
    <row r="20" spans="1:8" s="2351" customFormat="1" ht="24" customHeight="1">
      <c r="A20" s="2352" t="s">
        <v>2163</v>
      </c>
      <c r="B20" s="2352" t="s">
        <v>2164</v>
      </c>
      <c r="C20" s="2345">
        <v>45898</v>
      </c>
      <c r="D20" s="2353"/>
      <c r="E20" s="2354" t="s">
        <v>2165</v>
      </c>
      <c r="F20" s="2357" t="s">
        <v>2439</v>
      </c>
      <c r="G20" s="2358">
        <v>44926</v>
      </c>
    </row>
    <row r="21" spans="1:8" s="2351" customFormat="1" ht="24" customHeight="1">
      <c r="A21" s="2352"/>
      <c r="B21" s="2352"/>
      <c r="C21" s="2355"/>
      <c r="D21" s="2356"/>
      <c r="E21" s="2354"/>
      <c r="F21" s="2357"/>
      <c r="G21" s="2358"/>
    </row>
    <row r="22" spans="1:8" ht="24" customHeight="1">
      <c r="C22" s="2359"/>
      <c r="D22" s="2359"/>
      <c r="E22" s="2360"/>
      <c r="F22" s="2361"/>
      <c r="G22" s="2362"/>
    </row>
  </sheetData>
  <sheetProtection password="CEE9" sheet="1" objects="1" scenarios="1"/>
  <mergeCells count="3">
    <mergeCell ref="A17:H17"/>
    <mergeCell ref="A18:C18"/>
    <mergeCell ref="E18:G18"/>
  </mergeCells>
  <phoneticPr fontId="82" type="noConversion"/>
  <conditionalFormatting sqref="D16 C4:D5 D7:D12 C13:D13 C12">
    <cfRule type="expression" dxfId="241" priority="53">
      <formula>AND($C4-TODAY()&lt;30,TODAY()&lt;$C4)</formula>
    </cfRule>
  </conditionalFormatting>
  <conditionalFormatting sqref="C20:D20">
    <cfRule type="expression" dxfId="240" priority="52">
      <formula>AND($C20-TODAY()&lt;30,TODAY()&lt;$C20)</formula>
    </cfRule>
  </conditionalFormatting>
  <conditionalFormatting sqref="C20:D20 G4 C4:D5 C13:D13">
    <cfRule type="cellIs" dxfId="239" priority="54" stopIfTrue="1" operator="lessThan">
      <formula>$B$2</formula>
    </cfRule>
  </conditionalFormatting>
  <conditionalFormatting sqref="G5 G7 G9">
    <cfRule type="cellIs" dxfId="238" priority="51" stopIfTrue="1" operator="lessThan">
      <formula>$B$2</formula>
    </cfRule>
  </conditionalFormatting>
  <conditionalFormatting sqref="C6:D6 D14 D16">
    <cfRule type="expression" dxfId="237" priority="49">
      <formula>AND($C6-TODAY()&lt;30,TODAY()&lt;$C6)</formula>
    </cfRule>
  </conditionalFormatting>
  <conditionalFormatting sqref="G6 G8 G10 C6:D6 D7:D12 D14 D16">
    <cfRule type="cellIs" dxfId="236" priority="50" stopIfTrue="1" operator="lessThan">
      <formula>$B$2</formula>
    </cfRule>
  </conditionalFormatting>
  <conditionalFormatting sqref="D12">
    <cfRule type="expression" dxfId="235" priority="47">
      <formula>AND($C12-TODAY()&lt;30,TODAY()&lt;$C12)</formula>
    </cfRule>
  </conditionalFormatting>
  <conditionalFormatting sqref="D12">
    <cfRule type="cellIs" dxfId="234" priority="48" stopIfTrue="1" operator="lessThan">
      <formula>$B$2</formula>
    </cfRule>
  </conditionalFormatting>
  <conditionalFormatting sqref="C13:D13">
    <cfRule type="expression" dxfId="233" priority="45">
      <formula>AND($C13-TODAY()&lt;30,TODAY()&lt;$C13)</formula>
    </cfRule>
  </conditionalFormatting>
  <conditionalFormatting sqref="C13:D13">
    <cfRule type="cellIs" dxfId="232" priority="46" stopIfTrue="1" operator="lessThan">
      <formula>$B$2</formula>
    </cfRule>
  </conditionalFormatting>
  <conditionalFormatting sqref="D14">
    <cfRule type="expression" dxfId="231" priority="43">
      <formula>AND($C14-TODAY()&lt;30,TODAY()&lt;$C14)</formula>
    </cfRule>
  </conditionalFormatting>
  <conditionalFormatting sqref="D14">
    <cfRule type="cellIs" dxfId="230" priority="44" stopIfTrue="1" operator="lessThan">
      <formula>$B$2</formula>
    </cfRule>
  </conditionalFormatting>
  <conditionalFormatting sqref="G13">
    <cfRule type="cellIs" dxfId="229" priority="42" stopIfTrue="1" operator="lessThan">
      <formula>$B$2</formula>
    </cfRule>
  </conditionalFormatting>
  <conditionalFormatting sqref="B4:B11 F4:F11 B13 F13:F14">
    <cfRule type="cellIs" dxfId="228" priority="41" stopIfTrue="1" operator="equal">
      <formula>"已过期"</formula>
    </cfRule>
  </conditionalFormatting>
  <conditionalFormatting sqref="C7">
    <cfRule type="cellIs" dxfId="227" priority="38" stopIfTrue="1" operator="lessThan">
      <formula>$B$2</formula>
    </cfRule>
  </conditionalFormatting>
  <conditionalFormatting sqref="C7">
    <cfRule type="expression" dxfId="226" priority="37">
      <formula>AND($C7-TODAY()&lt;30,TODAY()&lt;$C7)</formula>
    </cfRule>
  </conditionalFormatting>
  <conditionalFormatting sqref="C8">
    <cfRule type="expression" dxfId="225" priority="35">
      <formula>AND($C8-TODAY()&lt;30,TODAY()&lt;$C8)</formula>
    </cfRule>
  </conditionalFormatting>
  <conditionalFormatting sqref="C8">
    <cfRule type="cellIs" dxfId="224" priority="36" stopIfTrue="1" operator="lessThan">
      <formula>$B$2</formula>
    </cfRule>
  </conditionalFormatting>
  <conditionalFormatting sqref="C11">
    <cfRule type="expression" dxfId="223" priority="33">
      <formula>AND($C11-TODAY()&lt;30,TODAY()&lt;$C11)</formula>
    </cfRule>
  </conditionalFormatting>
  <conditionalFormatting sqref="C11">
    <cfRule type="cellIs" dxfId="222" priority="34" stopIfTrue="1" operator="lessThan">
      <formula>$B$2</formula>
    </cfRule>
  </conditionalFormatting>
  <conditionalFormatting sqref="A16:C16">
    <cfRule type="cellIs" dxfId="221" priority="32" stopIfTrue="1" operator="equal">
      <formula>"已过期"</formula>
    </cfRule>
  </conditionalFormatting>
  <conditionalFormatting sqref="E16:G16">
    <cfRule type="cellIs" dxfId="220" priority="31" stopIfTrue="1" operator="equal">
      <formula>"已过期"</formula>
    </cfRule>
  </conditionalFormatting>
  <conditionalFormatting sqref="G11">
    <cfRule type="cellIs" dxfId="219" priority="30" stopIfTrue="1" operator="lessThan">
      <formula>$B$2</formula>
    </cfRule>
  </conditionalFormatting>
  <conditionalFormatting sqref="F12">
    <cfRule type="cellIs" dxfId="218" priority="29" stopIfTrue="1" operator="equal">
      <formula>"已过期"</formula>
    </cfRule>
  </conditionalFormatting>
  <conditionalFormatting sqref="G12">
    <cfRule type="cellIs" dxfId="217" priority="28" stopIfTrue="1" operator="lessThan">
      <formula>$B$2</formula>
    </cfRule>
  </conditionalFormatting>
  <conditionalFormatting sqref="C12">
    <cfRule type="cellIs" dxfId="216" priority="27" stopIfTrue="1" operator="lessThan">
      <formula>$B$2</formula>
    </cfRule>
  </conditionalFormatting>
  <conditionalFormatting sqref="C12">
    <cfRule type="expression" dxfId="215" priority="25">
      <formula>AND($C12-TODAY()&lt;30,TODAY()&lt;$C12)</formula>
    </cfRule>
  </conditionalFormatting>
  <conditionalFormatting sqref="C12">
    <cfRule type="cellIs" dxfId="214" priority="26" stopIfTrue="1" operator="lessThan">
      <formula>$B$2</formula>
    </cfRule>
  </conditionalFormatting>
  <conditionalFormatting sqref="B12">
    <cfRule type="cellIs" dxfId="213" priority="24" stopIfTrue="1" operator="equal">
      <formula>"已过期"</formula>
    </cfRule>
  </conditionalFormatting>
  <conditionalFormatting sqref="C9:C10">
    <cfRule type="expression" dxfId="212" priority="22">
      <formula>AND($C9-TODAY()&lt;30,TODAY()&lt;$C9)</formula>
    </cfRule>
  </conditionalFormatting>
  <conditionalFormatting sqref="C9:C10">
    <cfRule type="cellIs" dxfId="211" priority="23" stopIfTrue="1" operator="lessThan">
      <formula>$B$2</formula>
    </cfRule>
  </conditionalFormatting>
  <conditionalFormatting sqref="G21">
    <cfRule type="expression" dxfId="210" priority="20" stopIfTrue="1">
      <formula>AND(#REF!-TODAY()&lt;30,TODAY()&lt;#REF!)</formula>
    </cfRule>
  </conditionalFormatting>
  <conditionalFormatting sqref="G21">
    <cfRule type="cellIs" dxfId="209" priority="21" stopIfTrue="1" operator="lessThan">
      <formula>$B$2</formula>
    </cfRule>
  </conditionalFormatting>
  <conditionalFormatting sqref="C14">
    <cfRule type="expression" dxfId="208" priority="18">
      <formula>AND($C14-TODAY()&lt;30,TODAY()&lt;$C14)</formula>
    </cfRule>
  </conditionalFormatting>
  <conditionalFormatting sqref="C14">
    <cfRule type="cellIs" dxfId="207" priority="19" stopIfTrue="1" operator="lessThan">
      <formula>$B$2</formula>
    </cfRule>
  </conditionalFormatting>
  <conditionalFormatting sqref="C14">
    <cfRule type="expression" dxfId="206" priority="16">
      <formula>AND($C14-TODAY()&lt;30,TODAY()&lt;$C14)</formula>
    </cfRule>
  </conditionalFormatting>
  <conditionalFormatting sqref="C14">
    <cfRule type="cellIs" dxfId="205" priority="17" stopIfTrue="1" operator="lessThan">
      <formula>$B$2</formula>
    </cfRule>
  </conditionalFormatting>
  <conditionalFormatting sqref="B14">
    <cfRule type="cellIs" dxfId="204" priority="15" stopIfTrue="1" operator="equal">
      <formula>"已过期"</formula>
    </cfRule>
  </conditionalFormatting>
  <conditionalFormatting sqref="G14">
    <cfRule type="cellIs" dxfId="203" priority="14" stopIfTrue="1" operator="lessThan">
      <formula>$B$2</formula>
    </cfRule>
  </conditionalFormatting>
  <conditionalFormatting sqref="D15">
    <cfRule type="expression" dxfId="202" priority="12">
      <formula>AND($C15-TODAY()&lt;30,TODAY()&lt;$C15)</formula>
    </cfRule>
  </conditionalFormatting>
  <conditionalFormatting sqref="D15">
    <cfRule type="cellIs" dxfId="201" priority="13" stopIfTrue="1" operator="lessThan">
      <formula>$B$2</formula>
    </cfRule>
  </conditionalFormatting>
  <conditionalFormatting sqref="D15">
    <cfRule type="expression" dxfId="200" priority="10">
      <formula>AND($C15-TODAY()&lt;30,TODAY()&lt;$C15)</formula>
    </cfRule>
  </conditionalFormatting>
  <conditionalFormatting sqref="D15">
    <cfRule type="cellIs" dxfId="199" priority="11" stopIfTrue="1" operator="lessThan">
      <formula>$B$2</formula>
    </cfRule>
  </conditionalFormatting>
  <conditionalFormatting sqref="F15">
    <cfRule type="cellIs" dxfId="198" priority="9" stopIfTrue="1" operator="equal">
      <formula>"已过期"</formula>
    </cfRule>
  </conditionalFormatting>
  <conditionalFormatting sqref="C15">
    <cfRule type="expression" dxfId="197" priority="7">
      <formula>AND($C15-TODAY()&lt;30,TODAY()&lt;$C15)</formula>
    </cfRule>
  </conditionalFormatting>
  <conditionalFormatting sqref="C15">
    <cfRule type="cellIs" dxfId="196" priority="8" stopIfTrue="1" operator="lessThan">
      <formula>$B$2</formula>
    </cfRule>
  </conditionalFormatting>
  <conditionalFormatting sqref="C15">
    <cfRule type="expression" dxfId="195" priority="5">
      <formula>AND($C15-TODAY()&lt;30,TODAY()&lt;$C15)</formula>
    </cfRule>
  </conditionalFormatting>
  <conditionalFormatting sqref="C15">
    <cfRule type="cellIs" dxfId="194" priority="6" stopIfTrue="1" operator="lessThan">
      <formula>$B$2</formula>
    </cfRule>
  </conditionalFormatting>
  <conditionalFormatting sqref="B15">
    <cfRule type="cellIs" dxfId="193" priority="4" stopIfTrue="1" operator="equal">
      <formula>"已过期"</formula>
    </cfRule>
  </conditionalFormatting>
  <conditionalFormatting sqref="G15">
    <cfRule type="cellIs" dxfId="192" priority="3" stopIfTrue="1" operator="lessThan">
      <formula>$B$2</formula>
    </cfRule>
  </conditionalFormatting>
  <conditionalFormatting sqref="G20">
    <cfRule type="expression" dxfId="191" priority="1" stopIfTrue="1">
      <formula>AND(#REF!-TODAY()&lt;30,TODAY()&lt;#REF!)</formula>
    </cfRule>
  </conditionalFormatting>
  <conditionalFormatting sqref="G20">
    <cfRule type="cellIs" dxfId="19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52</vt:i4>
      </vt:variant>
      <vt:variant>
        <vt:lpstr>命名范围</vt:lpstr>
      </vt:variant>
      <vt:variant>
        <vt:i4>154</vt:i4>
      </vt:variant>
    </vt:vector>
  </HeadingPairs>
  <TitlesOfParts>
    <vt:vector size="20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比较法-商业</vt:lpstr>
      <vt:lpstr>Sheet4</vt:lpstr>
      <vt:lpstr>成本法</vt:lpstr>
      <vt:lpstr>成本法 (元)</vt:lpstr>
      <vt:lpstr>假设开发法</vt:lpstr>
      <vt:lpstr>土地比较法-住宅、综合</vt:lpstr>
      <vt:lpstr>土地案例</vt:lpstr>
      <vt:lpstr>收益法 (元)</vt:lpstr>
      <vt:lpstr>收益法-酒店模型</vt:lpstr>
      <vt:lpstr>Sheet1</vt:lpstr>
      <vt:lpstr>典型户型修正</vt:lpstr>
      <vt:lpstr>收益法（汇总）</vt:lpstr>
      <vt:lpstr>收益法</vt:lpstr>
      <vt:lpstr>基准地价修正</vt:lpstr>
      <vt:lpstr>收益法-办公</vt:lpstr>
      <vt:lpstr>收益法-车库</vt:lpstr>
      <vt:lpstr>比较法-住宅</vt:lpstr>
      <vt:lpstr>比较法-工业</vt:lpstr>
      <vt:lpstr>比较法-车位</vt:lpstr>
      <vt:lpstr>比较法-仓储</vt:lpstr>
      <vt:lpstr>土地比较法-工业</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lpstr>Sheet3</vt:lpstr>
      <vt:lpstr>比较法-办公</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'收益法-办公'!Print_Area</vt:lpstr>
      <vt:lpstr>'收益法-车库'!Print_Area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2017-03-01T09:15:43Z</cp:lastPrinted>
  <dcterms:created xsi:type="dcterms:W3CDTF">2015-07-13T07:17:23Z</dcterms:created>
  <dcterms:modified xsi:type="dcterms:W3CDTF">2023-05-25T01:41:01Z</dcterms:modified>
</cp:coreProperties>
</file>