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Sheet1" sheetId="80"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40" hidden="1">'比较法-办公 (2)'!$A$1:$L$50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40">'比较法-办公 (2)'!$A$1:$K$55,'比较法-办公 (2)'!$A$58:$M$132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N18" i="1"/>
  <c r="I48" i="34" l="1"/>
  <c r="G48" i="34"/>
  <c r="E48" i="34"/>
  <c r="B131" i="81" l="1"/>
  <c r="B129" i="81"/>
  <c r="B127" i="81"/>
  <c r="E126" i="81"/>
  <c r="F126" i="81" s="1"/>
  <c r="G126" i="81" s="1"/>
  <c r="D126" i="81"/>
  <c r="D124" i="81"/>
  <c r="E124" i="81" s="1"/>
  <c r="F124" i="81" s="1"/>
  <c r="G124" i="81" s="1"/>
  <c r="H124" i="81" s="1"/>
  <c r="I124" i="81" s="1"/>
  <c r="J124" i="81" s="1"/>
  <c r="K124" i="81" s="1"/>
  <c r="L124" i="81" s="1"/>
  <c r="M124" i="81" s="1"/>
  <c r="E120" i="81"/>
  <c r="F120" i="81" s="1"/>
  <c r="G120" i="81" s="1"/>
  <c r="H120" i="81" s="1"/>
  <c r="I120" i="81" s="1"/>
  <c r="J120" i="81" s="1"/>
  <c r="K120" i="81" s="1"/>
  <c r="L120" i="81" s="1"/>
  <c r="M120" i="81" s="1"/>
  <c r="D120" i="81"/>
  <c r="E118" i="81"/>
  <c r="F118" i="81" s="1"/>
  <c r="G118" i="81" s="1"/>
  <c r="D118" i="81"/>
  <c r="D116" i="81"/>
  <c r="E116" i="81" s="1"/>
  <c r="F116" i="81" s="1"/>
  <c r="G116" i="81" s="1"/>
  <c r="H116" i="81" s="1"/>
  <c r="I116" i="81" s="1"/>
  <c r="J116" i="81" s="1"/>
  <c r="K116" i="81" s="1"/>
  <c r="L116" i="81" s="1"/>
  <c r="M116" i="81" s="1"/>
  <c r="E114" i="81"/>
  <c r="F114" i="81" s="1"/>
  <c r="G114" i="81" s="1"/>
  <c r="H114" i="81" s="1"/>
  <c r="I114" i="81" s="1"/>
  <c r="J114" i="81" s="1"/>
  <c r="K114" i="81" s="1"/>
  <c r="L114" i="81" s="1"/>
  <c r="M114" i="81" s="1"/>
  <c r="D114" i="81"/>
  <c r="D112" i="81"/>
  <c r="E112" i="81" s="1"/>
  <c r="F112" i="81" s="1"/>
  <c r="G112" i="81" s="1"/>
  <c r="H112" i="81" s="1"/>
  <c r="I112" i="81" s="1"/>
  <c r="J112" i="81" s="1"/>
  <c r="K112" i="81" s="1"/>
  <c r="L112" i="81" s="1"/>
  <c r="M112" i="81" s="1"/>
  <c r="G110" i="81"/>
  <c r="F110" i="81"/>
  <c r="E110" i="81"/>
  <c r="D110" i="81"/>
  <c r="C110" i="81"/>
  <c r="F109" i="81"/>
  <c r="G109" i="81" s="1"/>
  <c r="H109" i="81" s="1"/>
  <c r="I109" i="81" s="1"/>
  <c r="J109" i="81" s="1"/>
  <c r="K109" i="81" s="1"/>
  <c r="L109" i="81" s="1"/>
  <c r="M109" i="81" s="1"/>
  <c r="E109" i="81"/>
  <c r="D109" i="8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E102" i="81"/>
  <c r="F102" i="81" s="1"/>
  <c r="G102" i="81" s="1"/>
  <c r="H102" i="81" s="1"/>
  <c r="I102" i="81" s="1"/>
  <c r="J102" i="81" s="1"/>
  <c r="K102" i="81" s="1"/>
  <c r="L102" i="81" s="1"/>
  <c r="M102" i="81" s="1"/>
  <c r="D102" i="81"/>
  <c r="B99" i="81"/>
  <c r="B97" i="81"/>
  <c r="B95" i="81"/>
  <c r="B93" i="81"/>
  <c r="D92" i="81"/>
  <c r="E92" i="81" s="1"/>
  <c r="F92" i="81" s="1"/>
  <c r="G92" i="81" s="1"/>
  <c r="H92" i="81" s="1"/>
  <c r="I92" i="81" s="1"/>
  <c r="J92" i="81" s="1"/>
  <c r="K92" i="81" s="1"/>
  <c r="L92" i="81" s="1"/>
  <c r="M92" i="81" s="1"/>
  <c r="B91" i="81"/>
  <c r="D90" i="81"/>
  <c r="E90" i="81" s="1"/>
  <c r="B89" i="81"/>
  <c r="E88" i="81"/>
  <c r="F88" i="81" s="1"/>
  <c r="G88" i="81" s="1"/>
  <c r="H88" i="81" s="1"/>
  <c r="I88" i="81" s="1"/>
  <c r="J88" i="81" s="1"/>
  <c r="K88" i="81" s="1"/>
  <c r="L88" i="81" s="1"/>
  <c r="M88" i="81" s="1"/>
  <c r="D88" i="81"/>
  <c r="E86" i="81"/>
  <c r="F86" i="81" s="1"/>
  <c r="G86" i="81" s="1"/>
  <c r="D86" i="81"/>
  <c r="E84" i="81"/>
  <c r="F84" i="81" s="1"/>
  <c r="G84" i="81" s="1"/>
  <c r="D84" i="81"/>
  <c r="E82" i="81"/>
  <c r="F82" i="81" s="1"/>
  <c r="G82" i="81" s="1"/>
  <c r="D82" i="81"/>
  <c r="E80" i="81"/>
  <c r="F80" i="81" s="1"/>
  <c r="G80" i="81" s="1"/>
  <c r="D80" i="81"/>
  <c r="E78" i="81"/>
  <c r="F78" i="81" s="1"/>
  <c r="G78" i="81" s="1"/>
  <c r="D78" i="81"/>
  <c r="B75" i="81"/>
  <c r="B73" i="81"/>
  <c r="B71" i="81"/>
  <c r="F70" i="81"/>
  <c r="G70" i="81" s="1"/>
  <c r="H70" i="81" s="1"/>
  <c r="I70" i="81" s="1"/>
  <c r="J70" i="81" s="1"/>
  <c r="K70" i="81" s="1"/>
  <c r="L70" i="81" s="1"/>
  <c r="M70" i="81" s="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C34" i="81"/>
  <c r="H34" i="81" s="1"/>
  <c r="Q33" i="81"/>
  <c r="Z33" i="81" s="1"/>
  <c r="J33" i="81"/>
  <c r="AC33" i="81" s="1"/>
  <c r="H33" i="81"/>
  <c r="AB33" i="81" s="1"/>
  <c r="F33" i="81"/>
  <c r="AA33" i="81" s="1"/>
  <c r="Z32" i="81"/>
  <c r="U32" i="81"/>
  <c r="Q32" i="81"/>
  <c r="J32" i="81"/>
  <c r="AC32" i="81" s="1"/>
  <c r="H32" i="81"/>
  <c r="AB32" i="81" s="1"/>
  <c r="F32" i="81"/>
  <c r="AA32" i="81" s="1"/>
  <c r="W31" i="81"/>
  <c r="Q31" i="81"/>
  <c r="Z31" i="81" s="1"/>
  <c r="J31" i="81"/>
  <c r="AC31" i="81" s="1"/>
  <c r="H31" i="81"/>
  <c r="AB31" i="81" s="1"/>
  <c r="F31" i="81"/>
  <c r="AA31" i="81" s="1"/>
  <c r="U30" i="81"/>
  <c r="Q30" i="81"/>
  <c r="Z30" i="81" s="1"/>
  <c r="J30" i="81"/>
  <c r="AC30" i="81" s="1"/>
  <c r="H30" i="81"/>
  <c r="AB30" i="81" s="1"/>
  <c r="F30" i="81"/>
  <c r="AA30" i="81" s="1"/>
  <c r="AC29" i="81"/>
  <c r="W29" i="81"/>
  <c r="Q29" i="81"/>
  <c r="Z29" i="81" s="1"/>
  <c r="J29" i="81"/>
  <c r="H29" i="81"/>
  <c r="AB29" i="81" s="1"/>
  <c r="F29" i="81"/>
  <c r="S29" i="81" s="1"/>
  <c r="AB28" i="81"/>
  <c r="U28" i="81"/>
  <c r="Q28" i="81"/>
  <c r="Z28" i="81" s="1"/>
  <c r="J28" i="81"/>
  <c r="AC28" i="81" s="1"/>
  <c r="H28" i="81"/>
  <c r="F28" i="81"/>
  <c r="AA28" i="81" s="1"/>
  <c r="Q27" i="81"/>
  <c r="Z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U8" i="81" s="1"/>
  <c r="F8" i="81"/>
  <c r="S8" i="81" s="1"/>
  <c r="J7" i="81"/>
  <c r="AC7" i="81" s="1"/>
  <c r="H7" i="81"/>
  <c r="U7" i="81" s="1"/>
  <c r="C7" i="81"/>
  <c r="C59" i="81" s="1"/>
  <c r="D59" i="81" s="1"/>
  <c r="E59" i="81" s="1"/>
  <c r="F59" i="81" s="1"/>
  <c r="G59" i="81" s="1"/>
  <c r="H59" i="81" s="1"/>
  <c r="I59" i="81" s="1"/>
  <c r="J59" i="81" s="1"/>
  <c r="K59" i="81" s="1"/>
  <c r="L59" i="81" s="1"/>
  <c r="M59" i="81" s="1"/>
  <c r="N59" i="81" s="1"/>
  <c r="O59" i="81" s="1"/>
  <c r="D3" i="81"/>
  <c r="J49" i="67"/>
  <c r="B29" i="1"/>
  <c r="O19" i="1"/>
  <c r="N20" i="1"/>
  <c r="N6" i="1" s="1"/>
  <c r="C37" i="81" s="1"/>
  <c r="E37" i="81" s="1"/>
  <c r="D3" i="4"/>
  <c r="D2" i="81"/>
  <c r="F37" i="81" l="1"/>
  <c r="AA37" i="81" s="1"/>
  <c r="G37" i="81"/>
  <c r="I37" i="81" s="1"/>
  <c r="J37" i="81" s="1"/>
  <c r="AC37" i="81" s="1"/>
  <c r="F27" i="81"/>
  <c r="S27" i="81" s="1"/>
  <c r="F90" i="81"/>
  <c r="G90" i="81" s="1"/>
  <c r="H90" i="81" s="1"/>
  <c r="I90" i="81" s="1"/>
  <c r="J90" i="81" s="1"/>
  <c r="K90" i="81" s="1"/>
  <c r="L90" i="81" s="1"/>
  <c r="M90" i="81" s="1"/>
  <c r="H27" i="81"/>
  <c r="AB27" i="81" s="1"/>
  <c r="J27" i="81"/>
  <c r="AC27" i="81" s="1"/>
  <c r="W7" i="81"/>
  <c r="AB7" i="81"/>
  <c r="AA8" i="81"/>
  <c r="U9" i="81"/>
  <c r="W10" i="81"/>
  <c r="S12" i="81"/>
  <c r="U13" i="81"/>
  <c r="W14" i="81"/>
  <c r="W15" i="81"/>
  <c r="W17" i="81"/>
  <c r="W19" i="81"/>
  <c r="W21" i="81"/>
  <c r="W23" i="81"/>
  <c r="AA29" i="81"/>
  <c r="AB34" i="81"/>
  <c r="U34" i="81"/>
  <c r="U10" i="81"/>
  <c r="W11" i="81"/>
  <c r="S13" i="81"/>
  <c r="U14" i="81"/>
  <c r="F7" i="81"/>
  <c r="AB8" i="81"/>
  <c r="W9" i="81"/>
  <c r="S11" i="81"/>
  <c r="U12" i="81"/>
  <c r="W13" i="81"/>
  <c r="S25" i="81"/>
  <c r="S31" i="81"/>
  <c r="S10" i="81"/>
  <c r="U11" i="81"/>
  <c r="W12" i="81"/>
  <c r="S14" i="81"/>
  <c r="S15" i="81"/>
  <c r="S17" i="81"/>
  <c r="S19" i="81"/>
  <c r="S21" i="81"/>
  <c r="S23" i="81"/>
  <c r="U25" i="81"/>
  <c r="S9" i="81"/>
  <c r="U15" i="81"/>
  <c r="U17" i="81"/>
  <c r="U19" i="81"/>
  <c r="U21" i="81"/>
  <c r="U23" i="81"/>
  <c r="W25" i="81"/>
  <c r="S28" i="81"/>
  <c r="U29" i="81"/>
  <c r="W30" i="81"/>
  <c r="S32" i="81"/>
  <c r="U33" i="81"/>
  <c r="W35" i="81"/>
  <c r="H37" i="81"/>
  <c r="U38" i="81"/>
  <c r="W39" i="81"/>
  <c r="S41" i="81"/>
  <c r="U42" i="81"/>
  <c r="W43" i="81"/>
  <c r="S45" i="81"/>
  <c r="U46" i="81"/>
  <c r="W47" i="81"/>
  <c r="W33" i="81"/>
  <c r="W34" i="81"/>
  <c r="S36" i="81"/>
  <c r="W38" i="81"/>
  <c r="S40" i="81"/>
  <c r="U41" i="81"/>
  <c r="W42" i="81"/>
  <c r="S44" i="81"/>
  <c r="U45" i="81"/>
  <c r="W46" i="81"/>
  <c r="W28" i="81"/>
  <c r="S30" i="81"/>
  <c r="U31" i="81"/>
  <c r="W32" i="81"/>
  <c r="S35" i="81"/>
  <c r="U36" i="81"/>
  <c r="S39" i="81"/>
  <c r="U40" i="81"/>
  <c r="W41" i="81"/>
  <c r="S43" i="81"/>
  <c r="U44" i="81"/>
  <c r="W45" i="81"/>
  <c r="S47" i="81"/>
  <c r="S33" i="81"/>
  <c r="S34" i="81"/>
  <c r="U35" i="81"/>
  <c r="W36" i="81"/>
  <c r="S38" i="81"/>
  <c r="U39" i="81"/>
  <c r="W40" i="81"/>
  <c r="S42" i="81"/>
  <c r="U43" i="81"/>
  <c r="W44" i="81"/>
  <c r="S46" i="81"/>
  <c r="U47" i="81"/>
  <c r="Y6" i="1"/>
  <c r="C37" i="34"/>
  <c r="E37" i="34" s="1"/>
  <c r="G37" i="34" s="1"/>
  <c r="I37" i="34"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W37" i="81" l="1"/>
  <c r="S37" i="81"/>
  <c r="U27" i="81"/>
  <c r="AA27" i="81"/>
  <c r="V49" i="81"/>
  <c r="I49" i="81" s="1"/>
  <c r="I53" i="81" s="1"/>
  <c r="J53" i="81" s="1"/>
  <c r="W27" i="81"/>
  <c r="AB37" i="81"/>
  <c r="T49" i="81" s="1"/>
  <c r="G49" i="81" s="1"/>
  <c r="U37" i="81"/>
  <c r="AA7" i="81"/>
  <c r="S7" i="81"/>
  <c r="T28" i="79"/>
  <c r="W28" i="79" s="1"/>
  <c r="I8" i="79"/>
  <c r="R49" i="81" l="1"/>
  <c r="E49" i="81" s="1"/>
  <c r="G53" i="81"/>
  <c r="H53" i="81" s="1"/>
  <c r="G54" i="81"/>
  <c r="H54" i="81" s="1"/>
  <c r="R50" i="81"/>
  <c r="I31" i="79"/>
  <c r="I30" i="79"/>
  <c r="N30" i="79"/>
  <c r="M30" i="79"/>
  <c r="P30" i="79" s="1"/>
  <c r="L30" i="79"/>
  <c r="N31" i="79"/>
  <c r="M31" i="79"/>
  <c r="L31" i="79"/>
  <c r="O7" i="79"/>
  <c r="N7" i="79"/>
  <c r="M7" i="79"/>
  <c r="P7" i="79" s="1"/>
  <c r="L7" i="79"/>
  <c r="K7" i="79"/>
  <c r="O8" i="79"/>
  <c r="N8" i="79"/>
  <c r="M8" i="79"/>
  <c r="P8" i="79" s="1"/>
  <c r="L8" i="79"/>
  <c r="K8" i="79"/>
  <c r="C50" i="81" l="1"/>
  <c r="C49" i="81"/>
  <c r="E54" i="81"/>
  <c r="F54" i="81" s="1"/>
  <c r="E53" i="81"/>
  <c r="F53" i="81" s="1"/>
  <c r="I54" i="81"/>
  <c r="J54" i="81" s="1"/>
  <c r="P31" i="79"/>
  <c r="B2" i="81" l="1"/>
  <c r="B3" i="81"/>
  <c r="G14" i="73"/>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S28" i="31" s="1"/>
  <c r="R29" i="31"/>
  <c r="R30" i="31"/>
  <c r="S30" i="31" s="1"/>
  <c r="R31" i="31"/>
  <c r="S31" i="31" s="1"/>
  <c r="R32" i="31"/>
  <c r="R33" i="31"/>
  <c r="R34" i="31"/>
  <c r="S34" i="31" s="1"/>
  <c r="R35" i="31"/>
  <c r="S35" i="31" s="1"/>
  <c r="R36" i="31"/>
  <c r="S36" i="31" s="1"/>
  <c r="R37" i="31"/>
  <c r="R38" i="31"/>
  <c r="S38" i="31" s="1"/>
  <c r="R39" i="31"/>
  <c r="S39" i="31" s="1"/>
  <c r="R40" i="31"/>
  <c r="R41" i="31"/>
  <c r="R42" i="31"/>
  <c r="S42" i="31" s="1"/>
  <c r="R43" i="3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R64" i="31"/>
  <c r="R65" i="31"/>
  <c r="R66" i="31"/>
  <c r="S66" i="31" s="1"/>
  <c r="R67" i="31"/>
  <c r="S67" i="31" s="1"/>
  <c r="R68" i="31"/>
  <c r="S68" i="31" s="1"/>
  <c r="R69" i="31"/>
  <c r="R70" i="31"/>
  <c r="S70" i="31" s="1"/>
  <c r="R71" i="31"/>
  <c r="S71" i="31" s="1"/>
  <c r="R72" i="3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R88" i="31"/>
  <c r="R89" i="31"/>
  <c r="R90" i="31"/>
  <c r="S90" i="31" s="1"/>
  <c r="R91" i="31"/>
  <c r="S91" i="31" s="1"/>
  <c r="R92" i="31"/>
  <c r="S92" i="31" s="1"/>
  <c r="R93" i="31"/>
  <c r="R94" i="31"/>
  <c r="S94" i="31" s="1"/>
  <c r="R95" i="31"/>
  <c r="S95" i="31" s="1"/>
  <c r="R96" i="31"/>
  <c r="R97" i="31"/>
  <c r="R98" i="31"/>
  <c r="S98" i="31" s="1"/>
  <c r="R99" i="31"/>
  <c r="S99" i="31" s="1"/>
  <c r="R100" i="31"/>
  <c r="S100" i="31" s="1"/>
  <c r="R101" i="31"/>
  <c r="R102" i="31"/>
  <c r="S102" i="31" s="1"/>
  <c r="R103" i="31"/>
  <c r="R104" i="31"/>
  <c r="S104" i="31" s="1"/>
  <c r="R105" i="31"/>
  <c r="R106" i="31"/>
  <c r="S106" i="31" s="1"/>
  <c r="R107" i="31"/>
  <c r="S107" i="31" s="1"/>
  <c r="R108" i="31"/>
  <c r="R109" i="31"/>
  <c r="R110" i="31"/>
  <c r="S110" i="31" s="1"/>
  <c r="R111" i="31"/>
  <c r="S111" i="31" s="1"/>
  <c r="R112" i="31"/>
  <c r="R113" i="31"/>
  <c r="R114" i="31"/>
  <c r="S114" i="31" s="1"/>
  <c r="R115" i="31"/>
  <c r="R116" i="31"/>
  <c r="S116" i="31" s="1"/>
  <c r="R117" i="31"/>
  <c r="R118" i="31"/>
  <c r="S118" i="31" s="1"/>
  <c r="R119" i="31"/>
  <c r="S119" i="31" s="1"/>
  <c r="R120" i="31"/>
  <c r="S120" i="31" s="1"/>
  <c r="R121" i="31"/>
  <c r="R122" i="31"/>
  <c r="S122" i="31" s="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S226" i="31" s="1"/>
  <c r="R227" i="31"/>
  <c r="S227" i="31" s="1"/>
  <c r="R228" i="31"/>
  <c r="R229" i="31"/>
  <c r="R230" i="31"/>
  <c r="S230" i="31" s="1"/>
  <c r="R231" i="31"/>
  <c r="S231" i="31" s="1"/>
  <c r="R232" i="31"/>
  <c r="S232" i="31" s="1"/>
  <c r="R233" i="31"/>
  <c r="R234" i="31"/>
  <c r="S234" i="31" s="1"/>
  <c r="R235" i="31"/>
  <c r="S235" i="31" s="1"/>
  <c r="R236" i="31"/>
  <c r="R237" i="31"/>
  <c r="R238" i="31"/>
  <c r="S238" i="31" s="1"/>
  <c r="R239" i="3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R277" i="31"/>
  <c r="S277" i="31"/>
  <c r="R278" i="31"/>
  <c r="S278" i="31" s="1"/>
  <c r="R279" i="31"/>
  <c r="S279" i="31" s="1"/>
  <c r="R280" i="31"/>
  <c r="R281" i="31"/>
  <c r="S281" i="31" s="1"/>
  <c r="R282" i="31"/>
  <c r="R283" i="31"/>
  <c r="S283" i="31" s="1"/>
  <c r="R284" i="31"/>
  <c r="R285" i="31"/>
  <c r="S285" i="31" s="1"/>
  <c r="R286" i="31"/>
  <c r="S286" i="31" s="1"/>
  <c r="R287" i="31"/>
  <c r="S287" i="31" s="1"/>
  <c r="R288" i="31"/>
  <c r="S288" i="31" s="1"/>
  <c r="R289" i="31"/>
  <c r="S289" i="31" s="1"/>
  <c r="R290" i="31"/>
  <c r="S290" i="31" s="1"/>
  <c r="R291" i="31"/>
  <c r="S291" i="31" s="1"/>
  <c r="R292" i="31"/>
  <c r="R293" i="31"/>
  <c r="S293" i="31" s="1"/>
  <c r="R294" i="31"/>
  <c r="S294" i="31" s="1"/>
  <c r="R295" i="31"/>
  <c r="S295" i="31" s="1"/>
  <c r="R296" i="31"/>
  <c r="R297" i="31"/>
  <c r="S297" i="31" s="1"/>
  <c r="R298" i="31"/>
  <c r="S298" i="31" s="1"/>
  <c r="R299" i="31"/>
  <c r="S299" i="31" s="1"/>
  <c r="R300" i="31"/>
  <c r="R301" i="31"/>
  <c r="S301" i="31" s="1"/>
  <c r="R302" i="31"/>
  <c r="S302" i="31" s="1"/>
  <c r="R303" i="31"/>
  <c r="S303" i="31" s="1"/>
  <c r="R304" i="31"/>
  <c r="R305" i="31"/>
  <c r="S305" i="31" s="1"/>
  <c r="R306" i="31"/>
  <c r="S306" i="31" s="1"/>
  <c r="R307" i="31"/>
  <c r="S307" i="31" s="1"/>
  <c r="R308" i="31"/>
  <c r="R309" i="31"/>
  <c r="S309" i="31" s="1"/>
  <c r="R310" i="31"/>
  <c r="S310" i="31" s="1"/>
  <c r="R311" i="31"/>
  <c r="S311" i="31" s="1"/>
  <c r="R312" i="31"/>
  <c r="R313" i="31"/>
  <c r="S313" i="31" s="1"/>
  <c r="R314" i="31"/>
  <c r="S314" i="31" s="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R363" i="31"/>
  <c r="S363" i="31" s="1"/>
  <c r="R364" i="31"/>
  <c r="R365" i="31"/>
  <c r="S365" i="31" s="1"/>
  <c r="R366" i="31"/>
  <c r="S366" i="31" s="1"/>
  <c r="R367" i="31"/>
  <c r="S367" i="31" s="1"/>
  <c r="R368" i="31"/>
  <c r="R369" i="31"/>
  <c r="S369" i="31" s="1"/>
  <c r="R370" i="31"/>
  <c r="S370" i="31" s="1"/>
  <c r="R371" i="31"/>
  <c r="S371" i="31" s="1"/>
  <c r="R372" i="31"/>
  <c r="R373" i="31"/>
  <c r="S373" i="31" s="1"/>
  <c r="R374" i="31"/>
  <c r="S374" i="31" s="1"/>
  <c r="R375" i="31"/>
  <c r="S375" i="31" s="1"/>
  <c r="R376" i="31"/>
  <c r="R377" i="31"/>
  <c r="S377" i="31" s="1"/>
  <c r="R378" i="31"/>
  <c r="S378" i="31" s="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S402" i="31" s="1"/>
  <c r="R403" i="31"/>
  <c r="S403" i="31" s="1"/>
  <c r="R404" i="31"/>
  <c r="R405" i="31"/>
  <c r="S405" i="31" s="1"/>
  <c r="R406" i="31"/>
  <c r="S406" i="31" s="1"/>
  <c r="R407" i="31"/>
  <c r="S407" i="31" s="1"/>
  <c r="R408" i="31"/>
  <c r="R409" i="31"/>
  <c r="S409" i="31" s="1"/>
  <c r="R410" i="31"/>
  <c r="S410" i="31" s="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S430" i="31" s="1"/>
  <c r="R431" i="31"/>
  <c r="S431" i="31" s="1"/>
  <c r="R432" i="31"/>
  <c r="R433" i="31"/>
  <c r="R434" i="31"/>
  <c r="S434" i="31" s="1"/>
  <c r="R435" i="31"/>
  <c r="S435" i="31" s="1"/>
  <c r="R436" i="31"/>
  <c r="R437" i="31"/>
  <c r="R438" i="31"/>
  <c r="S438" i="31" s="1"/>
  <c r="R439" i="31"/>
  <c r="S439" i="31" s="1"/>
  <c r="R440" i="31"/>
  <c r="R441" i="31"/>
  <c r="R442" i="31"/>
  <c r="S442" i="31" s="1"/>
  <c r="R443" i="31"/>
  <c r="R444" i="31"/>
  <c r="R445" i="31"/>
  <c r="R446" i="31"/>
  <c r="R447" i="31"/>
  <c r="R448" i="31"/>
  <c r="R449" i="31"/>
  <c r="R450" i="31"/>
  <c r="S450" i="31" s="1"/>
  <c r="R451" i="31"/>
  <c r="S451" i="31" s="1"/>
  <c r="R452" i="31"/>
  <c r="R453" i="31"/>
  <c r="R454" i="31"/>
  <c r="S454" i="31" s="1"/>
  <c r="R455" i="3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R488" i="31"/>
  <c r="R489" i="31"/>
  <c r="R490" i="31"/>
  <c r="S490" i="31" s="1"/>
  <c r="R491" i="31"/>
  <c r="S491" i="31" s="1"/>
  <c r="R492" i="31"/>
  <c r="R493" i="31"/>
  <c r="R494" i="31"/>
  <c r="S494" i="31" s="1"/>
  <c r="R495" i="31"/>
  <c r="S495" i="31" s="1"/>
  <c r="R496" i="31"/>
  <c r="R497" i="31"/>
  <c r="R498" i="31"/>
  <c r="S498" i="31" s="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4" i="31"/>
  <c r="S392" i="31"/>
  <c r="S388" i="31"/>
  <c r="S384" i="31"/>
  <c r="S380" i="31"/>
  <c r="S376" i="31"/>
  <c r="S372" i="31"/>
  <c r="S368" i="31"/>
  <c r="S364" i="31"/>
  <c r="S362" i="31"/>
  <c r="S360" i="31"/>
  <c r="S356" i="31"/>
  <c r="S354" i="31"/>
  <c r="S352" i="31"/>
  <c r="S348" i="31"/>
  <c r="S346" i="31"/>
  <c r="S344" i="31"/>
  <c r="S340" i="31"/>
  <c r="S338" i="31"/>
  <c r="S336" i="31"/>
  <c r="S332" i="31"/>
  <c r="S330" i="31"/>
  <c r="S328" i="31"/>
  <c r="S324" i="31"/>
  <c r="S322" i="31"/>
  <c r="S424" i="31"/>
  <c r="S320" i="31"/>
  <c r="S316" i="31"/>
  <c r="S312" i="31"/>
  <c r="S308" i="31"/>
  <c r="S304" i="31"/>
  <c r="S300" i="31"/>
  <c r="S296" i="31"/>
  <c r="S292" i="31"/>
  <c r="S284" i="31"/>
  <c r="S282" i="31"/>
  <c r="S280" i="31"/>
  <c r="S276" i="31"/>
  <c r="S260" i="31"/>
  <c r="S253" i="31"/>
  <c r="S249" i="31"/>
  <c r="S245" i="31"/>
  <c r="S241" i="31"/>
  <c r="S239" i="31"/>
  <c r="S237" i="31"/>
  <c r="S236" i="31"/>
  <c r="S233" i="31"/>
  <c r="S229" i="31"/>
  <c r="S228" i="31"/>
  <c r="S225" i="31"/>
  <c r="S223" i="31"/>
  <c r="S429" i="31"/>
  <c r="S428" i="31"/>
  <c r="S425"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7" i="31"/>
  <c r="S496" i="31"/>
  <c r="S493" i="31"/>
  <c r="S492" i="31"/>
  <c r="S489" i="31"/>
  <c r="S488" i="31"/>
  <c r="S487" i="31"/>
  <c r="S485" i="31"/>
  <c r="S484" i="31"/>
  <c r="S481" i="31"/>
  <c r="S480" i="31"/>
  <c r="S477" i="31"/>
  <c r="S476" i="31"/>
  <c r="S473" i="31"/>
  <c r="S472" i="31"/>
  <c r="S471" i="31"/>
  <c r="S469" i="31"/>
  <c r="S468" i="31"/>
  <c r="S444" i="31"/>
  <c r="S443" i="31"/>
  <c r="S441" i="31"/>
  <c r="S440" i="31"/>
  <c r="S437" i="31"/>
  <c r="S436" i="31"/>
  <c r="S433" i="31"/>
  <c r="S432" i="31"/>
  <c r="S121" i="31"/>
  <c r="S117" i="31"/>
  <c r="S115" i="31"/>
  <c r="S113" i="31"/>
  <c r="S112" i="31"/>
  <c r="S504" i="31"/>
  <c r="S500" i="31"/>
  <c r="S465" i="31"/>
  <c r="S464" i="31"/>
  <c r="S461" i="31"/>
  <c r="S460" i="31"/>
  <c r="S457" i="31"/>
  <c r="S456" i="31"/>
  <c r="S455" i="31"/>
  <c r="S453" i="31"/>
  <c r="S452" i="31"/>
  <c r="S53" i="31"/>
  <c r="S49" i="31"/>
  <c r="S45" i="31"/>
  <c r="S43" i="31"/>
  <c r="S41" i="31"/>
  <c r="S40" i="31"/>
  <c r="S37" i="31"/>
  <c r="S33" i="31"/>
  <c r="S32" i="31"/>
  <c r="S77" i="31"/>
  <c r="S73" i="31"/>
  <c r="S72" i="31"/>
  <c r="S69" i="31"/>
  <c r="S65" i="31"/>
  <c r="S64" i="31"/>
  <c r="S63" i="31"/>
  <c r="S61" i="31"/>
  <c r="S57" i="31"/>
  <c r="S97" i="31"/>
  <c r="S96" i="31"/>
  <c r="S93" i="31"/>
  <c r="S89" i="31"/>
  <c r="S88" i="31"/>
  <c r="S87" i="31"/>
  <c r="S85" i="31"/>
  <c r="S81" i="31"/>
  <c r="S29" i="31"/>
  <c r="S101" i="31"/>
  <c r="S103" i="31"/>
  <c r="S105" i="31"/>
  <c r="S108"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U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s="1"/>
  <c r="H23" i="34"/>
  <c r="AB23" i="34" s="1"/>
  <c r="J23" i="34"/>
  <c r="F19" i="34"/>
  <c r="AA19" i="34" s="1"/>
  <c r="H17" i="34"/>
  <c r="U17" i="34" s="1"/>
  <c r="F15" i="34"/>
  <c r="S15" i="34" s="1"/>
  <c r="J15" i="34"/>
  <c r="AC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AC40" i="34" s="1"/>
  <c r="F114" i="34"/>
  <c r="G114" i="34"/>
  <c r="H114" i="34"/>
  <c r="I114" i="34"/>
  <c r="J114" i="34"/>
  <c r="K114" i="34"/>
  <c r="L114" i="34"/>
  <c r="M114" i="34"/>
  <c r="H38" i="34"/>
  <c r="AB38" i="34" s="1"/>
  <c r="J36" i="34"/>
  <c r="W36" i="34" s="1"/>
  <c r="H25" i="34"/>
  <c r="AB25" i="34" s="1"/>
  <c r="J25" i="34"/>
  <c r="AC25" i="34" s="1"/>
  <c r="F23" i="34"/>
  <c r="S23" i="34" s="1"/>
  <c r="AA23" i="34"/>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A38"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W41" i="34"/>
  <c r="AC42" i="34"/>
  <c r="AB35" i="34"/>
  <c r="AB41" i="34"/>
  <c r="AA4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AA8"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05" i="3"/>
  <c r="E165" i="3"/>
  <c r="E296" i="3"/>
  <c r="E140" i="3"/>
  <c r="E149" i="3"/>
  <c r="E197" i="3"/>
  <c r="E173" i="3"/>
  <c r="E141" i="3"/>
  <c r="E369" i="3"/>
  <c r="E525" i="3"/>
  <c r="AD6" i="3"/>
  <c r="E534" i="3"/>
  <c r="T6" i="3"/>
  <c r="E552" i="3"/>
  <c r="E405" i="3"/>
  <c r="E456" i="3"/>
  <c r="E464" i="3"/>
  <c r="E469" i="3"/>
  <c r="E512" i="3"/>
  <c r="E398" i="3"/>
  <c r="E408" i="3"/>
  <c r="E451" i="3"/>
  <c r="E459" i="3"/>
  <c r="E360" i="3"/>
  <c r="E556" i="3"/>
  <c r="E566" i="3"/>
  <c r="E497" i="3"/>
  <c r="E13" i="3"/>
  <c r="E582" i="3"/>
  <c r="E494" i="3"/>
  <c r="E452" i="3"/>
  <c r="E460" i="3"/>
  <c r="E470" i="3"/>
  <c r="E420" i="3"/>
  <c r="E436" i="3"/>
  <c r="E26" i="3"/>
  <c r="E104" i="3"/>
  <c r="E90" i="3"/>
  <c r="E41" i="3"/>
  <c r="E115" i="3"/>
  <c r="E131" i="3"/>
  <c r="E198" i="3"/>
  <c r="E139" i="3"/>
  <c r="E155" i="3"/>
  <c r="E225" i="3"/>
  <c r="E281" i="3"/>
  <c r="E297" i="3"/>
  <c r="E243" i="3"/>
  <c r="E332" i="3"/>
  <c r="E348" i="3"/>
  <c r="E391" i="3"/>
  <c r="E356" i="3"/>
  <c r="E375" i="3"/>
  <c r="AL6" i="3"/>
  <c r="E42" i="3"/>
  <c r="E58" i="3"/>
  <c r="E94" i="3"/>
  <c r="E75" i="3"/>
  <c r="E488" i="3"/>
  <c r="E428" i="3"/>
  <c r="E482" i="3"/>
  <c r="E521" i="3"/>
  <c r="E412" i="3"/>
  <c r="E18" i="3"/>
  <c r="E47" i="3"/>
  <c r="E96" i="3"/>
  <c r="E78" i="3"/>
  <c r="E65" i="3"/>
  <c r="E129" i="3"/>
  <c r="E190" i="3"/>
  <c r="E195" i="3"/>
  <c r="E174" i="3"/>
  <c r="E220" i="3"/>
  <c r="E248" i="3"/>
  <c r="E275" i="3"/>
  <c r="E235" i="3"/>
  <c r="E266" i="3"/>
  <c r="E324" i="3"/>
  <c r="E383" i="3"/>
  <c r="E386" i="3"/>
  <c r="E342" i="3"/>
  <c r="E522" i="3"/>
  <c r="E584" i="3"/>
  <c r="E35" i="3"/>
  <c r="E86" i="3"/>
  <c r="E24" i="3"/>
  <c r="E34" i="3"/>
  <c r="E49" i="3"/>
  <c r="E87" i="3"/>
  <c r="E206" i="3"/>
  <c r="E232" i="3"/>
  <c r="E250" i="3"/>
  <c r="E251" i="3"/>
  <c r="E370" i="3"/>
  <c r="E341" i="3"/>
  <c r="AF6" i="3"/>
  <c r="E102" i="3"/>
  <c r="E51" i="3"/>
  <c r="E80" i="3"/>
  <c r="E113" i="3"/>
  <c r="E154" i="3"/>
  <c r="E158" i="3"/>
  <c r="E287" i="3"/>
  <c r="E222" i="3"/>
  <c r="E308" i="3"/>
  <c r="E309" i="3"/>
  <c r="E326" i="3"/>
  <c r="E373" i="3"/>
  <c r="E22" i="3"/>
  <c r="E82" i="3"/>
  <c r="E21"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9" i="15"/>
  <c r="F8" i="67"/>
  <c r="F36" i="67"/>
  <c r="M26" i="15"/>
  <c r="E12" i="76"/>
  <c r="B7" i="76"/>
  <c r="M26" i="67"/>
  <c r="C76" i="67"/>
  <c r="F37" i="67"/>
  <c r="E2" i="68"/>
  <c r="F26" i="15"/>
  <c r="B11" i="76"/>
  <c r="F13" i="15"/>
  <c r="L47" i="67"/>
  <c r="F8" i="15"/>
  <c r="E2" i="69"/>
  <c r="M29" i="15"/>
  <c r="E8" i="76"/>
  <c r="F9" i="67"/>
  <c r="F6" i="67"/>
  <c r="F5" i="73"/>
  <c r="E9" i="76"/>
  <c r="J15" i="67"/>
  <c r="F38" i="67"/>
  <c r="J15" i="15"/>
  <c r="B10" i="76"/>
  <c r="F7" i="73"/>
  <c r="L48" i="67"/>
  <c r="C76" i="15"/>
  <c r="M8" i="15"/>
  <c r="F20" i="31"/>
  <c r="F38" i="15"/>
  <c r="B9" i="76"/>
  <c r="E7" i="76"/>
  <c r="M6" i="15"/>
  <c r="E13" i="76"/>
  <c r="F4" i="73"/>
  <c r="F9" i="15"/>
  <c r="F36" i="15"/>
  <c r="F40" i="15"/>
  <c r="F16" i="67"/>
  <c r="F40" i="67"/>
  <c r="AO13" i="1"/>
  <c r="B8" i="76"/>
  <c r="F26" i="67"/>
  <c r="F42" i="67"/>
  <c r="F13" i="67"/>
  <c r="F7" i="67"/>
  <c r="M29" i="67"/>
  <c r="F42" i="15"/>
  <c r="E11" i="76"/>
  <c r="M8" i="67"/>
  <c r="F3" i="73"/>
  <c r="E10" i="76"/>
  <c r="M23" i="15"/>
  <c r="L48" i="15"/>
  <c r="M22" i="15"/>
  <c r="L47" i="15"/>
  <c r="M24" i="15"/>
  <c r="B12" i="76"/>
  <c r="M22" i="67"/>
  <c r="M6" i="67"/>
  <c r="F43" i="67"/>
  <c r="M23" i="67"/>
  <c r="F43" i="15"/>
  <c r="M24" i="67"/>
  <c r="F7" i="15"/>
  <c r="M28" i="15"/>
  <c r="F16" i="15"/>
  <c r="F37" i="15"/>
  <c r="M9" i="67"/>
  <c r="F6" i="15"/>
  <c r="M28" i="67"/>
  <c r="F6" i="73"/>
  <c r="B13" i="76"/>
  <c r="J27" i="34" l="1"/>
  <c r="F27" i="34"/>
  <c r="AA27" i="34" s="1"/>
  <c r="H27" i="34"/>
  <c r="AB27" i="34" s="1"/>
  <c r="F90" i="34"/>
  <c r="G90" i="34" s="1"/>
  <c r="H90" i="34" s="1"/>
  <c r="I90" i="34" s="1"/>
  <c r="J90" i="34" s="1"/>
  <c r="K90" i="34" s="1"/>
  <c r="L90" i="34" s="1"/>
  <c r="M90" i="34" s="1"/>
  <c r="H37" i="34"/>
  <c r="U37" i="34" s="1"/>
  <c r="J37" i="34"/>
  <c r="AC37" i="34" s="1"/>
  <c r="F112" i="34"/>
  <c r="G112" i="34" s="1"/>
  <c r="H112" i="34" s="1"/>
  <c r="I112" i="34" s="1"/>
  <c r="J112" i="34" s="1"/>
  <c r="K112" i="34" s="1"/>
  <c r="L112" i="34" s="1"/>
  <c r="M112" i="34" s="1"/>
  <c r="F37" i="34"/>
  <c r="AA37" i="34" s="1"/>
  <c r="U21" i="34"/>
  <c r="AB17" i="34"/>
  <c r="S36" i="34"/>
  <c r="AA41" i="34"/>
  <c r="U44" i="34"/>
  <c r="AC44" i="34"/>
  <c r="S44" i="34"/>
  <c r="S40" i="34"/>
  <c r="AB40" i="34"/>
  <c r="U38" i="34"/>
  <c r="AB36" i="34"/>
  <c r="S35" i="34"/>
  <c r="S19" i="34"/>
  <c r="AB19" i="34"/>
  <c r="U23" i="34"/>
  <c r="AA21" i="34"/>
  <c r="W19" i="34"/>
  <c r="S17" i="34"/>
  <c r="AC17" i="34"/>
  <c r="W15" i="34"/>
  <c r="AC9" i="34"/>
  <c r="W9" i="34"/>
  <c r="H9" i="34"/>
  <c r="AC43" i="34"/>
  <c r="U43" i="34"/>
  <c r="S43" i="34"/>
  <c r="W40" i="34"/>
  <c r="AA39" i="34"/>
  <c r="AB39" i="34"/>
  <c r="AC39" i="34"/>
  <c r="AC38" i="34"/>
  <c r="AC36" i="34"/>
  <c r="W35" i="34"/>
  <c r="U34" i="34"/>
  <c r="AA33" i="34"/>
  <c r="AB33" i="34"/>
  <c r="W33" i="34"/>
  <c r="AA25" i="34"/>
  <c r="U25" i="34"/>
  <c r="W25" i="34"/>
  <c r="W8" i="34"/>
  <c r="M18" i="15"/>
  <c r="M18" i="67"/>
  <c r="F30" i="11"/>
  <c r="C48" i="11" s="1"/>
  <c r="F28" i="15"/>
  <c r="C28" i="15" s="1"/>
  <c r="F28" i="67"/>
  <c r="F32" i="67"/>
  <c r="F60" i="67" s="1"/>
  <c r="F54" i="9"/>
  <c r="F32" i="15"/>
  <c r="F60" i="15" s="1"/>
  <c r="F52" i="9"/>
  <c r="F30" i="68"/>
  <c r="F48" i="68" s="1"/>
  <c r="D68" i="9"/>
  <c r="F30" i="69"/>
  <c r="F48" i="69" s="1"/>
  <c r="F31" i="12"/>
  <c r="C40" i="69"/>
  <c r="C40" i="68"/>
  <c r="C21" i="68"/>
  <c r="BB5" i="3"/>
  <c r="BA13" i="3"/>
  <c r="BA5" i="3" s="1"/>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10" i="3"/>
  <c r="E492" i="3"/>
  <c r="E84" i="3"/>
  <c r="E144" i="3"/>
  <c r="E233" i="3"/>
  <c r="E381" i="3"/>
  <c r="E63" i="3"/>
  <c r="E264"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371" i="3"/>
  <c r="E23" i="3"/>
  <c r="E67" i="3"/>
  <c r="E33" i="3"/>
  <c r="E184" i="3"/>
  <c r="E355" i="3"/>
  <c r="E68" i="3"/>
  <c r="E81" i="3"/>
  <c r="E118" i="3"/>
  <c r="E283" i="3"/>
  <c r="E83" i="3"/>
  <c r="E513" i="3"/>
  <c r="E323" i="3"/>
  <c r="E179" i="3"/>
  <c r="E19" i="3"/>
  <c r="Y6" i="3"/>
  <c r="E284" i="3"/>
  <c r="E127" i="3"/>
  <c r="E48" i="3"/>
  <c r="E66" i="3"/>
  <c r="E354" i="3"/>
  <c r="E307" i="3"/>
  <c r="E209" i="3"/>
  <c r="E163" i="3"/>
  <c r="E138" i="3"/>
  <c r="E98" i="3"/>
  <c r="E446" i="3"/>
  <c r="E462" i="3"/>
  <c r="E110" i="3"/>
  <c r="E504" i="3"/>
  <c r="E378" i="3"/>
  <c r="E259" i="3"/>
  <c r="E240" i="3"/>
  <c r="E187" i="3"/>
  <c r="E57" i="3"/>
  <c r="E39" i="3"/>
  <c r="E520" i="3"/>
  <c r="E413" i="3"/>
  <c r="E500" i="3"/>
  <c r="E374" i="3"/>
  <c r="E416" i="3"/>
  <c r="E487" i="3"/>
  <c r="E421" i="3"/>
  <c r="E542" i="3"/>
  <c r="E312" i="3"/>
  <c r="E167" i="3"/>
  <c r="E244" i="3"/>
  <c r="G28" i="6"/>
  <c r="G30" i="6" s="1"/>
  <c r="G31" i="6" s="1"/>
  <c r="G23" i="43"/>
  <c r="C23" i="43" s="1"/>
  <c r="C7" i="37"/>
  <c r="C52" i="37" s="1"/>
  <c r="D52" i="37" s="1"/>
  <c r="C7" i="33"/>
  <c r="J1" i="73"/>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D9" i="11"/>
  <c r="C9" i="11" s="1"/>
  <c r="D19" i="12"/>
  <c r="C19" i="12" s="1"/>
  <c r="AZ13" i="3"/>
  <c r="AZ5" i="3" s="1"/>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F7" i="36"/>
  <c r="E48" i="35"/>
  <c r="D63" i="40"/>
  <c r="C65" i="40"/>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D5" i="73"/>
  <c r="D7" i="73"/>
  <c r="D6" i="73"/>
  <c r="D3" i="73"/>
  <c r="C16" i="67"/>
  <c r="C16" i="15"/>
  <c r="D4" i="73"/>
  <c r="U27" i="34" l="1"/>
  <c r="S37" i="34"/>
  <c r="S27" i="34"/>
  <c r="AC27" i="34"/>
  <c r="W27" i="34"/>
  <c r="U9" i="34"/>
  <c r="AB9" i="34"/>
  <c r="C30" i="69"/>
  <c r="C48" i="69"/>
  <c r="C48" i="68"/>
  <c r="C28" i="67"/>
  <c r="P6" i="1"/>
  <c r="C13" i="12" s="1"/>
  <c r="E28" i="6"/>
  <c r="K14" i="1" s="1"/>
  <c r="K16" i="1" s="1"/>
  <c r="D18" i="53"/>
  <c r="B35" i="72" s="1"/>
  <c r="C7" i="74"/>
  <c r="K1" i="73"/>
  <c r="H7" i="36"/>
  <c r="D67" i="39"/>
  <c r="D69" i="39" s="1"/>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E65" i="39" l="1"/>
  <c r="M14" i="1"/>
  <c r="O14" i="1" s="1"/>
  <c r="O16" i="1" s="1"/>
  <c r="B40" i="1"/>
  <c r="L36" i="43" s="1"/>
  <c r="N36" i="43" s="1"/>
  <c r="W7" i="37"/>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15"/>
  <c r="F41" i="67"/>
  <c r="M27" i="67"/>
  <c r="M27" i="15"/>
  <c r="F69" i="67" l="1"/>
  <c r="R50" i="34"/>
  <c r="C49" i="34" s="1"/>
  <c r="F22" i="11"/>
  <c r="C44" i="11" s="1"/>
  <c r="D41" i="11" s="1"/>
  <c r="F22" i="68"/>
  <c r="C44" i="68" s="1"/>
  <c r="D41" i="68" s="1"/>
  <c r="F25" i="12"/>
  <c r="C26" i="12" s="1"/>
  <c r="D25" i="12" s="1"/>
  <c r="D116" i="43"/>
  <c r="F24" i="67"/>
  <c r="C24" i="67" s="1"/>
  <c r="F24" i="15"/>
  <c r="C24" i="15" s="1"/>
  <c r="F22" i="69"/>
  <c r="F41" i="69" s="1"/>
  <c r="P36" i="43"/>
  <c r="L37" i="43"/>
  <c r="M37" i="43" s="1"/>
  <c r="M36" i="43"/>
  <c r="O36" i="43"/>
  <c r="Q36" i="43"/>
  <c r="E49" i="34"/>
  <c r="E54" i="34" s="1"/>
  <c r="F54" i="34" s="1"/>
  <c r="G54" i="34"/>
  <c r="H54" i="34"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C60" i="15"/>
  <c r="C66" i="67"/>
  <c r="C60" i="67"/>
  <c r="D10" i="69"/>
  <c r="C34" i="69"/>
  <c r="D10" i="68"/>
  <c r="C17" i="67"/>
  <c r="C14" i="67"/>
  <c r="C17" i="15"/>
  <c r="C50" i="34" l="1"/>
  <c r="F41" i="68"/>
  <c r="E53" i="34"/>
  <c r="F53" i="34" s="1"/>
  <c r="C24" i="11"/>
  <c r="C23" i="11"/>
  <c r="C25" i="11"/>
  <c r="C26" i="68"/>
  <c r="D22" i="68" s="1"/>
  <c r="C23" i="68"/>
  <c r="C26" i="11"/>
  <c r="D22" i="11" s="1"/>
  <c r="H25" i="6"/>
  <c r="C26" i="69"/>
  <c r="D22" i="69" s="1"/>
  <c r="N37" i="43"/>
  <c r="O37" i="43"/>
  <c r="P37" i="43"/>
  <c r="C44" i="69"/>
  <c r="D41" i="69" s="1"/>
  <c r="Q37" i="43"/>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F35" i="15"/>
  <c r="M21" i="15"/>
  <c r="M21" i="67"/>
  <c r="F35"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19" i="9"/>
  <c r="D2" i="35"/>
  <c r="D2" i="34"/>
  <c r="D2" i="37"/>
  <c r="L51" i="15"/>
  <c r="D102" i="9" l="1"/>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8" i="1"/>
  <c r="D35" i="9"/>
  <c r="AO9" i="1"/>
  <c r="D20" i="9"/>
  <c r="C19" i="9"/>
  <c r="D34" i="9"/>
  <c r="AO7" i="1"/>
  <c r="AO6" i="1"/>
  <c r="AO11" i="1"/>
  <c r="AO10" i="1"/>
  <c r="C102" i="9" l="1"/>
  <c r="C21" i="9"/>
  <c r="G19" i="9"/>
  <c r="G21" i="9" s="1"/>
  <c r="D22" i="9"/>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26" i="31"/>
  <c r="S26" i="31" s="1"/>
  <c r="R27" i="31"/>
  <c r="S27"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D14" i="74" s="1"/>
  <c r="G14" i="74" s="1"/>
  <c r="B6" i="74" s="1"/>
  <c r="D6" i="74" s="1"/>
  <c r="G118" i="9"/>
  <c r="G4" i="52" s="1"/>
  <c r="B52" i="72" s="1"/>
  <c r="I118" i="9"/>
  <c r="I4" i="52" s="1"/>
  <c r="R22" i="31" l="1"/>
  <c r="B20" i="31"/>
  <c r="B21" i="31" s="1"/>
  <c r="F118" i="9"/>
  <c r="F4" i="52" s="1"/>
  <c r="B51" i="72" s="1"/>
  <c r="H118" i="9"/>
  <c r="E118" i="9"/>
  <c r="C105" i="9"/>
  <c r="H102" i="9"/>
  <c r="F119" i="9" l="1"/>
  <c r="F5" i="52" s="1"/>
  <c r="B53" i="72" s="1"/>
  <c r="D7" i="53"/>
  <c r="B21" i="72" s="1"/>
  <c r="E4" i="52"/>
  <c r="B48" i="72" s="1"/>
  <c r="D118" i="9"/>
  <c r="H119" i="9"/>
  <c r="H5" i="52" s="1"/>
  <c r="C104" i="9"/>
  <c r="H4" i="52"/>
  <c r="H101" i="9"/>
  <c r="F14" i="74" l="1"/>
  <c r="E14" i="74"/>
  <c r="B5" i="74"/>
  <c r="D4" i="52"/>
  <c r="B47" i="72" s="1"/>
  <c r="D119" i="9"/>
  <c r="D5" i="52" s="1"/>
  <c r="B49" i="72" s="1"/>
  <c r="M48" i="9"/>
  <c r="D45" i="9"/>
  <c r="D5" i="53"/>
  <c r="H107" i="9"/>
  <c r="D5" i="74" l="1"/>
  <c r="C5" i="74"/>
  <c r="C85" i="9"/>
  <c r="D55" i="9"/>
  <c r="M53" i="9" s="1"/>
  <c r="C64" i="9"/>
  <c r="C63" i="9" s="1"/>
  <c r="C67" i="9" s="1"/>
  <c r="D52" i="9"/>
  <c r="C93" i="9"/>
  <c r="C86" i="9" s="1"/>
  <c r="D53" i="9"/>
  <c r="C78" i="9"/>
  <c r="C73" i="9" s="1"/>
  <c r="C72" i="9"/>
  <c r="D122" i="9"/>
  <c r="D13" i="53"/>
  <c r="H108" i="9"/>
  <c r="D6" i="53"/>
  <c r="B22" i="72" s="1"/>
  <c r="B20" i="72"/>
  <c r="C79" i="9" l="1"/>
  <c r="C6" i="74"/>
  <c r="D15" i="53"/>
  <c r="B31" i="72" s="1"/>
  <c r="D59" i="9"/>
  <c r="M55" i="9" s="1"/>
  <c r="C68" i="9"/>
  <c r="D54" i="9" s="1"/>
  <c r="D14" i="53"/>
  <c r="B32" i="72" s="1"/>
  <c r="B30" i="72"/>
  <c r="D8" i="52"/>
  <c r="D123" i="9"/>
  <c r="D9" i="52" s="1"/>
  <c r="C95" i="9"/>
  <c r="C96" i="9" l="1"/>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<sst xmlns="http://schemas.openxmlformats.org/spreadsheetml/2006/main" count="8215" uniqueCount="3438">
  <si>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</si>
  <si>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</si>
  <si>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</si>
  <si>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</si>
  <si>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</si>
  <si>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</si>
  <si>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</si>
  <si>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</si>
  <si>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</si>
  <si>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</si>
  <si>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</si>
  <si>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</si>
  <si>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</si>
  <si>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</si>
  <si>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</si>
  <si>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</si>
  <si>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</si>
  <si>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</si>
  <si>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</si>
  <si>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</si>
  <si>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</si>
  <si>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</si>
  <si>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</si>
  <si>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</si>
  <si>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</si>
  <si>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</si>
  <si>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</si>
  <si>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</si>
  <si>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</si>
  <si>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</si>
  <si>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</si>
  <si>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</si>
  <si>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</si>
  <si>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</si>
  <si>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</si>
  <si>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</si>
  <si>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</si>
  <si>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</si>
  <si>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</si>
  <si>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</si>
  <si>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</si>
  <si>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</si>
  <si>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</si>
  <si>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</si>
  <si>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</si>
  <si>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</si>
  <si>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</si>
  <si>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</si>
  <si>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</si>
  <si>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</si>
  <si>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</si>
  <si>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</si>
  <si>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</si>
  <si>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</si>
  <si>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</si>
  <si>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</si>
  <si>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</si>
  <si>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</si>
  <si>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</si>
  <si>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</si>
  <si>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</si>
  <si>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</si>
  <si>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</si>
  <si>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</si>
  <si>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</si>
  <si>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</si>
  <si>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</si>
  <si>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</si>
  <si>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</si>
  <si>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</si>
  <si>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</si>
  <si>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</si>
  <si>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</si>
  <si>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</si>
  <si>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</si>
  <si>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</si>
  <si>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</si>
  <si>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</si>
  <si>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</si>
  <si>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</si>
  <si>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</si>
  <si>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</si>
  <si>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</si>
  <si>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</si>
  <si>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</si>
  <si>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</si>
  <si>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</si>
  <si>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</si>
  <si>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</si>
  <si>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</si>
  <si>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</si>
  <si>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</si>
  <si>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</si>
  <si>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</si>
  <si>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</si>
  <si>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</si>
  <si>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</si>
  <si>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</si>
  <si>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</si>
  <si>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</si>
  <si>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</si>
  <si>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</si>
  <si>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</si>
  <si>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</si>
  <si>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</si>
  <si>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</si>
  <si>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</si>
  <si>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</si>
  <si>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</si>
  <si>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</si>
  <si>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</si>
  <si>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</si>
  <si>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</si>
  <si>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</si>
  <si>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</si>
  <si>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</si>
  <si>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</si>
  <si>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</si>
  <si>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</si>
  <si>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</si>
  <si>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</si>
  <si>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</si>
  <si>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</si>
  <si>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</si>
  <si>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</si>
  <si>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</si>
  <si>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</si>
  <si>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</si>
  <si>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</si>
  <si>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</si>
  <si>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</si>
  <si>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</si>
  <si>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</si>
  <si>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</si>
  <si>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</si>
  <si>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</si>
  <si>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</si>
  <si>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</si>
  <si>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</si>
  <si>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</si>
  <si>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</si>
  <si>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</si>
  <si>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</si>
  <si>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</si>
  <si>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</si>
  <si>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</si>
  <si>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</si>
  <si>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</si>
  <si>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</si>
  <si>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</si>
  <si>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</si>
  <si>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</si>
  <si>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</si>
  <si>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</si>
  <si>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</si>
  <si>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</si>
  <si>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</si>
  <si>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</si>
  <si>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</si>
  <si>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</si>
  <si>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</si>
  <si>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</si>
  <si>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</si>
  <si>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</si>
  <si>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</si>
  <si>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</si>
  <si>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</si>
  <si>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</si>
  <si>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</si>
  <si>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</si>
  <si>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</si>
  <si>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</si>
  <si>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</si>
  <si>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</si>
  <si>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</si>
  <si>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</si>
  <si>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</si>
  <si>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</si>
  <si>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</si>
  <si>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</si>
  <si>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</si>
  <si>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</si>
  <si>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</si>
  <si>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</si>
  <si>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</si>
  <si>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</si>
  <si>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</si>
  <si>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</si>
  <si>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</si>
  <si>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</si>
  <si>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</si>
  <si>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</si>
  <si>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</si>
  <si>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</si>
  <si>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</si>
  <si>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</si>
  <si>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</si>
  <si>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</si>
  <si>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</si>
  <si>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</si>
  <si>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</si>
  <si>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</si>
  <si>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</si>
  <si>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</si>
  <si>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</si>
  <si>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</si>
  <si>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</si>
  <si>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</si>
  <si>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</si>
  <si>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</si>
  <si>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</si>
  <si>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</si>
  <si>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</si>
  <si>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</si>
  <si>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</si>
  <si>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</si>
  <si>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</si>
  <si>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</si>
  <si>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</si>
  <si>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</si>
  <si>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</si>
  <si>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</si>
  <si>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</si>
  <si>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</si>
  <si>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</si>
  <si>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</si>
  <si>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</si>
  <si>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</si>
  <si>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</si>
  <si>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</si>
  <si>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</si>
  <si>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</si>
  <si>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</si>
  <si>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</si>
  <si>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</si>
  <si>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</si>
  <si>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</si>
  <si>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</si>
  <si>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</si>
  <si>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</si>
  <si>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</si>
  <si>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</si>
  <si>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</si>
  <si>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</si>
  <si>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</si>
  <si>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</si>
  <si>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</si>
  <si>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</si>
  <si>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</si>
  <si>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</si>
  <si>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</si>
  <si>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</si>
  <si>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</si>
  <si>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</si>
  <si>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</si>
  <si>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</si>
  <si>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</si>
  <si>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</si>
  <si>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</si>
  <si>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</si>
  <si>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</si>
  <si>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</si>
  <si>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</si>
  <si>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</si>
  <si>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</si>
  <si>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</si>
  <si>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</si>
  <si>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</si>
  <si>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</si>
  <si>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</si>
  <si>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</si>
  <si>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</si>
  <si>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</si>
  <si>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</si>
  <si>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</si>
  <si>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</si>
  <si>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</si>
  <si>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</si>
  <si>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</si>
  <si>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</si>
  <si>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</si>
  <si>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</si>
  <si>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</si>
  <si>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</si>
  <si>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</si>
  <si>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</si>
  <si>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</si>
  <si>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</si>
  <si>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</si>
  <si>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</si>
  <si>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</si>
  <si>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</si>
  <si>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</si>
  <si>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</si>
  <si>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</si>
  <si>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</si>
  <si>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</si>
  <si>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</si>
  <si>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</si>
  <si>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</si>
  <si>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</si>
  <si>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</si>
  <si>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</si>
  <si>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</si>
  <si>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</si>
  <si>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</si>
  <si>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</si>
  <si>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</si>
  <si>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</si>
  <si>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</si>
  <si>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</si>
  <si>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</si>
  <si>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</si>
  <si>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</si>
  <si>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</si>
  <si>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</si>
  <si>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</si>
  <si>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</si>
  <si>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</si>
  <si>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</si>
  <si>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</si>
  <si>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</si>
  <si>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</si>
  <si>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</si>
  <si>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</si>
  <si>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</si>
  <si>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</si>
  <si>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</si>
  <si>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</si>
  <si>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</si>
  <si>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</si>
  <si>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</si>
  <si>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</si>
  <si>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</si>
  <si>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</si>
  <si>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</si>
  <si>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</si>
  <si>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</si>
  <si>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</si>
  <si>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</si>
  <si>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</si>
  <si>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</si>
  <si>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</si>
  <si>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</si>
  <si>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</si>
  <si>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</si>
  <si>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</si>
  <si>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</si>
  <si>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</si>
  <si>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</si>
  <si>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</si>
  <si>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</si>
  <si>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</si>
  <si>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</si>
  <si>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</si>
  <si>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</si>
  <si>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</si>
  <si>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</si>
  <si>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</si>
  <si>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</si>
  <si>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</si>
  <si>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</si>
  <si>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</si>
  <si>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</si>
  <si>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</si>
  <si>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</si>
  <si>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</si>
  <si>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</si>
  <si>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</si>
  <si>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</si>
  <si>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</si>
  <si>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</si>
  <si>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</si>
  <si>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</si>
  <si>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</si>
  <si>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</si>
  <si>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</si>
  <si>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</si>
  <si>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</si>
  <si>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</si>
  <si>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</si>
  <si>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</si>
  <si>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</si>
  <si>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</si>
  <si>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</si>
  <si>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</si>
  <si>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</si>
  <si>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</si>
  <si>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</si>
  <si>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</si>
  <si>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</si>
  <si>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</si>
  <si>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</si>
  <si>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</si>
  <si>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</si>
  <si>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</si>
  <si>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</si>
  <si>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</si>
  <si>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</si>
  <si>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</si>
  <si>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</si>
  <si>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</si>
  <si>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</si>
  <si>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</si>
  <si>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</si>
  <si>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</si>
  <si>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</si>
  <si>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</si>
  <si>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</si>
  <si>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</si>
  <si>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</si>
  <si>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</si>
  <si>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</si>
  <si>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</si>
  <si>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</si>
  <si>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</si>
  <si>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</si>
  <si>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</si>
  <si>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</si>
  <si>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</si>
  <si>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</si>
  <si>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</si>
  <si>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</si>
  <si>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</si>
  <si>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</si>
  <si>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</si>
  <si>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</si>
  <si>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</si>
  <si>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</si>
  <si>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</si>
  <si>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</si>
  <si>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</si>
  <si>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</si>
  <si>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</si>
  <si>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</si>
  <si>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</si>
  <si>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</si>
  <si>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</si>
  <si>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</si>
  <si>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</si>
  <si>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</si>
  <si>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</si>
  <si>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</si>
  <si>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</si>
  <si>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</si>
  <si>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</si>
  <si>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</si>
  <si>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</si>
  <si>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</si>
  <si>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</si>
  <si>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</si>
  <si>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</si>
  <si>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</si>
  <si>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</si>
  <si>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</si>
  <si>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</si>
  <si>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</si>
  <si>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</si>
  <si>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</si>
  <si>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</si>
  <si>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</si>
  <si>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</si>
  <si>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</si>
  <si>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</si>
  <si>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</si>
  <si>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</si>
  <si>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</si>
  <si>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</si>
  <si>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</si>
  <si>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</si>
  <si>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</si>
  <si>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</si>
  <si>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</si>
  <si>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</si>
  <si>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</si>
  <si>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</si>
  <si>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</si>
  <si>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</si>
  <si>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</si>
  <si>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</si>
  <si>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</si>
  <si>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</si>
  <si>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</si>
  <si>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</si>
  <si>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</si>
  <si>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</si>
  <si>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</si>
  <si>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</si>
  <si>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</si>
  <si>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</si>
  <si>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</si>
  <si>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</si>
  <si>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</si>
  <si>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</si>
  <si>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</si>
  <si>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</si>
  <si>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</si>
  <si>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</si>
  <si>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</si>
  <si>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</si>
  <si>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</si>
  <si>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</si>
  <si>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</si>
  <si>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</si>
  <si>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</si>
  <si>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</si>
  <si>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</si>
  <si>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</si>
  <si>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</si>
  <si>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</si>
  <si>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</si>
  <si>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</si>
  <si>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</si>
  <si>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</si>
  <si>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</si>
  <si>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</si>
  <si>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</si>
  <si>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</si>
  <si>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</si>
  <si>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</si>
  <si>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</si>
  <si>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</si>
  <si>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</si>
  <si>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</si>
  <si>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</si>
  <si>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</si>
  <si>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</si>
  <si>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</si>
  <si>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</si>
  <si>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</si>
  <si>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</si>
  <si>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</si>
  <si>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</si>
  <si>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</si>
  <si>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</si>
  <si>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</si>
  <si>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</si>
  <si>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</si>
  <si>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</si>
  <si>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</si>
  <si>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</si>
  <si>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</si>
  <si>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</si>
  <si>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</si>
  <si>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</si>
  <si>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</si>
  <si>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</si>
  <si>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</si>
  <si>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</si>
  <si>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</si>
  <si>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</si>
  <si>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</si>
  <si>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</si>
  <si>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</si>
  <si>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</si>
  <si>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</si>
  <si>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</si>
  <si>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</si>
  <si>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</si>
  <si>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</si>
  <si>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</si>
  <si>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</si>
  <si>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</si>
  <si>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</si>
  <si>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</si>
  <si>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</si>
  <si>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</si>
  <si>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</si>
  <si>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</si>
  <si>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</si>
  <si>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</si>
  <si>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</si>
  <si>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</si>
  <si>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</si>
  <si>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</si>
  <si>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</si>
  <si>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</si>
  <si>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</si>
  <si>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</si>
  <si>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</si>
  <si>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</si>
  <si>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</si>
  <si>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</si>
  <si>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</si>
  <si>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</si>
  <si>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</si>
  <si>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</si>
  <si>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</si>
  <si>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</si>
  <si>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</si>
  <si>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</si>
  <si>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</si>
  <si>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</si>
  <si>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</si>
  <si>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</si>
  <si>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</si>
  <si>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</si>
  <si>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</si>
  <si>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</si>
  <si>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</si>
  <si>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</si>
  <si>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</si>
  <si>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</si>
  <si>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</si>
  <si>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</si>
  <si>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</si>
  <si>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</si>
  <si>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</si>
  <si>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</si>
  <si>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</si>
  <si>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</si>
  <si>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</si>
  <si>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</si>
  <si>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</si>
  <si>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</si>
  <si>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</si>
  <si>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</si>
  <si>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</si>
  <si>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</si>
  <si>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</si>
  <si>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</si>
  <si>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</si>
  <si>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</si>
  <si>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</si>
  <si>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</si>
  <si>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</si>
  <si>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</si>
  <si>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</si>
  <si>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</si>
  <si>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</si>
  <si>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</si>
  <si>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</si>
  <si>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</si>
  <si>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</si>
  <si>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</si>
  <si>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</si>
  <si>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</si>
  <si>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</si>
  <si>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</si>
  <si>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</si>
  <si>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</si>
  <si>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</si>
  <si>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</si>
  <si>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</si>
  <si>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</si>
  <si>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</si>
  <si>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</si>
  <si>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</si>
  <si>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</si>
  <si>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</si>
  <si>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</si>
  <si>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</si>
  <si>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</si>
  <si>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</si>
  <si>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</si>
  <si>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</si>
  <si>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</si>
  <si>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</si>
  <si>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</si>
  <si>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</si>
  <si>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</si>
  <si>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</si>
  <si>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</si>
  <si>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</si>
  <si>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</si>
  <si>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</si>
  <si>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</si>
  <si>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</si>
  <si>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</si>
  <si>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</si>
  <si>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</si>
  <si>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</si>
  <si>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</si>
  <si>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</si>
  <si>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</si>
  <si>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</si>
  <si>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</si>
  <si>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</si>
  <si>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</si>
  <si>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</si>
  <si>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</si>
  <si>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</si>
  <si>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</si>
  <si>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</si>
  <si>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</si>
  <si>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</si>
  <si>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</si>
  <si>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</si>
  <si>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</si>
  <si>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</si>
  <si>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</si>
  <si>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</si>
  <si>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</si>
  <si>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</si>
  <si>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</si>
  <si>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</si>
  <si>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</si>
  <si>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</si>
  <si>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</si>
  <si>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</si>
  <si>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</si>
  <si>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</si>
  <si>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</si>
  <si>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</si>
  <si>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</si>
  <si>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</si>
  <si>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</si>
  <si>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</si>
  <si>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</si>
  <si>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</si>
  <si>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</si>
  <si>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</si>
  <si>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</si>
  <si>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</si>
  <si>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</si>
  <si>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</si>
  <si>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</si>
  <si>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</si>
  <si>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</si>
  <si>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</si>
  <si>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</si>
  <si>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</si>
  <si>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</si>
  <si>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</si>
  <si>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</si>
  <si>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</si>
  <si>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</si>
  <si>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</si>
  <si>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</si>
  <si>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</si>
  <si>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</si>
  <si>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</si>
  <si>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</si>
  <si>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</si>
  <si>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</si>
  <si>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</si>
  <si>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</si>
  <si>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</si>
  <si>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</si>
  <si>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</si>
  <si>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</si>
  <si>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</si>
  <si>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</si>
  <si>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</si>
  <si>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</si>
  <si>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</si>
  <si>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</si>
  <si>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</si>
  <si>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</si>
  <si>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</si>
  <si>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</si>
  <si>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</si>
  <si>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</si>
  <si>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</si>
  <si>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</si>
  <si>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</si>
  <si>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</si>
  <si>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</si>
  <si>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</si>
  <si>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</si>
  <si>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</si>
  <si>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</si>
  <si>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</si>
  <si>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</si>
  <si>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</si>
  <si>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</si>
  <si>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</si>
  <si>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</si>
  <si>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</si>
  <si>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</si>
  <si>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</si>
  <si>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</si>
  <si>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</si>
  <si>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</si>
  <si>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</si>
  <si>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</si>
  <si>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</si>
  <si>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</si>
  <si>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</si>
  <si>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</si>
  <si>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</si>
  <si>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</si>
  <si>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</si>
  <si>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</si>
  <si>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</si>
  <si>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</si>
  <si>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</si>
  <si>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</si>
  <si>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</si>
  <si>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</si>
  <si>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</si>
  <si>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</si>
  <si>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</si>
  <si>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</si>
  <si>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</si>
  <si>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</si>
  <si>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</si>
  <si>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</si>
  <si>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</si>
  <si>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</si>
  <si>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</si>
  <si>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</si>
  <si>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</si>
  <si>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</si>
  <si>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</si>
  <si>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</si>
  <si>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</si>
  <si>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</si>
  <si>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</si>
  <si>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</si>
  <si>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</si>
  <si>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</si>
  <si>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</si>
  <si>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</si>
  <si>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</si>
  <si>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</si>
  <si>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</si>
  <si>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</si>
  <si>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</si>
  <si>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</si>
  <si>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</si>
  <si>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</si>
  <si>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</si>
  <si>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</si>
  <si>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</si>
  <si>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</si>
  <si>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</si>
  <si>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</si>
  <si>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</si>
  <si>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</si>
  <si>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</si>
  <si>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</si>
  <si>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</si>
  <si>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</si>
  <si>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</si>
  <si>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</si>
  <si>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</si>
  <si>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</si>
  <si>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</si>
  <si>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</si>
  <si>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</si>
  <si>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</si>
  <si>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</si>
  <si>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</si>
  <si>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</si>
  <si>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</si>
  <si>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</si>
  <si>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</si>
  <si>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</si>
  <si>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</si>
  <si>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</si>
  <si>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</si>
  <si>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</si>
  <si>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</si>
  <si>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</si>
  <si>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</si>
  <si>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</si>
  <si>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</si>
  <si>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</si>
  <si>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</si>
  <si>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</si>
  <si>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</si>
  <si>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</si>
  <si>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</si>
  <si>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</si>
  <si>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</si>
  <si>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</si>
  <si>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</si>
  <si>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</si>
  <si>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</si>
  <si>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</si>
  <si>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</si>
  <si>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</si>
  <si>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</si>
  <si>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</si>
  <si>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</si>
  <si>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</si>
  <si>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</si>
  <si>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</si>
  <si>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</si>
  <si>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</si>
  <si>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</si>
  <si>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</si>
  <si>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</si>
  <si>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</si>
  <si>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</si>
  <si>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</si>
  <si>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</si>
  <si>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</si>
  <si>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</si>
  <si>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</si>
  <si>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</si>
  <si>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</si>
  <si>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</si>
  <si>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</si>
  <si>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</si>
  <si>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</si>
  <si>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</si>
  <si>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</si>
  <si>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</si>
  <si>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</si>
  <si>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</si>
  <si>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</si>
  <si>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</si>
  <si>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</si>
  <si>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</si>
  <si>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</si>
  <si>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</si>
  <si>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</si>
  <si>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</si>
  <si>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</si>
  <si>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</si>
  <si>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</si>
  <si>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</si>
  <si>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</si>
  <si>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</si>
  <si>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</si>
  <si>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</si>
  <si>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</si>
  <si>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</si>
  <si>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</si>
  <si>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</si>
  <si>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</si>
  <si>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</si>
  <si>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</si>
  <si>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</si>
  <si>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</si>
  <si>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</si>
  <si>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</si>
  <si>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</si>
  <si>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</si>
  <si>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</si>
  <si>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</si>
  <si>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</si>
  <si>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</si>
  <si>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</si>
  <si>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</si>
  <si>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</si>
  <si>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</si>
  <si>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</si>
  <si>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</si>
  <si>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</si>
  <si>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</si>
  <si>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</si>
  <si>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</si>
  <si>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</si>
  <si>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</si>
  <si>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</si>
  <si>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</si>
  <si>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</si>
  <si>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</si>
  <si>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</si>
  <si>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</si>
  <si>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</si>
  <si>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</si>
  <si>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</si>
  <si>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</si>
  <si>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</si>
  <si>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</si>
  <si>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</si>
  <si>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</si>
  <si>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</si>
  <si>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</si>
  <si>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</si>
  <si>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</si>
  <si>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</si>
  <si>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</si>
  <si>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</si>
  <si>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</si>
  <si>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</si>
  <si>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</si>
  <si>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</si>
  <si>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</si>
  <si>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</si>
  <si>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</si>
  <si>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</si>
  <si>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</si>
  <si>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</si>
  <si>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</si>
  <si>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</si>
  <si>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</si>
  <si>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</si>
  <si>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</si>
  <si>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</si>
  <si>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</si>
  <si>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</si>
  <si>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</si>
  <si>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</si>
  <si>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</si>
  <si>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</si>
  <si>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</si>
  <si>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</si>
  <si>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</si>
  <si>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</si>
  <si>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</si>
  <si>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</si>
  <si>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</si>
  <si>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</si>
  <si>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</si>
  <si>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</si>
  <si>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</si>
  <si>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</si>
  <si>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</si>
  <si>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</si>
  <si>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</si>
  <si>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</si>
  <si>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</si>
  <si>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</si>
  <si>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</si>
  <si>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</si>
  <si>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</si>
  <si>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</si>
  <si>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</si>
  <si>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</si>
  <si>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</si>
  <si>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</si>
  <si>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</si>
  <si>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</si>
  <si>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</si>
  <si>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</si>
  <si>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</si>
  <si>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</si>
  <si>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</si>
  <si>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</si>
  <si>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</si>
  <si>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</si>
  <si>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</si>
  <si>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</si>
  <si>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</si>
  <si>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</si>
  <si>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</si>
  <si>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</si>
  <si>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</si>
  <si>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</si>
  <si>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</si>
  <si>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</si>
  <si>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</si>
  <si>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</si>
  <si>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</si>
  <si>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</si>
  <si>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</si>
  <si>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</si>
  <si>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</si>
  <si>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</si>
  <si>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</si>
  <si>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</si>
  <si>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</si>
  <si>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</si>
  <si>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</si>
  <si>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</si>
  <si>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</si>
  <si>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</si>
  <si>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</si>
  <si>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</si>
  <si>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</si>
  <si>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</si>
  <si>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</si>
  <si>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</si>
  <si>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</si>
  <si>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</si>
  <si>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</si>
  <si>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</si>
  <si>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</si>
  <si>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</si>
  <si>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</si>
  <si>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</si>
  <si>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</si>
  <si>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</si>
  <si>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</si>
  <si>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</si>
  <si>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</si>
  <si>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</si>
  <si>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</si>
  <si>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</si>
  <si>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</si>
  <si>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</si>
  <si>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</si>
  <si>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</si>
  <si>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</si>
  <si>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</si>
  <si>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</si>
  <si>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</si>
  <si>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</si>
  <si>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</si>
  <si>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</si>
  <si>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</si>
  <si>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</si>
  <si>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</si>
  <si>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</si>
  <si>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</si>
  <si>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</si>
  <si>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</si>
  <si>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</si>
  <si>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</si>
  <si>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</si>
  <si>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</si>
  <si>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</si>
  <si>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</si>
  <si>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</si>
  <si>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</si>
  <si>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</si>
  <si>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</si>
  <si>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</si>
  <si>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</si>
  <si>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</si>
  <si>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</si>
  <si>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</si>
  <si>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</si>
  <si>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</si>
  <si>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</si>
  <si>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</si>
  <si>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</si>
  <si>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</si>
  <si>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</si>
  <si>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</si>
  <si>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</si>
  <si>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</si>
  <si>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</si>
  <si>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</si>
  <si>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</si>
  <si>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</si>
  <si>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</si>
  <si>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</si>
  <si>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</si>
  <si>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</si>
  <si>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</si>
  <si>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</si>
  <si>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</si>
  <si>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</si>
  <si>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</si>
  <si>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</si>
  <si>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</si>
  <si>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</si>
  <si>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</si>
  <si>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</si>
  <si>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</si>
  <si>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</si>
  <si>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</si>
  <si>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</si>
  <si>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</si>
  <si>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</si>
  <si>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</si>
  <si>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</si>
  <si>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</si>
  <si>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</si>
  <si>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</si>
  <si>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</si>
  <si>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</si>
  <si>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</si>
  <si>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</si>
  <si>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</si>
  <si>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</si>
  <si>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</si>
  <si>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</si>
  <si>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</si>
  <si>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</si>
  <si>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</si>
  <si>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</si>
  <si>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</si>
  <si>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</si>
  <si>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</si>
  <si>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</si>
  <si>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</si>
  <si>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</si>
  <si>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</si>
  <si>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</si>
  <si>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</si>
  <si>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</si>
  <si>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</si>
  <si>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</si>
  <si>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</si>
  <si>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</si>
  <si>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</si>
  <si>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</si>
  <si>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</si>
  <si>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</si>
  <si>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</si>
  <si>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</si>
  <si>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</si>
  <si>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</si>
  <si>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</si>
  <si>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</si>
  <si>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</si>
  <si>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</si>
  <si>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</si>
  <si>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</si>
  <si>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</si>
  <si>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</si>
  <si>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</si>
  <si>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</si>
  <si>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</si>
  <si>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</si>
  <si>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</si>
  <si>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</si>
  <si>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</si>
  <si>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</si>
  <si>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</si>
  <si>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</si>
  <si>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</si>
  <si>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</si>
  <si>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</si>
  <si>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</si>
  <si>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</si>
  <si>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</si>
  <si>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</si>
  <si>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</si>
  <si>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</si>
  <si>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</si>
  <si>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</si>
  <si>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</si>
  <si>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</si>
  <si>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</si>
  <si>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</si>
  <si>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</si>
  <si>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</si>
  <si>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</si>
  <si>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</si>
  <si>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</si>
  <si>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</si>
  <si>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</si>
  <si>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</si>
  <si>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</si>
  <si>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</si>
  <si>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</si>
  <si>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</si>
  <si>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</si>
  <si>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</si>
  <si>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</si>
  <si>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</si>
  <si>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</si>
  <si>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</si>
  <si>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</si>
  <si>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</si>
  <si>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</si>
  <si>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</si>
  <si>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</si>
  <si>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</si>
  <si>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</si>
  <si>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</si>
  <si>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</si>
  <si>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</si>
  <si>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</si>
  <si>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</si>
  <si>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</si>
  <si>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</si>
  <si>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</si>
  <si>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</si>
  <si>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</si>
  <si>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</si>
  <si>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</si>
  <si>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</si>
  <si>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</si>
  <si>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</si>
  <si>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</si>
  <si>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</si>
  <si>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</si>
  <si>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</si>
  <si>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</si>
  <si>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</si>
  <si>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</si>
  <si>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</si>
  <si>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</si>
  <si>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</si>
  <si>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</si>
  <si>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</si>
  <si>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</si>
  <si>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</si>
  <si>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</si>
  <si>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</si>
  <si>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</si>
  <si>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</si>
  <si>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</si>
  <si>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</si>
  <si>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</si>
  <si>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</si>
  <si>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</si>
  <si>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</si>
  <si>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</si>
  <si>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</si>
  <si>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</si>
  <si>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</si>
  <si>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</si>
  <si>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</si>
  <si>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</si>
  <si>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</si>
  <si>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</si>
  <si>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</si>
  <si>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</si>
  <si>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</si>
  <si>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</si>
  <si>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</si>
  <si>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</si>
  <si>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</si>
  <si>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</si>
  <si>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</si>
  <si>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</si>
  <si>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</si>
  <si>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</si>
  <si>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</si>
  <si>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</si>
  <si>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</si>
  <si>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</si>
  <si>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</si>
  <si>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</si>
  <si>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</si>
  <si>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</si>
  <si>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</si>
  <si>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</si>
  <si>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</si>
  <si>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</si>
  <si>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</si>
  <si>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</si>
  <si>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</si>
  <si>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</si>
  <si>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</si>
  <si>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</si>
  <si>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</si>
  <si>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</si>
  <si>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</si>
  <si>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</si>
  <si>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</si>
  <si>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</si>
  <si>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</si>
  <si>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</si>
  <si>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</si>
  <si>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</si>
  <si>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</si>
  <si>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</si>
  <si>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</si>
  <si>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</si>
  <si>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</si>
  <si>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</si>
  <si>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</si>
  <si>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</si>
  <si>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</si>
  <si>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</si>
  <si>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</si>
  <si>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</si>
  <si>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</si>
  <si>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</si>
  <si>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</si>
  <si>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</si>
  <si>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</si>
  <si>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</si>
  <si>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</si>
  <si>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</si>
  <si>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</si>
  <si>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</si>
  <si>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</si>
  <si>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</si>
  <si>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</si>
  <si>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</si>
  <si>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</si>
  <si>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</si>
  <si>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</si>
  <si>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</si>
  <si>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</si>
  <si>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</si>
  <si>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</si>
  <si>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</si>
  <si>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</si>
  <si>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</si>
  <si>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</si>
  <si>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</si>
  <si>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</si>
  <si>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</si>
  <si>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</si>
  <si>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</si>
  <si>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</si>
  <si>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</si>
  <si>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</si>
  <si>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</si>
  <si>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</si>
  <si>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</si>
  <si>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</si>
  <si>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</si>
  <si>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</si>
  <si>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</si>
  <si>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</si>
  <si>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</si>
  <si>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</si>
  <si>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</si>
  <si>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</si>
  <si>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</si>
  <si>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</si>
  <si>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</si>
  <si>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</si>
  <si>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</si>
  <si>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</si>
  <si>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</si>
  <si>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</si>
  <si>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</si>
  <si>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</si>
  <si>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</si>
  <si>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</si>
  <si>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</si>
  <si>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</si>
  <si>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</si>
  <si>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</si>
  <si>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</si>
  <si>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</si>
  <si>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</si>
  <si>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</si>
  <si>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</si>
  <si>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</si>
  <si>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</si>
  <si>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</si>
  <si>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</si>
  <si>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</si>
  <si>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</si>
  <si>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</si>
  <si>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</si>
  <si>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</si>
  <si>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</si>
  <si>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</si>
  <si>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</si>
  <si>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</si>
  <si>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</si>
  <si>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</si>
  <si>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</si>
  <si>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</si>
  <si>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</si>
  <si>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</si>
  <si>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</si>
  <si>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</si>
  <si>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</si>
  <si>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</si>
  <si>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</si>
  <si>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</si>
  <si>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</si>
  <si>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</si>
  <si>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</si>
  <si>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</si>
  <si>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</si>
  <si>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</si>
  <si>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</si>
  <si>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</si>
  <si>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</si>
  <si>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</si>
  <si>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</si>
  <si>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</si>
  <si>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</si>
  <si>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</si>
  <si>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</si>
  <si>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</si>
  <si>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</si>
  <si>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</si>
  <si>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</si>
  <si>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</si>
  <si>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</si>
  <si>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</si>
  <si>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</si>
  <si>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</si>
  <si>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</si>
  <si>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</si>
  <si>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</si>
  <si>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</si>
  <si>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</si>
  <si>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</si>
  <si>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</si>
  <si>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</si>
  <si>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</si>
  <si>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</si>
  <si>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</si>
  <si>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</si>
  <si>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</si>
  <si>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</si>
  <si>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</si>
  <si>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</si>
  <si>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</si>
  <si>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</si>
  <si>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</si>
  <si>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</si>
  <si>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</si>
  <si>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</si>
  <si>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</si>
  <si>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</si>
  <si>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</si>
  <si>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</si>
  <si>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</si>
  <si>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</si>
  <si>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</si>
  <si>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</si>
  <si>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</si>
  <si>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</si>
  <si>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</si>
  <si>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</si>
  <si>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</si>
  <si>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</si>
  <si>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</si>
  <si>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</si>
  <si>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</si>
  <si>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</si>
  <si>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</si>
  <si>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</si>
  <si>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</si>
  <si>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</si>
  <si>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</si>
  <si>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</si>
  <si>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</si>
  <si>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</si>
  <si>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</si>
  <si>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</si>
  <si>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</si>
  <si>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</si>
  <si>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</si>
  <si>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</si>
  <si>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</si>
  <si>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</si>
  <si>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</si>
  <si>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</si>
  <si>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</si>
  <si>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</si>
  <si>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</si>
  <si>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</si>
  <si>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</si>
  <si>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</si>
  <si>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</si>
  <si>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</si>
  <si>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</si>
  <si>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</si>
  <si>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</si>
  <si>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</si>
  <si>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</si>
  <si>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</si>
  <si>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</si>
  <si>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</si>
  <si>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</si>
  <si>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</si>
  <si>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</si>
  <si>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</si>
  <si>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</si>
  <si>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</si>
  <si>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</si>
  <si>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</si>
  <si>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</si>
  <si>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</si>
  <si>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</si>
  <si>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</si>
  <si>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</si>
  <si>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</si>
  <si>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</si>
  <si>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</si>
  <si>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</si>
  <si>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</si>
  <si>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</si>
  <si>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</si>
  <si>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</si>
  <si>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</si>
  <si>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</si>
  <si>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</si>
  <si>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</si>
  <si>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</si>
  <si>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</si>
  <si>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</si>
  <si>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</si>
  <si>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</si>
  <si>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</si>
  <si>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</si>
  <si>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</si>
  <si>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</si>
  <si>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</si>
  <si>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</si>
  <si>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</si>
  <si>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</si>
  <si>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</si>
  <si>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</si>
  <si>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</si>
  <si>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</si>
  <si>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</si>
  <si>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</si>
  <si>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</si>
  <si>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</si>
  <si>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</si>
  <si>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</si>
  <si>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</si>
  <si>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</si>
  <si>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</si>
  <si>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</si>
  <si>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</si>
  <si>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</si>
  <si>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</si>
  <si>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</si>
  <si>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</si>
  <si>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</si>
  <si>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</si>
  <si>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</si>
  <si>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</si>
  <si>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</si>
  <si>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</si>
  <si>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</si>
  <si>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</si>
  <si>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</si>
  <si>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</si>
  <si>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</si>
  <si>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</si>
  <si>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</si>
  <si>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</si>
  <si>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</si>
  <si>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</si>
  <si>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</si>
  <si>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</si>
  <si>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</si>
  <si>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</si>
  <si>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</si>
  <si>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</si>
  <si>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</si>
  <si>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</si>
  <si>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</si>
  <si>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</si>
  <si>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</si>
  <si>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</si>
  <si>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</si>
  <si>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</si>
  <si>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</si>
  <si>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</si>
  <si>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</si>
  <si>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</si>
  <si>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</si>
  <si>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</si>
  <si>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</si>
  <si>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</si>
  <si>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</si>
  <si>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</si>
  <si>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</si>
  <si>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</si>
  <si>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</si>
  <si>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</si>
  <si>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</si>
  <si>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</si>
  <si>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</si>
  <si>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</si>
  <si>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</si>
  <si>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</si>
  <si>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</si>
  <si>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</si>
  <si>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</si>
  <si>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</si>
  <si>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</si>
  <si>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</si>
  <si>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</si>
  <si>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</si>
  <si>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</si>
  <si>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</si>
  <si>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</si>
  <si>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</si>
  <si>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</si>
  <si>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</si>
  <si>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</si>
  <si>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</si>
  <si>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</si>
  <si>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</si>
  <si>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</si>
  <si>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</si>
  <si>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</si>
  <si>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</si>
  <si>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</si>
  <si>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</si>
  <si>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</si>
  <si>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</si>
  <si>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</si>
  <si>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</si>
  <si>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</si>
  <si>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</si>
  <si>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</si>
  <si>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</si>
  <si>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</si>
  <si>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</si>
  <si>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</si>
  <si>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</si>
  <si>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</si>
  <si>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</si>
  <si>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</si>
  <si>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</si>
  <si>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</si>
  <si>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</si>
  <si>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</si>
  <si>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</si>
  <si>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</si>
  <si>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</si>
  <si>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</si>
  <si>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</si>
  <si>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</si>
  <si>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</si>
  <si>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</si>
  <si>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</si>
  <si>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</si>
  <si>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</si>
  <si>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</si>
  <si>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</si>
  <si>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</si>
  <si>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</si>
  <si>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</si>
  <si>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</si>
  <si>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</si>
  <si>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</si>
  <si>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</si>
  <si>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</si>
  <si>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</si>
  <si>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</si>
  <si>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</si>
  <si>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</si>
  <si>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</si>
  <si>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</si>
  <si>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</si>
  <si>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</si>
  <si>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</si>
  <si>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</si>
  <si>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</si>
  <si>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</si>
  <si>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</si>
  <si>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</si>
  <si>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</si>
  <si>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</si>
  <si>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</si>
  <si>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</si>
  <si>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</si>
  <si>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</si>
  <si>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</si>
  <si>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</si>
  <si>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</si>
  <si>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</si>
  <si>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</si>
  <si>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</si>
  <si>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</si>
  <si>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</si>
  <si>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</si>
  <si>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</si>
  <si>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</si>
  <si>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</si>
  <si>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</si>
  <si>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</si>
  <si>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</si>
  <si>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</si>
  <si>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</si>
  <si>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</si>
  <si>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</si>
  <si>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</si>
  <si>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</si>
  <si>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</si>
  <si>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</si>
  <si>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</si>
  <si>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</si>
  <si>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</si>
  <si>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</si>
  <si>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</si>
  <si>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</si>
  <si>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</si>
  <si>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</si>
  <si>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</si>
  <si>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</si>
  <si>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</si>
  <si>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</si>
  <si>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</si>
  <si>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</si>
  <si>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</si>
  <si>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</si>
  <si>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</si>
  <si>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</si>
  <si>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</si>
  <si>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</si>
  <si>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</si>
  <si>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</si>
  <si>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</si>
  <si>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</si>
  <si>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</si>
  <si>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</si>
  <si>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</si>
  <si>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</si>
  <si>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</si>
  <si>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</si>
  <si>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</si>
  <si>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</si>
  <si>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</si>
  <si>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</si>
  <si>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</si>
  <si>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</si>
  <si>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</si>
  <si>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</si>
  <si>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</si>
  <si>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</si>
  <si>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</si>
  <si>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</si>
  <si>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</si>
  <si>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</si>
  <si>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</si>
  <si>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</si>
  <si>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</si>
  <si>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</si>
  <si>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</si>
  <si>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</si>
  <si>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</si>
  <si>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</si>
  <si>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</si>
  <si>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</si>
  <si>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</si>
  <si>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</si>
  <si>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</si>
  <si>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</si>
  <si>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</si>
  <si>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</si>
  <si>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</si>
  <si>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</si>
  <si>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</si>
  <si>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</si>
  <si>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</si>
  <si>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</si>
  <si>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</si>
  <si>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</si>
  <si>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</si>
  <si>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</si>
  <si>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</si>
  <si>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</si>
  <si>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</si>
  <si>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</si>
  <si>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</si>
  <si>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</si>
  <si>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</si>
  <si>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</si>
  <si>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</si>
  <si>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</si>
  <si>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</si>
  <si>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</si>
  <si>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</si>
  <si>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</si>
  <si>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</si>
  <si>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</si>
  <si>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</si>
  <si>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</si>
  <si>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</si>
  <si>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</si>
  <si>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</si>
  <si>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</si>
  <si>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</si>
  <si>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</si>
  <si>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</si>
  <si>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</si>
  <si>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</si>
  <si>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</si>
  <si>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</si>
  <si>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</si>
  <si>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</si>
  <si>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</si>
  <si>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</si>
  <si>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</si>
  <si>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</si>
  <si>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</si>
  <si>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</si>
  <si>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</si>
  <si>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</si>
  <si>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</si>
  <si>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</si>
  <si>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</si>
  <si>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</si>
  <si>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</si>
  <si>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</si>
  <si>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</si>
  <si>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</si>
  <si>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</si>
  <si>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</si>
  <si>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</si>
  <si>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</si>
  <si>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</si>
  <si>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</si>
  <si>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</si>
  <si>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</si>
  <si>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</si>
  <si>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</si>
  <si>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</si>
  <si>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</si>
  <si>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</si>
  <si>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</si>
  <si>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</si>
  <si>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</si>
  <si>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</si>
  <si>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</si>
  <si>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</si>
  <si>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</si>
  <si>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</si>
  <si>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</si>
  <si>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</si>
  <si>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</si>
  <si>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</si>
  <si>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</si>
  <si>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</si>
  <si>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</si>
  <si>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</si>
  <si>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</si>
  <si>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</si>
  <si>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</si>
  <si>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</si>
  <si>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</si>
  <si>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</si>
  <si>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</si>
  <si>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</si>
  <si>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</si>
  <si>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</si>
  <si>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</si>
  <si>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</si>
  <si>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</si>
  <si>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</si>
  <si>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</si>
  <si>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</si>
  <si>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</si>
  <si>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</si>
  <si>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</si>
  <si>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</si>
  <si>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</si>
  <si>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</si>
  <si>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</si>
  <si>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</si>
  <si>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</si>
  <si>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</si>
  <si>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</si>
  <si>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</si>
  <si>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</si>
  <si>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</si>
  <si>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</si>
  <si>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</si>
  <si>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</si>
  <si>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</si>
  <si>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</si>
  <si>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</si>
  <si>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</si>
  <si>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</si>
  <si>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</si>
  <si>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</si>
  <si>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</si>
  <si>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</si>
  <si>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</si>
  <si>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</si>
  <si>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</si>
  <si>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</si>
  <si>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</si>
  <si>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</si>
  <si>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</si>
  <si>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</si>
  <si>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</si>
  <si>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</si>
  <si>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</si>
  <si>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</si>
  <si>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</si>
  <si>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</si>
  <si>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</si>
  <si>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</si>
  <si>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</si>
  <si>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</si>
  <si>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</si>
  <si>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</si>
  <si>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</si>
  <si>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</si>
  <si>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</si>
  <si>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</si>
  <si>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</si>
  <si>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</si>
  <si>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</si>
  <si>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</si>
  <si>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</si>
  <si>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</si>
  <si>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</si>
  <si>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</si>
  <si>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</si>
  <si>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</si>
  <si>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</si>
  <si>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</si>
  <si>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</si>
  <si>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</si>
  <si>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</si>
  <si>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</si>
  <si>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</si>
  <si>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</si>
  <si>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</si>
  <si>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</si>
  <si>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</si>
  <si>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</si>
  <si>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</si>
  <si>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</si>
  <si>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</si>
  <si>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</si>
  <si>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</si>
  <si>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</si>
  <si>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</si>
  <si>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</si>
  <si>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</si>
  <si>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</si>
  <si>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</si>
  <si>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</si>
  <si>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</si>
  <si>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</si>
  <si>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</si>
  <si>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</si>
  <si>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</si>
  <si>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</si>
  <si>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</si>
  <si>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</si>
  <si>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</si>
  <si>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</si>
  <si>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</si>
  <si>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</si>
  <si>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</si>
  <si>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</si>
  <si>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</si>
  <si>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</si>
  <si>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</si>
  <si>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</si>
  <si>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</si>
  <si>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</si>
  <si>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</si>
  <si>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</si>
  <si>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</si>
  <si>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</si>
  <si>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</si>
  <si>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</si>
  <si>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</si>
  <si>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</si>
  <si>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</si>
  <si>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</si>
  <si>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</si>
  <si>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</si>
  <si>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</si>
  <si>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</si>
  <si>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</si>
  <si>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</si>
  <si>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</si>
  <si>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</si>
  <si>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</si>
  <si>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</si>
  <si>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</si>
  <si>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</si>
  <si>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</si>
  <si>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</si>
  <si>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</si>
  <si>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</si>
  <si>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</si>
  <si>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</si>
  <si>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</si>
  <si>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</si>
  <si>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</si>
  <si>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</si>
  <si>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</si>
  <si>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</si>
  <si>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</si>
  <si>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</si>
  <si>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</si>
  <si>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</si>
  <si>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</si>
  <si>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</si>
  <si>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</si>
  <si>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</si>
  <si>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</si>
  <si>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</si>
  <si>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</si>
  <si>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</si>
  <si>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</si>
  <si>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</si>
  <si>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</si>
  <si>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</si>
  <si>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</si>
  <si>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</si>
  <si>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</si>
  <si>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</si>
  <si>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</si>
  <si>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</si>
  <si>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</si>
  <si>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</si>
  <si>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</si>
  <si>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</si>
  <si>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</si>
  <si>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</si>
  <si>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</si>
  <si>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</si>
  <si>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</si>
  <si>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</si>
  <si>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</si>
  <si>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</si>
  <si>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</si>
  <si>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</si>
  <si>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</si>
  <si>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</si>
  <si>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</si>
  <si>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</si>
  <si>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</si>
  <si>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</si>
  <si>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</si>
  <si>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</si>
  <si>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</si>
  <si>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</si>
  <si>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</si>
  <si>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</si>
  <si>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</si>
  <si>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</si>
  <si>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</si>
  <si>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</si>
  <si>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</si>
  <si>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</si>
  <si>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</si>
  <si>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</si>
  <si>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</si>
  <si>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</si>
  <si>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</si>
  <si>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</si>
  <si>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</si>
  <si>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</si>
  <si>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</si>
  <si>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</si>
  <si>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</si>
  <si>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</si>
  <si>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</si>
  <si>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</si>
  <si>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</si>
  <si>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</si>
  <si>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</si>
  <si>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</si>
  <si>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</si>
  <si>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</si>
  <si>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</si>
  <si>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</si>
  <si>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</si>
  <si>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</si>
  <si>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</si>
  <si>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</si>
  <si>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</si>
  <si>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</si>
  <si>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</si>
  <si>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</si>
  <si>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</si>
  <si>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</si>
  <si>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</si>
  <si>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</si>
  <si>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</si>
  <si>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</si>
  <si>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</si>
  <si>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</si>
  <si>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</si>
  <si>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</si>
  <si>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</si>
  <si>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</si>
  <si>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</si>
  <si>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</si>
  <si>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</si>
  <si>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</si>
  <si>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</si>
  <si>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</si>
  <si>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</si>
  <si>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</si>
  <si>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</si>
  <si>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</si>
  <si>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</si>
  <si>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</si>
  <si>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</si>
  <si>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</si>
  <si>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</si>
  <si>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</si>
  <si>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</si>
  <si>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</si>
  <si>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</si>
  <si>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</si>
  <si>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</si>
  <si>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</si>
  <si>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</si>
  <si>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</si>
  <si>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</si>
  <si>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</si>
  <si>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</si>
  <si>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</si>
  <si>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</si>
  <si>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</si>
  <si>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</si>
  <si>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</si>
  <si>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</si>
  <si>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</si>
  <si>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</si>
  <si>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</si>
  <si>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</si>
  <si>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</si>
  <si>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</si>
  <si>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</si>
  <si>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</si>
  <si>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</si>
  <si>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</si>
  <si>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</si>
  <si>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</si>
  <si>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</si>
  <si>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</si>
  <si>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</si>
  <si>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</si>
  <si>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</si>
  <si>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</si>
  <si>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</si>
  <si>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</si>
  <si>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</si>
  <si>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</si>
  <si>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</si>
  <si>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</si>
  <si>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</si>
  <si>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</si>
  <si>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</si>
  <si>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</si>
  <si>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</si>
  <si>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</si>
  <si>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</si>
  <si>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</si>
  <si>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</si>
  <si>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</si>
  <si>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</si>
  <si>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</si>
  <si>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</si>
  <si>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</si>
  <si>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</si>
  <si>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</si>
  <si>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</si>
  <si>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</si>
  <si>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</si>
  <si>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</si>
  <si>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</si>
  <si>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</si>
  <si>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</si>
  <si>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</si>
  <si>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</si>
  <si>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</si>
  <si>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</si>
  <si>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</si>
  <si>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</si>
  <si>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</si>
  <si>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</si>
  <si>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</si>
  <si>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</si>
  <si>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</si>
  <si>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</si>
  <si>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</si>
  <si>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</si>
  <si>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</si>
  <si>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</si>
  <si>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</si>
  <si>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</si>
  <si>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</si>
  <si>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</si>
  <si>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</si>
  <si>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</si>
  <si>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</si>
  <si>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</si>
  <si>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</si>
  <si>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</si>
  <si>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</si>
  <si>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</si>
  <si>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</si>
  <si>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</si>
  <si>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</si>
  <si>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</si>
  <si>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</si>
  <si>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</si>
  <si>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</si>
  <si>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</si>
  <si>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</si>
  <si>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</si>
  <si>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</si>
  <si>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</si>
  <si>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</si>
  <si>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</si>
  <si>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</si>
  <si>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</si>
  <si>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</si>
  <si>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</si>
  <si>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</si>
  <si>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</si>
  <si>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</si>
  <si>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</si>
  <si>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</si>
  <si>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</si>
  <si>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</si>
  <si>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</si>
  <si>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</si>
  <si>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</si>
  <si>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</si>
  <si>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</si>
  <si>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</si>
  <si>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</si>
  <si>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</si>
  <si>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</si>
  <si>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</si>
  <si>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</si>
  <si>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</si>
  <si>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</si>
  <si>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</si>
  <si>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</si>
  <si>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</si>
  <si>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</si>
  <si>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</si>
  <si>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</si>
  <si>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</si>
  <si>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</si>
  <si>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</si>
  <si>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</si>
  <si>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</si>
  <si>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</si>
  <si>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</si>
  <si>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</si>
  <si>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</si>
  <si>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</si>
  <si>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</si>
  <si>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</si>
  <si>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</si>
  <si>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</si>
  <si>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</si>
  <si>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</si>
  <si>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</si>
  <si>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</si>
  <si>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</si>
  <si>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</si>
  <si>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</si>
  <si>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</si>
  <si>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</si>
  <si>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</si>
  <si>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</si>
  <si>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</si>
  <si>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</si>
  <si>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</si>
  <si>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</si>
  <si>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</si>
  <si>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</si>
  <si>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</si>
  <si>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</si>
  <si>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</si>
  <si>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</si>
  <si>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</si>
  <si>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</si>
  <si>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</si>
  <si>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</si>
  <si>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</si>
  <si>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</si>
  <si>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</si>
  <si>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</si>
  <si>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</si>
  <si>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</si>
  <si>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</si>
  <si>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</si>
  <si>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</si>
  <si>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</si>
  <si>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</si>
  <si>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</si>
  <si>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</si>
  <si>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</si>
  <si>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</si>
  <si>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</si>
  <si>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</si>
  <si>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</si>
  <si>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</si>
  <si>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</si>
  <si>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</si>
  <si>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</si>
  <si>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</si>
  <si>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</si>
  <si>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</si>
  <si>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</si>
  <si>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</si>
  <si>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</si>
  <si>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</si>
  <si>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</si>
  <si>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</si>
  <si>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</si>
  <si>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</si>
  <si>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</si>
  <si>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</si>
  <si>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</si>
  <si>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</si>
  <si>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</si>
  <si>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</si>
  <si>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</si>
  <si>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</si>
  <si>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</si>
  <si>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</si>
  <si>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</si>
  <si>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</si>
  <si>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</si>
  <si>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</si>
  <si>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</si>
  <si>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</si>
  <si>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</si>
  <si>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</si>
  <si>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</si>
  <si>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</si>
  <si>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</si>
  <si>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</si>
  <si>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</si>
  <si>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</si>
  <si>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</si>
  <si>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</si>
  <si>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</si>
  <si>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</si>
  <si>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</si>
  <si>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</si>
  <si>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</si>
  <si>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</si>
  <si>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</si>
  <si>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</si>
  <si>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</si>
  <si>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</si>
  <si>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</si>
  <si>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</si>
  <si>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</si>
  <si>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</si>
  <si>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</si>
  <si>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</si>
  <si>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</si>
  <si>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</si>
  <si>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</si>
  <si>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</si>
  <si>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</si>
  <si>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</si>
  <si>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</si>
  <si>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</si>
  <si>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</si>
  <si>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</si>
  <si>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</si>
  <si>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</si>
  <si>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</si>
  <si>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</si>
  <si>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</si>
  <si>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</si>
  <si>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</si>
  <si>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</si>
  <si>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</si>
  <si>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</si>
  <si>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</si>
  <si>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</si>
  <si>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</si>
  <si>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</si>
  <si>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</si>
  <si>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</si>
  <si>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</si>
  <si>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</si>
  <si>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</si>
  <si>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</si>
  <si>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</si>
  <si>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</si>
  <si>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</si>
  <si>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</si>
  <si>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</si>
  <si>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</si>
  <si>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</si>
  <si>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</si>
  <si>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</si>
  <si>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</si>
  <si>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</si>
  <si>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</si>
  <si>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</si>
  <si>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</si>
  <si>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</si>
  <si>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</si>
  <si>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</si>
  <si>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</si>
  <si>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</si>
  <si>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</si>
  <si>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</si>
  <si>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</si>
  <si>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</si>
  <si>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</si>
  <si>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</si>
  <si>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</si>
  <si>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</si>
  <si>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</si>
  <si>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</si>
  <si>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</si>
  <si>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</si>
  <si>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</si>
  <si>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</si>
  <si>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</si>
  <si>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</si>
  <si>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</si>
  <si>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</si>
  <si>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</si>
  <si>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</si>
  <si>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</si>
  <si>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</si>
  <si>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</si>
  <si>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</si>
  <si>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</si>
  <si>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</si>
  <si>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</si>
  <si>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</si>
  <si>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</si>
  <si>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</si>
  <si>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</si>
  <si>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</si>
  <si>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</si>
  <si>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</si>
  <si>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</si>
  <si>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</si>
  <si>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</si>
  <si>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</si>
  <si>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</si>
  <si>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</si>
  <si>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</si>
  <si>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</si>
  <si>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</si>
  <si>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</si>
  <si>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</si>
  <si>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</si>
  <si>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</si>
  <si>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</si>
  <si>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</si>
  <si>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</si>
  <si>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</si>
  <si>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</si>
  <si>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</si>
  <si>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</si>
  <si>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</si>
  <si>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</si>
  <si>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</si>
  <si>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</si>
  <si>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</si>
  <si>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</si>
  <si>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</si>
  <si>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</si>
  <si>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</si>
  <si>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</si>
  <si>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</si>
  <si>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</si>
  <si>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</si>
  <si>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</si>
  <si>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</si>
  <si>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</si>
  <si>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</si>
  <si>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</si>
  <si>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</si>
  <si>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</si>
  <si>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</si>
  <si>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</si>
  <si>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</si>
  <si>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</si>
  <si>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</si>
  <si>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</si>
  <si>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</si>
  <si>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</si>
  <si>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</si>
  <si>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</si>
  <si>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</si>
  <si>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</si>
  <si>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</si>
  <si>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</si>
  <si>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</si>
  <si>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</si>
  <si>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</si>
  <si>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</si>
  <si>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</si>
  <si>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</si>
  <si>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</si>
  <si>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</si>
  <si>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</si>
  <si>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</si>
  <si>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</si>
  <si>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</si>
  <si>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</si>
  <si>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</si>
  <si>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</si>
  <si>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</si>
  <si>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</si>
  <si>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</si>
  <si>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</si>
  <si>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</si>
  <si>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</si>
  <si>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</si>
  <si>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</si>
  <si>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</si>
  <si>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</si>
  <si>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</si>
  <si>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</si>
  <si>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</si>
  <si>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</si>
  <si>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</si>
  <si>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</si>
  <si>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</si>
  <si>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</si>
  <si>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</si>
  <si>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</si>
  <si>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</si>
  <si>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</si>
  <si>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</si>
  <si>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</si>
  <si>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</si>
  <si>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</si>
  <si>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</si>
  <si>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</si>
  <si>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</si>
  <si>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</si>
  <si>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</si>
  <si>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</si>
  <si>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</si>
  <si>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</si>
  <si>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</si>
  <si>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</si>
  <si>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</si>
  <si>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</si>
  <si>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</si>
  <si>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</si>
  <si>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</si>
  <si>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</si>
  <si>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</si>
  <si>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</si>
  <si>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</si>
  <si>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</si>
  <si>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</si>
  <si>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</si>
  <si>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</si>
  <si>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</si>
  <si>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</si>
  <si>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</si>
  <si>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</si>
  <si>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</si>
  <si>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</si>
  <si>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</si>
  <si>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</si>
  <si>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</si>
  <si>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</si>
  <si>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</si>
  <si>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</si>
  <si>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</si>
  <si>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</si>
  <si>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</si>
  <si>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</si>
  <si>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</si>
  <si>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</si>
  <si>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</si>
  <si>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</si>
  <si>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</si>
  <si>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</si>
  <si>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</si>
  <si>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</si>
  <si>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</si>
  <si>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</si>
  <si>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</si>
  <si>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</si>
  <si>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</si>
  <si>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</si>
  <si>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</si>
  <si>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</si>
  <si>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</si>
  <si>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</si>
  <si>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</si>
  <si>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</si>
  <si>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</si>
  <si>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</si>
  <si>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</si>
  <si>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</si>
  <si>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</si>
  <si>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</si>
  <si>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</si>
  <si>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</si>
  <si>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</si>
  <si>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</si>
  <si>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</si>
  <si>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</si>
  <si>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</si>
  <si>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</si>
  <si>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</si>
  <si>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</si>
  <si>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</si>
  <si>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</si>
  <si>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</si>
  <si>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</si>
  <si>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</si>
  <si>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</si>
  <si>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</si>
  <si>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</si>
  <si>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</si>
  <si>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</si>
  <si>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</si>
  <si>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</si>
  <si>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</si>
  <si>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</si>
  <si>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</si>
  <si>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</si>
  <si>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</si>
  <si>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</si>
  <si>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</si>
  <si>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</si>
  <si>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</si>
  <si>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</si>
  <si>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</si>
  <si>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</si>
  <si>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</si>
  <si>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</si>
  <si>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</si>
  <si>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</si>
  <si>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</si>
  <si>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</si>
  <si>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</si>
  <si>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</si>
  <si>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</si>
  <si>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</si>
  <si>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</si>
  <si>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</si>
  <si>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</si>
  <si>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</si>
  <si>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</si>
  <si>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</si>
  <si>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</si>
  <si>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</si>
  <si>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</si>
  <si>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</si>
  <si>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</si>
  <si>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</si>
  <si>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</si>
  <si>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</si>
  <si>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</si>
  <si>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</si>
  <si>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</si>
  <si>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</si>
  <si>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</si>
  <si>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</si>
  <si>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</si>
  <si>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</si>
  <si>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</si>
  <si>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</si>
  <si>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</si>
  <si>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</si>
  <si>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</si>
  <si>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</si>
  <si>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</si>
  <si>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</si>
  <si>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</si>
  <si>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</si>
  <si>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</si>
  <si>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</si>
  <si>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</si>
  <si>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</si>
  <si>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</si>
  <si>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</si>
  <si>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</si>
  <si>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</si>
  <si>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</si>
  <si>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</si>
  <si>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</si>
  <si>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</si>
  <si>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</si>
  <si>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</si>
  <si>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</si>
  <si>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</si>
  <si>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</si>
  <si>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</si>
  <si>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</si>
  <si>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</si>
  <si>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</si>
  <si>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</si>
  <si>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</si>
  <si>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</si>
  <si>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</si>
  <si>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</si>
  <si>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</si>
  <si>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</si>
  <si>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</si>
  <si>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</si>
  <si>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</si>
  <si>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</si>
  <si>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</si>
  <si>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</si>
  <si>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</si>
  <si>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</si>
  <si>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</si>
  <si>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</si>
  <si>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</si>
  <si>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</si>
  <si>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</si>
  <si>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</si>
  <si>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</si>
  <si>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</si>
  <si>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</si>
  <si>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</si>
  <si>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</si>
  <si>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</si>
  <si>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</si>
  <si>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</si>
  <si>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</si>
  <si>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</si>
  <si>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</si>
  <si>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</si>
  <si>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</si>
  <si>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</si>
  <si>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</si>
  <si>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</si>
  <si>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</si>
  <si>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</si>
  <si>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</si>
  <si>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</si>
  <si>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</si>
  <si>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</si>
  <si>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</si>
  <si>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</si>
  <si>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</si>
  <si>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</si>
  <si>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</si>
  <si>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</si>
  <si>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</si>
  <si>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</si>
  <si>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</si>
  <si>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</si>
  <si>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</si>
  <si>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</si>
  <si>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</si>
  <si>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</si>
  <si>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</si>
  <si>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</si>
  <si>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</si>
  <si>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</si>
  <si>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</si>
  <si>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</si>
  <si>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</si>
  <si>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</si>
  <si>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</si>
  <si>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</si>
  <si>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</si>
  <si>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</si>
  <si>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</si>
  <si>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</si>
  <si>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</si>
  <si>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</si>
  <si>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</si>
  <si>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</si>
  <si>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</si>
  <si>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</si>
  <si>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</si>
  <si>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</si>
  <si>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</si>
  <si>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</si>
  <si>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</si>
  <si>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</si>
  <si>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</si>
  <si>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</si>
  <si>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</si>
  <si>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</si>
  <si>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</si>
  <si>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</si>
  <si>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</si>
  <si>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</si>
  <si>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</si>
  <si>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</si>
  <si>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</si>
  <si>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</si>
  <si>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</si>
  <si>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</si>
  <si>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</si>
  <si>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</si>
  <si>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</si>
  <si>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</si>
  <si>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</si>
  <si>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</si>
  <si>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</si>
  <si>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</si>
  <si>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</si>
  <si>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</si>
  <si>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</si>
  <si>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</si>
  <si>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</si>
  <si>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</si>
  <si>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</si>
  <si>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</si>
  <si>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</si>
  <si>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</si>
  <si>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</si>
  <si>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</si>
  <si>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</si>
  <si>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</si>
  <si>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</si>
  <si>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</si>
  <si>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</si>
  <si>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</si>
  <si>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</si>
  <si>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</si>
  <si>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</si>
  <si>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</si>
  <si>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</si>
  <si>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</si>
  <si>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</si>
  <si>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</si>
  <si>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</si>
  <si>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</si>
  <si>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</si>
  <si>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</si>
  <si>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</si>
  <si>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</si>
  <si>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</si>
  <si>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</si>
  <si>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</si>
  <si>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</si>
  <si>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</si>
  <si>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</si>
  <si>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</si>
  <si>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</si>
  <si>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</si>
  <si>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</si>
  <si>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</si>
  <si>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</si>
  <si>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</si>
  <si>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</si>
  <si>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</si>
  <si>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</si>
  <si>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</si>
  <si>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</si>
  <si>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</si>
  <si>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</si>
  <si>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</si>
  <si>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</si>
  <si>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</si>
  <si>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</si>
  <si>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</si>
  <si>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</si>
  <si>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</si>
  <si>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</si>
  <si>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</si>
  <si>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</si>
  <si>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</si>
  <si>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</si>
  <si>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</si>
  <si>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</si>
  <si>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</si>
  <si>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</si>
  <si>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</si>
  <si>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</si>
  <si>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</si>
  <si>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</si>
  <si>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</si>
  <si>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</si>
  <si>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</si>
  <si>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</si>
  <si>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</si>
  <si>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</si>
  <si>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</si>
  <si>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</si>
  <si>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</si>
  <si>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</si>
  <si>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</si>
  <si>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</si>
  <si>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</si>
  <si>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</si>
  <si>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</si>
  <si>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</si>
  <si>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</si>
  <si>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</si>
  <si>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</si>
  <si>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</si>
  <si>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</si>
  <si>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</si>
  <si>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</si>
  <si>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</si>
  <si>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</si>
  <si>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</si>
  <si>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</si>
  <si>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</si>
  <si>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</si>
  <si>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</si>
  <si>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</si>
  <si>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</si>
  <si>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</si>
  <si>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</si>
  <si>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</si>
  <si>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</si>
  <si>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</si>
  <si>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</si>
  <si>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</si>
  <si>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</si>
  <si>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</si>
  <si>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</si>
  <si>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</si>
  <si>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</si>
  <si>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</si>
  <si>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</si>
  <si>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</si>
  <si>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</si>
  <si>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</si>
  <si>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</si>
  <si>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</si>
  <si>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</si>
  <si>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</si>
  <si>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</si>
  <si>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</si>
  <si>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</si>
  <si>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</si>
  <si>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</si>
  <si>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</si>
  <si>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</si>
  <si>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</si>
  <si>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</si>
  <si>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</si>
  <si>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</si>
  <si>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</si>
  <si>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</si>
  <si>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</si>
  <si>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</si>
  <si>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</si>
  <si>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</si>
  <si>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</si>
  <si>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</si>
  <si>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</si>
  <si>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</si>
  <si>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</si>
  <si>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</si>
  <si>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</si>
  <si>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</si>
  <si>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</si>
  <si>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</si>
  <si>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</si>
  <si>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</si>
  <si>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</si>
  <si>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</si>
  <si>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</si>
  <si>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</si>
  <si>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</si>
  <si>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</si>
  <si>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</si>
  <si>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</si>
  <si>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</si>
  <si>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</si>
  <si>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</si>
  <si>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</si>
  <si>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</si>
  <si>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</si>
  <si>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</si>
  <si>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</si>
  <si>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</si>
  <si>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</si>
  <si>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</si>
  <si>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</si>
  <si>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</si>
  <si>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</si>
  <si>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</si>
  <si>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</si>
  <si>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</si>
  <si>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</si>
  <si>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</si>
  <si>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</si>
  <si>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</si>
  <si>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</si>
  <si>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</si>
  <si>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</si>
  <si>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</si>
  <si>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</si>
  <si>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</si>
  <si>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</si>
  <si>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</si>
  <si>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</si>
  <si>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</si>
  <si>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</si>
  <si>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</si>
  <si>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</si>
  <si>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</si>
  <si>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</si>
  <si>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</si>
  <si>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</si>
  <si>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</si>
  <si>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</si>
  <si>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</si>
  <si>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</si>
  <si>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</si>
  <si>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</si>
  <si>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</si>
  <si>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</si>
  <si>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</si>
  <si>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</si>
  <si>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</si>
  <si>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</si>
  <si>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</si>
  <si>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</si>
  <si>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</si>
  <si>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</si>
  <si>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</si>
  <si>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</si>
  <si>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</si>
  <si>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</si>
  <si>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</si>
  <si>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</si>
  <si>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</si>
  <si>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</si>
  <si>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</si>
  <si>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</si>
  <si>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</si>
  <si>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</si>
  <si>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</si>
  <si>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</si>
  <si>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</si>
  <si>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</si>
  <si>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</si>
  <si>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</si>
  <si>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</si>
  <si>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</si>
  <si>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</si>
  <si>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</si>
  <si>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</si>
  <si>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</si>
  <si>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</si>
  <si>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</si>
  <si>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</si>
  <si>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</si>
  <si>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</si>
  <si>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</si>
  <si>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</si>
  <si>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</si>
  <si>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</si>
  <si>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</si>
  <si>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</si>
  <si>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</si>
  <si>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</si>
  <si>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</si>
  <si>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</si>
  <si>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</si>
  <si>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</si>
  <si>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</si>
  <si>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</si>
  <si>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</si>
  <si>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</si>
  <si>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</si>
  <si>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</si>
  <si>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</si>
  <si>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</si>
  <si>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</si>
  <si>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</si>
  <si>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</si>
  <si>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</si>
  <si>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</si>
  <si>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</si>
  <si>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</si>
  <si>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</si>
  <si>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</si>
  <si>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</si>
  <si>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</si>
  <si>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</si>
  <si>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</si>
  <si>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</si>
  <si>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</si>
  <si>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</si>
  <si>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</si>
  <si>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</si>
  <si>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</si>
  <si>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</si>
  <si>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</si>
  <si>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</si>
  <si>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</si>
  <si>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</si>
  <si>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</si>
  <si>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</si>
  <si>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</si>
  <si>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</si>
  <si>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</si>
  <si>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</si>
  <si>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</si>
  <si>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</si>
  <si>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</si>
  <si>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</si>
  <si>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</si>
  <si>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</si>
  <si>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</si>
  <si>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</si>
  <si>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</si>
  <si>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</si>
  <si>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</si>
  <si>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</si>
  <si>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</si>
  <si>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</si>
  <si>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</si>
  <si>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</si>
  <si>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</si>
  <si>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</si>
  <si>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</si>
  <si>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</si>
  <si>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</si>
  <si>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</si>
  <si>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</si>
  <si>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</si>
  <si>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</si>
  <si>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</si>
  <si>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</si>
  <si>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</si>
  <si>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</si>
  <si>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</si>
  <si>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</si>
  <si>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</si>
  <si>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</si>
  <si>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</si>
  <si>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</si>
  <si>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</si>
  <si>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</si>
  <si>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</si>
  <si>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</si>
  <si>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</si>
  <si>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</si>
  <si>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</si>
  <si>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</si>
  <si>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</si>
  <si>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</si>
  <si>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</si>
  <si>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</si>
  <si>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</si>
  <si>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</si>
  <si>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</si>
  <si>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</si>
  <si>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</si>
  <si>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</si>
  <si>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</si>
  <si>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</si>
  <si>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</si>
  <si>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</si>
  <si>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</si>
  <si>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</si>
  <si>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</si>
  <si>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</si>
  <si>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</si>
  <si>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</si>
  <si>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</si>
  <si>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</si>
  <si>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</si>
  <si>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</si>
  <si>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</si>
  <si>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</si>
  <si>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</si>
  <si>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</si>
  <si>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</si>
  <si>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</si>
  <si>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</si>
  <si>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</si>
  <si>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</si>
  <si>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</si>
  <si>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</si>
  <si>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</si>
  <si>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</si>
  <si>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</si>
  <si>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</si>
  <si>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</si>
  <si>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</si>
  <si>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</si>
  <si>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</si>
  <si>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</si>
  <si>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</si>
  <si>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</si>
  <si>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</si>
  <si>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</si>
  <si>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</si>
  <si>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</si>
  <si>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</si>
  <si>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</si>
  <si>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</si>
  <si>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</si>
  <si>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</si>
  <si>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</si>
  <si>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</si>
  <si>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</si>
  <si>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</si>
  <si>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</si>
  <si>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</si>
  <si>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</si>
  <si>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</si>
  <si>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</si>
  <si>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</si>
  <si>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</si>
  <si>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</si>
  <si>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</si>
  <si>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</si>
  <si>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</si>
  <si>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</si>
  <si>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</si>
  <si>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</si>
  <si>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</si>
  <si>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</si>
  <si>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</si>
  <si>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</si>
  <si>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</si>
  <si>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</si>
  <si>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</si>
  <si>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</si>
  <si>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</si>
  <si>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</si>
  <si>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</si>
  <si>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</si>
  <si>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</si>
  <si>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</si>
  <si>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</si>
  <si>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</si>
  <si>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</si>
  <si>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</si>
  <si>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</si>
  <si>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</si>
  <si>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</si>
  <si>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</si>
  <si>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</si>
  <si>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</si>
  <si>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</si>
  <si>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</si>
  <si>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</si>
  <si>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</si>
  <si>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</si>
  <si>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</si>
  <si>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</si>
  <si>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</si>
  <si>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</si>
  <si>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</si>
  <si>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</si>
  <si>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</si>
  <si>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</si>
  <si>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</si>
  <si>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</si>
  <si>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</si>
  <si>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</si>
  <si>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</si>
  <si>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</si>
  <si>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</si>
  <si>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</si>
  <si>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</si>
  <si>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</si>
  <si>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</si>
  <si>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</si>
  <si>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</si>
  <si>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</si>
  <si>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</si>
  <si>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</si>
  <si>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</si>
  <si>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</si>
  <si>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</si>
  <si>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</si>
  <si>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</si>
  <si>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</si>
  <si>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</si>
  <si>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</si>
  <si>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</si>
  <si>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</si>
  <si>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</si>
  <si>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</si>
  <si>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</si>
  <si>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</si>
  <si>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</si>
  <si>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</si>
  <si>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</si>
  <si>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</si>
  <si>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</si>
  <si>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</si>
  <si>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</si>
  <si>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</si>
  <si>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</si>
  <si>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</si>
  <si>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</si>
  <si>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</si>
  <si>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</si>
  <si>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</si>
  <si>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</si>
  <si>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</si>
  <si>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</si>
  <si>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</si>
  <si>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</si>
  <si>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</si>
  <si>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</si>
  <si>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</si>
  <si>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</si>
  <si>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</si>
  <si>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</si>
  <si>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</si>
  <si>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</si>
  <si>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</si>
  <si>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</si>
  <si>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</si>
  <si>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</si>
  <si>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</si>
  <si>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</si>
  <si>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</si>
  <si>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</si>
  <si>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</si>
  <si>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</si>
  <si>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</si>
  <si>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</si>
  <si>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</si>
  <si>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</si>
  <si>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</si>
  <si>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</si>
  <si>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</si>
  <si>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</si>
  <si>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</si>
  <si>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</si>
  <si>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</si>
  <si>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</si>
  <si>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</si>
  <si>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</si>
  <si>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</si>
  <si>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</si>
  <si>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</si>
  <si>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</si>
  <si>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</si>
  <si>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</si>
  <si>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核定资产</t>
  </si>
  <si>
    <t>房地产市场价值</t>
  </si>
  <si>
    <t>北京市</t>
  </si>
  <si>
    <t>企业</t>
  </si>
  <si>
    <t>办公项目</t>
  </si>
  <si>
    <t>无</t>
  </si>
  <si>
    <t>否</t>
  </si>
  <si>
    <t>现房</t>
  </si>
  <si>
    <t>是</t>
  </si>
  <si>
    <t>地上</t>
  </si>
  <si>
    <t>办公</t>
    <phoneticPr fontId="7" type="noConversion"/>
  </si>
  <si>
    <t>成新度</t>
  </si>
  <si>
    <t>收益法 (元)</t>
  </si>
  <si>
    <t>售价</t>
  </si>
  <si>
    <t>单套模式</t>
  </si>
  <si>
    <t>正常</t>
  </si>
  <si>
    <t>挂牌</t>
  </si>
  <si>
    <t>挂牌</t>
    <phoneticPr fontId="31" type="noConversion"/>
  </si>
  <si>
    <t>高速路</t>
  </si>
  <si>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</si>
  <si>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</si>
  <si>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</si>
  <si>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</si>
  <si>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</si>
  <si>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</si>
  <si>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</si>
  <si>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</si>
  <si>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</si>
  <si>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</si>
  <si>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</si>
  <si>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</si>
  <si>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</si>
  <si>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</si>
  <si>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</si>
  <si>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t>
  </si>
  <si>
    <t>精装</t>
    <phoneticPr fontId="31" type="noConversion"/>
  </si>
  <si>
    <t>甲</t>
    <phoneticPr fontId="31" type="noConversion"/>
  </si>
  <si>
    <t>专业</t>
  </si>
  <si>
    <t>专业</t>
    <phoneticPr fontId="31" type="noConversion"/>
  </si>
  <si>
    <t>七通</t>
  </si>
  <si>
    <t>六通</t>
  </si>
  <si>
    <t>五通</t>
  </si>
  <si>
    <t>四通</t>
  </si>
  <si>
    <t>三通</t>
  </si>
  <si>
    <t>简装</t>
  </si>
  <si>
    <t>简装</t>
    <phoneticPr fontId="31" type="noConversion"/>
  </si>
  <si>
    <t>毛坯</t>
    <phoneticPr fontId="31" type="noConversion"/>
  </si>
  <si>
    <t>办公</t>
    <phoneticPr fontId="31" type="noConversion"/>
  </si>
  <si>
    <t>较好</t>
  </si>
  <si>
    <t>押一</t>
  </si>
  <si>
    <t>非生产用房</t>
  </si>
  <si>
    <t>比较法-办公</t>
  </si>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</sst>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420269</xdr:colOff>
      <xdr:row>29</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163469" cy="5105400"/>
        </a:xfrm>
        <a:prstGeom prst="rect">
          <a:avLst/>
        </a:prstGeom>
      </xdr:spPr>
    </xdr:pic>
    <xdr:clientData/>
  </xdr:twoCellAnchor>
  <xdr:twoCellAnchor editAs="oneCell">
    <xdr:from>
      <xdr:col>5</xdr:col>
      <xdr:colOff>0</xdr:colOff>
      <xdr:row>0</xdr:row>
      <xdr:rowOff>0</xdr:rowOff>
    </xdr:from>
    <xdr:to>
      <xdr:col>10</xdr:col>
      <xdr:colOff>542429</xdr:colOff>
      <xdr:row>28</xdr:row>
      <xdr:rowOff>142257</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971429" cy="4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北京市房地产市场价值预评估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受贵公司委托，我公司对北京市房地产市场价值进行了预评估。</v>
      </c>
    </row>
    <row r="7" spans="1:2" s="1201" customFormat="1">
      <c r="A7" s="1199" t="s">
        <v>566</v>
      </c>
      <c r="B7" s="1200" t="str">
        <f>'预评函-1'!A7</f>
        <v>估价对象为北京市房地产，为所有。根据《国有土地使用证》[]，估价对象（分摊）出让国有建设用地使用权面积为0平方米，建筑面积为892.35平方米。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估价对象为北京市房地产,属开发建设的办公项目，该项目尚在开发建设中。根据《国有土地使用证》[]，估价对象（分摊）出让国有建设用地使用权面积为0平方米，规划建筑面积为892.35平方米。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2024年7月8日（评估专业人员实地查勘之日）</v>
      </c>
    </row>
    <row r="13" spans="1:2" s="1201" customFormat="1">
      <c r="A13" s="1199" t="s">
        <v>529</v>
      </c>
      <c r="B13" s="1200" t="str">
        <f>'预评函-1'!A18</f>
        <v>本次估价的“房地产价值”是指在正常市场情况下，在价值时点2024年7月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v>
      </c>
    </row>
    <row r="16" spans="1:2" s="1201" customFormat="1">
      <c r="A16" s="1199" t="s">
        <v>532</v>
      </c>
      <c r="B16" s="1200" t="str">
        <f>'预评函-1'!A21</f>
        <v>——</v>
      </c>
    </row>
    <row r="17" spans="1:2" s="1201" customFormat="1">
      <c r="A17" s="1199" t="s">
        <v>533</v>
      </c>
      <c r="B17" s="1200" t="str">
        <f>'预评函-1'!A22</f>
        <v>——</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1" customFormat="1">
      <c r="A20" s="1199" t="s">
        <v>536</v>
      </c>
      <c r="B20" s="1200">
        <f ca="1">'预评函-2'!D5</f>
        <v>2717</v>
      </c>
    </row>
    <row r="21" spans="1:2" s="1201" customFormat="1">
      <c r="A21" s="1199" t="s">
        <v>537</v>
      </c>
      <c r="B21" s="1200">
        <f ca="1">'预评函-2'!D7</f>
        <v>30450</v>
      </c>
    </row>
    <row r="22" spans="1:2" s="1201" customFormat="1">
      <c r="A22" s="1199" t="s">
        <v>538</v>
      </c>
      <c r="B22" s="1200" t="str">
        <f ca="1">'预评函-2'!D6</f>
        <v>贰仟柒佰壹拾柒万元整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2717</v>
      </c>
    </row>
    <row r="31" spans="1:2" s="1201" customFormat="1">
      <c r="A31" s="1199" t="s">
        <v>576</v>
      </c>
      <c r="B31" s="1200">
        <f ca="1">'预评函-2'!D15</f>
        <v>30450</v>
      </c>
    </row>
    <row r="32" spans="1:2" s="1201" customFormat="1">
      <c r="A32" s="1199" t="s">
        <v>543</v>
      </c>
      <c r="B32" s="1200" t="str">
        <f ca="1">'预评函-2'!D14</f>
        <v>贰仟柒佰壹拾柒万元整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892.35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2013</v>
      </c>
    </row>
    <row r="48" spans="1:2" s="1201" customFormat="1">
      <c r="A48" s="1199" t="s">
        <v>549</v>
      </c>
      <c r="B48" s="1200">
        <f ca="1">'预评函-3'!E4</f>
        <v>22563</v>
      </c>
    </row>
    <row r="49" spans="1:2" s="1201" customFormat="1">
      <c r="A49" s="1199" t="s">
        <v>550</v>
      </c>
      <c r="B49" s="1200" t="str">
        <f ca="1">'预评函-3'!D5</f>
        <v>贰仟零壹拾叁万元整</v>
      </c>
    </row>
    <row r="50" spans="1:2" s="1201" customFormat="1">
      <c r="A50" s="1199" t="s">
        <v>574</v>
      </c>
      <c r="B50" s="1200" t="str">
        <f>'预评函-3'!F2</f>
        <v>在建建筑物价值</v>
      </c>
    </row>
    <row r="51" spans="1:2" s="1201" customFormat="1">
      <c r="A51" s="1199" t="s">
        <v>551</v>
      </c>
      <c r="B51" s="1200">
        <f ca="1">'预评函-3'!F4</f>
        <v>704</v>
      </c>
    </row>
    <row r="52" spans="1:2" s="1201" customFormat="1">
      <c r="A52" s="1199" t="s">
        <v>552</v>
      </c>
      <c r="B52" s="1200">
        <f ca="1">'预评函-3'!G4</f>
        <v>7887</v>
      </c>
    </row>
    <row r="53" spans="1:2" s="1201" customFormat="1">
      <c r="A53" s="1199" t="s">
        <v>580</v>
      </c>
      <c r="B53" s="1200" t="str">
        <f ca="1">'预评函-3'!F5</f>
        <v>柒佰零肆万元整</v>
      </c>
    </row>
    <row r="54" spans="1:2" s="1201" customFormat="1">
      <c r="A54" s="1199" t="s">
        <v>598</v>
      </c>
      <c r="B54" s="1200" t="str">
        <f>'预评函-3'!A8</f>
        <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9"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2" t="s">
        <v>385</v>
      </c>
      <c r="C54" s="1549" t="s">
        <v>583</v>
      </c>
    </row>
    <row r="55" spans="1:4">
      <c r="A55" s="3499"/>
      <c r="B55" s="1552" t="s">
        <v>386</v>
      </c>
      <c r="C55" s="1549" t="s">
        <v>584</v>
      </c>
    </row>
    <row r="56" spans="1:4">
      <c r="A56" s="3499"/>
      <c r="B56" s="1552" t="s">
        <v>387</v>
      </c>
      <c r="C56" s="1549" t="s">
        <v>588</v>
      </c>
    </row>
    <row r="57" spans="1:4">
      <c r="A57" s="3499"/>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500" t="s">
        <v>2583</v>
      </c>
      <c r="J2" s="3500"/>
      <c r="K2" s="3500"/>
      <c r="L2" s="3500"/>
      <c r="M2" s="3500"/>
      <c r="N2" s="3500"/>
      <c r="O2" s="3500"/>
      <c r="P2" s="3500"/>
      <c r="Q2" s="3500"/>
      <c r="R2" s="3500"/>
    </row>
    <row r="3" spans="1:18">
      <c r="A3" s="3018" t="s">
        <v>2504</v>
      </c>
      <c r="B3" s="3019">
        <f>项目基本情况!D3</f>
        <v>45481</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2.44</v>
      </c>
      <c r="D5" s="3023">
        <f>IF(ISERROR(ROUND(POWER(1+E5,A5-C5)*(POWER(1+E5,C5)-1)/(POWER(1+E5,A5)-1),3)),0,ROUND(POWER(1+E5,A5-C5)*(POWER(1+E5,C5)-1)/(POWER(1+E5,A5)-1),4))</f>
        <v>0.1153</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12.45</v>
      </c>
      <c r="D6" s="3023">
        <f>IF(ISERROR(ROUND(POWER(1+E6,A6-C6)*(POWER(1+E6,C6)-1)/(POWER(1+E6,A6)-1),3)),0,ROUND(POWER(1+E6,A6-C6)*(POWER(1+E6,C6)-1)/(POWER(1+E6,A6)-1),4))</f>
        <v>0.4496</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32.47</v>
      </c>
      <c r="D7" s="3023">
        <f>IF(ISERROR(ROUND(POWER(1+E7,A7-C7)*(POWER(1+E7,C7)-1)/(POWER(1+E7,A7)-1),3)),0,ROUND(POWER(1+E7,A7-C7)*(POWER(1+E7,C7)-1)/(POWER(1+E7,A7)-1),4))</f>
        <v>0.76959999999999995</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H22" sqref="H22"/>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9" t="str">
        <f>IF(B10="北京市","北京市",C10)&amp;F10&amp;IF(结果表!G1="在建","出让国有建设用地使用权及在建建筑物",IF(结果表!G1="土地","出让国有建设用地使用权",))&amp;B9&amp;"预评估"</f>
        <v>北京市房地产市场价值预评估</v>
      </c>
      <c r="C1" s="3510"/>
      <c r="D1" s="3510"/>
      <c r="E1" s="3510"/>
      <c r="F1" s="3510"/>
      <c r="G1" s="3510"/>
      <c r="H1" s="3510"/>
      <c r="I1" s="3511"/>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北京市房地产市场价值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2" t="s">
        <v>2169</v>
      </c>
      <c r="B3" s="2371">
        <v>45481</v>
      </c>
      <c r="C3" s="2372" t="s">
        <v>2170</v>
      </c>
      <c r="D3" s="2371">
        <f>B3</f>
        <v>45481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3383</v>
      </c>
      <c r="C8" s="2388"/>
      <c r="D8" s="3512" t="s">
        <v>2176</v>
      </c>
      <c r="E8" s="2389"/>
      <c r="F8" s="2390"/>
      <c r="G8" s="2661"/>
      <c r="H8" s="2661"/>
      <c r="I8" s="2661"/>
      <c r="J8" s="2437"/>
      <c r="K8" s="2612"/>
      <c r="L8" s="2611"/>
      <c r="M8" s="2611"/>
      <c r="N8" s="2437"/>
      <c r="O8" s="2448"/>
      <c r="P8" s="2437"/>
      <c r="Q8" s="2437"/>
      <c r="R8" s="2437"/>
    </row>
    <row r="9" spans="1:30" ht="13.5" thickBot="1">
      <c r="A9" s="2391" t="s">
        <v>2177</v>
      </c>
      <c r="B9" s="2392" t="s">
        <v>3384</v>
      </c>
      <c r="C9" s="2393"/>
      <c r="D9" s="3513"/>
      <c r="E9" s="2392"/>
      <c r="F9" s="2394"/>
      <c r="G9" s="2663"/>
      <c r="H9" s="2663"/>
      <c r="I9" s="2663"/>
      <c r="J9" s="2437"/>
      <c r="K9" s="2614"/>
      <c r="L9" s="2611"/>
      <c r="M9" s="2611"/>
      <c r="N9" s="2437"/>
      <c r="O9" s="2448"/>
      <c r="P9" s="2437"/>
      <c r="Q9" s="2437"/>
      <c r="R9" s="2437"/>
    </row>
    <row r="10" spans="1:30" ht="13.5" thickTop="1">
      <c r="A10" s="2395" t="s">
        <v>2178</v>
      </c>
      <c r="B10" s="2396" t="s">
        <v>3385</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3386</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c r="E13" s="854">
        <v>54236</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23.98</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9"/>
      <c r="C16" s="3520"/>
      <c r="D16" s="3521"/>
      <c r="E16" s="2411" t="s">
        <v>2193</v>
      </c>
      <c r="F16" s="3522"/>
      <c r="G16" s="3523"/>
      <c r="H16" s="3523"/>
      <c r="I16" s="3524"/>
      <c r="J16" s="2437"/>
      <c r="K16" s="2615"/>
      <c r="L16" s="2449"/>
      <c r="M16" s="2449"/>
      <c r="N16" s="2507"/>
      <c r="O16" s="2449"/>
      <c r="P16" s="2507"/>
      <c r="Q16" s="2437"/>
      <c r="R16" s="2437"/>
    </row>
    <row r="17" spans="1:28">
      <c r="A17" s="313" t="s">
        <v>2194</v>
      </c>
      <c r="B17" s="302" t="s">
        <v>2195</v>
      </c>
      <c r="C17" s="8">
        <f>'数据-汇总表'!E3</f>
        <v>892.35</v>
      </c>
      <c r="D17" s="2320" t="s">
        <v>2196</v>
      </c>
      <c r="E17" s="3525" t="s">
        <v>2197</v>
      </c>
      <c r="F17" s="3526"/>
      <c r="G17" s="3526"/>
      <c r="H17" s="3526"/>
      <c r="I17" s="3527"/>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8" t="s">
        <v>2201</v>
      </c>
      <c r="F18" s="3529"/>
      <c r="G18" s="3529"/>
      <c r="H18" s="3529"/>
      <c r="I18" s="3530"/>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15" t="s">
        <v>2205</v>
      </c>
      <c r="C20" s="3516"/>
      <c r="D20" s="3517" t="s">
        <v>2206</v>
      </c>
      <c r="E20" s="3518"/>
      <c r="F20" s="2645" t="s">
        <v>1056</v>
      </c>
      <c r="G20" s="2662"/>
      <c r="H20" s="2662"/>
      <c r="I20" s="2662"/>
      <c r="J20" s="2437"/>
      <c r="K20" s="3514"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14"/>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14"/>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02" t="s">
        <v>2213</v>
      </c>
      <c r="B27" s="320" t="s">
        <v>2214</v>
      </c>
      <c r="C27" s="2414" t="s">
        <v>3387</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02"/>
      <c r="B28" s="302" t="s">
        <v>2215</v>
      </c>
      <c r="C28" s="2416" t="s">
        <v>3388</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02"/>
      <c r="B29" s="302" t="s">
        <v>2216</v>
      </c>
      <c r="C29" s="2418" t="s">
        <v>3389</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03"/>
      <c r="B30" s="302" t="s">
        <v>2217</v>
      </c>
      <c r="C30" s="3504"/>
      <c r="D30" s="3505"/>
      <c r="E30" s="2662"/>
      <c r="F30" s="2662"/>
      <c r="G30" s="2662"/>
      <c r="H30" s="2662"/>
      <c r="I30" s="2662"/>
      <c r="J30" s="2437"/>
      <c r="K30" s="2614"/>
      <c r="L30" s="2611"/>
      <c r="M30" s="2611"/>
      <c r="N30" s="2437"/>
      <c r="O30" s="2448"/>
      <c r="P30" s="2437"/>
      <c r="Q30" s="2437"/>
      <c r="R30" s="2437"/>
      <c r="S30" s="2437"/>
      <c r="T30" s="2437"/>
      <c r="U30" s="2437"/>
      <c r="V30" s="2437"/>
    </row>
    <row r="31" spans="1:28">
      <c r="A31" s="3506" t="s">
        <v>2218</v>
      </c>
      <c r="B31" s="2420" t="s">
        <v>3390</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7"/>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7"/>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01" t="s">
        <v>2227</v>
      </c>
      <c r="T34" s="2426" t="str">
        <f>NUMBERSTRING(7-K34,1)&amp;"通"</f>
        <v>七通</v>
      </c>
      <c r="U34" s="2437"/>
      <c r="V34" s="2437"/>
    </row>
    <row r="35" spans="1:30">
      <c r="A35" s="2427"/>
      <c r="B35" s="3508" t="s">
        <v>2228</v>
      </c>
      <c r="C35" s="3508"/>
      <c r="D35" s="3508"/>
      <c r="E35" s="3508"/>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1"/>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8" sqref="M2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892.35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892.35</v>
      </c>
      <c r="H5" s="13">
        <f t="shared" ref="H5:AT5" si="0">SUM(H13:H656)</f>
        <v>892.35</v>
      </c>
      <c r="I5" s="13">
        <f t="shared" si="0"/>
        <v>892.35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892.35</v>
      </c>
      <c r="BA5" s="15">
        <f t="shared" si="1"/>
        <v>892.35</v>
      </c>
      <c r="BB5" s="15">
        <f t="shared" si="1"/>
        <v>892.35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21</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办公</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3391</v>
      </c>
      <c r="E13" s="13">
        <f>IF($C$3="是",ROUND($A$3*G13/$B$3,2),ROUND($A$3*(G13-AT13)/$B$3,2))</f>
        <v>0</v>
      </c>
      <c r="F13" s="29"/>
      <c r="G13" s="30">
        <f>H13+AC13+AT13</f>
        <v>892.35</v>
      </c>
      <c r="H13" s="17">
        <f>SUMIF(I$12:AB$12,"总值",I13:AB13)</f>
        <v>892.35</v>
      </c>
      <c r="I13" s="1624">
        <v>892.35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892.35</v>
      </c>
      <c r="BA13" s="13">
        <f>SUM(BB13:BK13)</f>
        <v>892.35</v>
      </c>
      <c r="BB13" s="13">
        <f>IF($D13="是",I13-J13,0)</f>
        <v>892.35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47" sqref="K47"/>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0" t="s">
        <v>1131</v>
      </c>
      <c r="B2" s="3540"/>
      <c r="C2" s="3540"/>
      <c r="D2" s="794" t="s">
        <v>1107</v>
      </c>
      <c r="E2" s="1637" t="s">
        <v>1108</v>
      </c>
      <c r="F2" s="2657"/>
      <c r="G2" s="2648"/>
      <c r="H2" s="2649"/>
      <c r="I2" s="2323" t="s">
        <v>1132</v>
      </c>
      <c r="J2" s="2657"/>
      <c r="K2" s="2657"/>
      <c r="L2" s="2657"/>
      <c r="M2" s="2657"/>
      <c r="N2" s="2659"/>
      <c r="O2" s="2657"/>
      <c r="P2" s="2657"/>
    </row>
    <row r="3" spans="1:16" ht="15.75" thickBot="1">
      <c r="A3" s="3541" t="s">
        <v>1105</v>
      </c>
      <c r="B3" s="3541"/>
      <c r="C3" s="3541"/>
      <c r="D3" s="43">
        <f>'数据-基础表'!AY6</f>
        <v>0</v>
      </c>
      <c r="E3" s="43">
        <f>'数据-基础表'!AZ5</f>
        <v>892.35</v>
      </c>
      <c r="F3" s="2657"/>
      <c r="G3" s="1143"/>
      <c r="H3" s="1024" t="s">
        <v>1106</v>
      </c>
      <c r="I3" s="853" t="e">
        <f>ROUND('数据-基础表'!B3/'数据-基础表'!A3,2)</f>
        <v>#DIV/0!</v>
      </c>
      <c r="J3" s="2657"/>
      <c r="K3" s="2657"/>
      <c r="L3" s="2657"/>
      <c r="M3" s="2657"/>
      <c r="N3" s="2659"/>
      <c r="O3" s="2657"/>
      <c r="P3" s="2657"/>
    </row>
    <row r="4" spans="1:16" ht="15">
      <c r="A4" s="3542"/>
      <c r="B4" s="3543"/>
      <c r="C4" s="3544"/>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5" t="s">
        <v>1110</v>
      </c>
      <c r="C5" s="3545"/>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5" t="s">
        <v>1111</v>
      </c>
      <c r="C6" s="3545"/>
      <c r="D6" s="45">
        <f>ROUND($D$3*E6/$E$3,2)</f>
        <v>0</v>
      </c>
      <c r="E6" s="46">
        <f>E3-E5</f>
        <v>892.35</v>
      </c>
      <c r="F6" s="2657"/>
      <c r="G6" s="2651" t="s">
        <v>1112</v>
      </c>
      <c r="H6" s="1144" t="s">
        <v>1113</v>
      </c>
      <c r="I6" s="2652" t="e">
        <f>ROUND(F31/D31,2)</f>
        <v>#DIV/0!</v>
      </c>
      <c r="J6" s="2657"/>
      <c r="K6" s="2657"/>
      <c r="L6" s="2657"/>
      <c r="M6" s="2657"/>
      <c r="N6" s="2657"/>
      <c r="O6" s="2657"/>
      <c r="P6" s="2657"/>
    </row>
    <row r="7" spans="1:16" ht="15.75" thickBot="1">
      <c r="A7" s="3537"/>
      <c r="B7" s="3538"/>
      <c r="C7" s="3539"/>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892.35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892.35</v>
      </c>
      <c r="F16" s="2657"/>
      <c r="G16" s="2658"/>
      <c r="H16" s="1646" t="s">
        <v>1135</v>
      </c>
      <c r="I16" s="1647"/>
      <c r="J16" s="1137"/>
      <c r="K16" s="3534" t="s">
        <v>1135</v>
      </c>
      <c r="L16" s="3535"/>
      <c r="M16" s="3535"/>
      <c r="N16" s="3535"/>
      <c r="O16" s="3535"/>
      <c r="P16" s="3536"/>
    </row>
    <row r="17" spans="1:19" ht="15">
      <c r="A17" s="1648" t="s">
        <v>1136</v>
      </c>
      <c r="B17" s="1649" t="s">
        <v>1137</v>
      </c>
      <c r="C17" s="1650" t="s">
        <v>1138</v>
      </c>
      <c r="D17" s="1651" t="s">
        <v>1126</v>
      </c>
      <c r="E17" s="1652" t="s">
        <v>1127</v>
      </c>
      <c r="F17" s="1653"/>
      <c r="G17" s="1654"/>
      <c r="H17" s="1655" t="s">
        <v>1139</v>
      </c>
      <c r="I17" s="1656" t="s">
        <v>1124</v>
      </c>
      <c r="J17" s="1137"/>
      <c r="K17" s="3531" t="s">
        <v>1140</v>
      </c>
      <c r="L17" s="3532"/>
      <c r="M17" s="3533"/>
      <c r="N17" s="3531" t="s">
        <v>1141</v>
      </c>
      <c r="O17" s="3532"/>
      <c r="P17" s="3533"/>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3393</v>
      </c>
      <c r="D19" s="45">
        <f>ROUND($D$3*E19/$E$3,2)</f>
        <v>0</v>
      </c>
      <c r="E19" s="53">
        <f t="shared" ref="E19:E26" si="1">SUM(F19:G19)</f>
        <v>892.35</v>
      </c>
      <c r="F19" s="2793">
        <v>892.35</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892.35</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892.35</v>
      </c>
      <c r="F27" s="1138">
        <f>IF(SUM(F19:F26)=E8,SUM(F19:F26),"地上面积有误")</f>
        <v>892.35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892.35</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892.35</v>
      </c>
      <c r="F31" s="675">
        <f>F27+F30</f>
        <v>892.35</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T18" activePane="bottomRight" state="frozen"/>
      <selection activeCell="C50" sqref="C50"/>
      <selection pane="topRight" activeCell="C50" sqref="C50"/>
      <selection pane="bottomLeft" activeCell="C50" sqref="C50"/>
      <selection pane="bottomRight" activeCell="AE33" sqref="AE33"/>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45481</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54236</v>
      </c>
      <c r="F6" s="64">
        <f>SUMIF(项目基本情况!C$12:I$12,C6,项目基本情况!C$15:I$15)</f>
        <v>23.98</v>
      </c>
      <c r="G6" s="65">
        <f>IF(ISERROR(ROUND(POWER(1+H6,D6-F6)*(POWER(1+H6,F6)-1)/(POWER(1+H6,D6)-1),3)),0,ROUND(POWER(1+H6,D6-F6)*(POWER(1+H6,F6)-1)/(POWER(1+H6,D6)-1),3))</f>
        <v>0.75600000000000001</v>
      </c>
      <c r="H6" s="730">
        <v>0.05</v>
      </c>
      <c r="I6" s="730">
        <v>5.5E-2</v>
      </c>
      <c r="J6" s="66">
        <v>7.0000000000000007E-2</v>
      </c>
      <c r="K6" s="1028">
        <f>SUMIF('数据-汇总表'!C$19:C$33,A6,'数据-汇总表'!E$19:E$33)</f>
        <v>892.35</v>
      </c>
      <c r="L6" s="731">
        <v>4500</v>
      </c>
      <c r="M6" s="67">
        <f t="shared" ref="M6:M14" si="0">ROUND(K6*L6/10000,0)</f>
        <v>402</v>
      </c>
      <c r="N6" s="729">
        <f>N20</f>
        <v>0.76</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v>
      </c>
      <c r="V6" s="70">
        <v>2.5000000000000001E-2</v>
      </c>
      <c r="W6" s="70">
        <v>0.1</v>
      </c>
      <c r="X6" s="1038"/>
      <c r="Y6" s="71">
        <f>N6</f>
        <v>0.76</v>
      </c>
      <c r="Z6" s="72"/>
      <c r="AA6" s="66"/>
      <c r="AB6" s="66"/>
      <c r="AC6" s="1038"/>
      <c r="AD6" s="73"/>
      <c r="AE6" s="1039">
        <f ca="1">IF(AN6="",0,SUMIF(INDIRECT("'"&amp;AN6&amp;"'"&amp;"!E:E"),$AE$5,INDIRECT("'"&amp;AN6&amp;"'"&amp;"!F:F")))</f>
        <v>23.98</v>
      </c>
      <c r="AF6" s="1346"/>
      <c r="AG6" s="138">
        <f>IF(AF6="",0,AE6-AF6)</f>
        <v>0</v>
      </c>
      <c r="AH6" s="74"/>
      <c r="AI6" s="76">
        <v>365</v>
      </c>
      <c r="AJ6" s="77"/>
      <c r="AK6" s="78">
        <v>5.0000000000000001E-3</v>
      </c>
      <c r="AL6" s="79">
        <v>1E-3</v>
      </c>
      <c r="AM6" s="80">
        <v>5.0000000000000001E-3</v>
      </c>
      <c r="AN6" s="1713" t="s">
        <v>3395</v>
      </c>
      <c r="AO6" s="52">
        <f ca="1">SUMIF(INDIRECT("'"&amp;AN6&amp;"'"&amp;"!A:A"),"总价",INDIRECT("'"&amp;AN6&amp;"'"&amp;"!B:B"))</f>
        <v>2006.8689999999999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0.75600000000000001</v>
      </c>
      <c r="H16" s="90">
        <f>ROUND(SUMPRODUCT(H6:H13,K6:K13)/SUMPRODUCT((H6:H13&gt;0)*(K6:K13)),3)</f>
        <v>0.05</v>
      </c>
      <c r="I16" s="91"/>
      <c r="J16" s="91"/>
      <c r="K16" s="92">
        <f>SUM(K6:K15)</f>
        <v>892.35</v>
      </c>
      <c r="L16" s="93">
        <f>ROUND(M16*10000/SUM(K6:K14),0)</f>
        <v>4505</v>
      </c>
      <c r="M16" s="93">
        <f>SUM(M6:M14)</f>
        <v>402</v>
      </c>
      <c r="N16" s="94">
        <f>ROUND(SUMPRODUCT(M6:M14,N6:N14)/M16,3)</f>
        <v>0.76</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0.67</v>
      </c>
      <c r="O18" s="2669">
        <v>0.5</v>
      </c>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v>0.85</v>
      </c>
      <c r="O19" s="2669">
        <f>1-O18</f>
        <v>0.5</v>
      </c>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f>ROUND(N18*O18+N19*O19,2)</f>
        <v>0.76</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178470</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6" t="s">
        <v>2285</v>
      </c>
      <c r="B1" s="3547"/>
      <c r="C1" s="3547"/>
      <c r="D1" s="3547"/>
      <c r="E1" s="3547"/>
      <c r="F1" s="3547"/>
      <c r="G1" s="3547"/>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37" sqref="I3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892.35</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45481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2705</v>
      </c>
      <c r="C5" s="2510">
        <f ca="1">IF(B5=D14,结果表!H102,ROUND(B5*10000/$B$1,0))</f>
        <v>30450</v>
      </c>
      <c r="D5" s="2510" t="e">
        <f ca="1">ROUND(B5*10000/$B$2,0)</f>
        <v>#DIV/0!</v>
      </c>
      <c r="E5" s="2684"/>
      <c r="F5" s="2685"/>
      <c r="G5" s="2685"/>
      <c r="H5" s="2686"/>
      <c r="I5" s="2686"/>
      <c r="J5" s="2686"/>
      <c r="K5" s="2686"/>
    </row>
    <row r="6" spans="1:11" ht="16.5">
      <c r="A6" s="2510" t="s">
        <v>656</v>
      </c>
      <c r="B6" s="2510">
        <f ca="1">SUM(G14:G23)</f>
        <v>2705</v>
      </c>
      <c r="C6" s="2510">
        <f ca="1">IF(B6=G14,结果表!H108,ROUND(B6*10000/$B$1,0))</f>
        <v>30450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892.35</v>
      </c>
      <c r="C14" s="2516"/>
      <c r="D14" s="2516">
        <f ca="1">典型户型修正!S22</f>
        <v>2705</v>
      </c>
      <c r="E14" s="2516">
        <f ca="1">ROUND(D14*10000/B14,0)</f>
        <v>30313</v>
      </c>
      <c r="F14" s="2516" t="e">
        <f ca="1">ROUND(D14*10000/C14,0)</f>
        <v>#DIV/0!</v>
      </c>
      <c r="G14" s="2516">
        <f ca="1">D14</f>
        <v>2705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82" t="str">
        <f>项目基本情况!S2</f>
        <v>北京市房地产</v>
      </c>
      <c r="B2" s="3583"/>
      <c r="C2" s="3583"/>
      <c r="D2" s="3583"/>
      <c r="E2" s="3583"/>
      <c r="F2" s="3583"/>
      <c r="G2" s="3583"/>
      <c r="H2" s="3583"/>
      <c r="I2" s="3584"/>
    </row>
    <row r="3" spans="1:12" ht="12.75">
      <c r="A3" s="3586" t="s">
        <v>1264</v>
      </c>
      <c r="B3" s="3587"/>
      <c r="C3" s="3587"/>
      <c r="D3" s="3587"/>
      <c r="E3" s="3587"/>
      <c r="F3" s="3587"/>
      <c r="G3" s="3587"/>
      <c r="H3" s="3587"/>
      <c r="I3" s="3587"/>
    </row>
    <row r="4" spans="1:12" ht="14.25">
      <c r="A4" s="1752" t="s">
        <v>1265</v>
      </c>
      <c r="B4" s="1753" t="s">
        <v>1266</v>
      </c>
      <c r="C4" s="1754" t="s">
        <v>3434</v>
      </c>
      <c r="D4" s="1754" t="s">
        <v>3395</v>
      </c>
      <c r="E4" s="3588" t="s">
        <v>1267</v>
      </c>
      <c r="F4" s="3589"/>
      <c r="G4" s="3589"/>
      <c r="H4" s="3589"/>
      <c r="I4" s="359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2" t="s">
        <v>1268</v>
      </c>
      <c r="B5" s="3549">
        <v>25</v>
      </c>
      <c r="C5" s="3565"/>
      <c r="D5" s="3585"/>
      <c r="E5" s="131" t="s">
        <v>1269</v>
      </c>
      <c r="F5" s="1755"/>
      <c r="G5" s="1755"/>
      <c r="H5" s="1755"/>
      <c r="I5" s="1371"/>
    </row>
    <row r="6" spans="1:12" ht="12.75">
      <c r="A6" s="3562"/>
      <c r="B6" s="3549"/>
      <c r="C6" s="3566"/>
      <c r="D6" s="3585"/>
      <c r="E6" s="131" t="s">
        <v>1270</v>
      </c>
      <c r="F6" s="1755"/>
      <c r="G6" s="1755"/>
      <c r="H6" s="1755"/>
      <c r="I6" s="1371"/>
    </row>
    <row r="7" spans="1:12" ht="12.75">
      <c r="A7" s="3562"/>
      <c r="B7" s="3549"/>
      <c r="C7" s="3567"/>
      <c r="D7" s="3585"/>
      <c r="E7" s="131" t="s">
        <v>1271</v>
      </c>
      <c r="F7" s="1755"/>
      <c r="G7" s="1755"/>
      <c r="H7" s="1755"/>
      <c r="I7" s="1371"/>
    </row>
    <row r="8" spans="1:12" ht="12.75">
      <c r="A8" s="3562" t="s">
        <v>1272</v>
      </c>
      <c r="B8" s="3549">
        <v>15</v>
      </c>
      <c r="C8" s="3565"/>
      <c r="D8" s="3585"/>
      <c r="E8" s="131" t="s">
        <v>1273</v>
      </c>
      <c r="F8" s="1755"/>
      <c r="G8" s="1755"/>
      <c r="H8" s="1755"/>
      <c r="I8" s="1371"/>
    </row>
    <row r="9" spans="1:12" ht="12.75">
      <c r="A9" s="3562"/>
      <c r="B9" s="3549"/>
      <c r="C9" s="3567"/>
      <c r="D9" s="3585"/>
      <c r="E9" s="131" t="s">
        <v>1274</v>
      </c>
      <c r="F9" s="1755"/>
      <c r="G9" s="1755"/>
      <c r="H9" s="1755"/>
      <c r="I9" s="1371"/>
    </row>
    <row r="10" spans="1:12" ht="12.75">
      <c r="A10" s="3562" t="s">
        <v>1275</v>
      </c>
      <c r="B10" s="3549">
        <v>15</v>
      </c>
      <c r="C10" s="3565"/>
      <c r="D10" s="3585"/>
      <c r="E10" s="131" t="s">
        <v>1276</v>
      </c>
      <c r="F10" s="1755"/>
      <c r="G10" s="1755"/>
      <c r="H10" s="1755"/>
      <c r="I10" s="1371"/>
    </row>
    <row r="11" spans="1:12" ht="12.75">
      <c r="A11" s="3562"/>
      <c r="B11" s="3549"/>
      <c r="C11" s="3567"/>
      <c r="D11" s="3585"/>
      <c r="E11" s="131" t="s">
        <v>1277</v>
      </c>
      <c r="F11" s="1755"/>
      <c r="G11" s="1755"/>
      <c r="H11" s="1755"/>
      <c r="I11" s="1371"/>
    </row>
    <row r="12" spans="1:12" ht="12.75">
      <c r="A12" s="3562" t="s">
        <v>1278</v>
      </c>
      <c r="B12" s="3549">
        <v>15</v>
      </c>
      <c r="C12" s="3565"/>
      <c r="D12" s="3585"/>
      <c r="E12" s="131" t="s">
        <v>1279</v>
      </c>
      <c r="F12" s="1755"/>
      <c r="G12" s="1755"/>
      <c r="H12" s="1755"/>
      <c r="I12" s="1371"/>
    </row>
    <row r="13" spans="1:12" ht="12.75">
      <c r="A13" s="3562"/>
      <c r="B13" s="3549"/>
      <c r="C13" s="3567"/>
      <c r="D13" s="3585"/>
      <c r="E13" s="131" t="s">
        <v>1280</v>
      </c>
      <c r="F13" s="1755"/>
      <c r="G13" s="1755"/>
      <c r="H13" s="1755"/>
      <c r="I13" s="1371"/>
    </row>
    <row r="14" spans="1:12" ht="12.75">
      <c r="A14" s="3562" t="s">
        <v>1281</v>
      </c>
      <c r="B14" s="3549">
        <v>30</v>
      </c>
      <c r="C14" s="3565">
        <v>7</v>
      </c>
      <c r="D14" s="3585">
        <v>3</v>
      </c>
      <c r="E14" s="131" t="s">
        <v>1282</v>
      </c>
      <c r="F14" s="1755"/>
      <c r="G14" s="1755"/>
      <c r="H14" s="1755"/>
      <c r="I14" s="1371"/>
    </row>
    <row r="15" spans="1:12" ht="12.75">
      <c r="A15" s="3562"/>
      <c r="B15" s="3549"/>
      <c r="C15" s="3566"/>
      <c r="D15" s="3585"/>
      <c r="E15" s="131" t="s">
        <v>1283</v>
      </c>
      <c r="F15" s="1755"/>
      <c r="G15" s="1755"/>
      <c r="H15" s="1755"/>
      <c r="I15" s="1371"/>
    </row>
    <row r="16" spans="1:12" ht="12.75">
      <c r="A16" s="3562"/>
      <c r="B16" s="3549"/>
      <c r="C16" s="3567"/>
      <c r="D16" s="3585"/>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72" t="s">
        <v>2130</v>
      </c>
      <c r="F18" s="3573"/>
      <c r="G18" s="3573"/>
      <c r="H18" s="3573"/>
      <c r="I18" s="3573"/>
      <c r="K18" s="302" t="s">
        <v>1289</v>
      </c>
      <c r="L18" s="302">
        <f>IF(C1="",'数据-汇总表'!E3,SUMIF(项目类型,C1,'数据-汇总表'!E17:E26)+SUMIF(项目类型,C1,'数据-汇总表'!I17:I26))</f>
        <v>892.35</v>
      </c>
      <c r="M18" s="302">
        <f>IF(C1="",'数据-汇总表'!E3,SUMIF(项目类型,C1,'数据-汇总表'!E17:E26))</f>
        <v>892.35</v>
      </c>
    </row>
    <row r="19" spans="1:36" ht="15">
      <c r="A19" s="1759" t="s">
        <v>1290</v>
      </c>
      <c r="B19" s="1760" t="s">
        <v>1291</v>
      </c>
      <c r="C19" s="134">
        <f ca="1">SUMIF(INDIRECT("'"&amp;C4&amp;"'"&amp;"!A:A"),结果表!B19,INDIRECT("'"&amp;C4&amp;"'"&amp;"!B:B"))</f>
        <v>3021.6756</v>
      </c>
      <c r="D19" s="135">
        <f ca="1">SUMIF(INDIRECT("'"&amp;D4&amp;"'"&amp;"!A:A"),结果表!B19,INDIRECT("'"&amp;D4&amp;"'"&amp;"!B:B"))</f>
        <v>2006.8689999999999</v>
      </c>
      <c r="E19" s="1759" t="s">
        <v>1292</v>
      </c>
      <c r="F19" s="1760" t="s">
        <v>1291</v>
      </c>
      <c r="G19" s="136">
        <f ca="1">ROUND(C19*$C$18+D19*$D$18,0)</f>
        <v>2717</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33862</v>
      </c>
      <c r="D20" s="138">
        <f ca="1">SUMIF(INDIRECT("'"&amp;D4&amp;"'"&amp;"!A:A"),结果表!B20,INDIRECT("'"&amp;D4&amp;"'"&amp;"!B:B"))</f>
        <v>22490</v>
      </c>
      <c r="E20" s="1762"/>
      <c r="F20" s="1024" t="s">
        <v>1295</v>
      </c>
      <c r="G20" s="139">
        <f ca="1">ROUND(C20*$C$18+D20*$D$18,0)</f>
        <v>30450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0.50566658810315968</v>
      </c>
      <c r="E22" s="129"/>
      <c r="F22" s="129"/>
      <c r="G22" s="129"/>
      <c r="H22" s="129"/>
      <c r="I22" s="129"/>
    </row>
    <row r="23" spans="1:36" ht="13.5" thickBot="1">
      <c r="A23" s="1745"/>
      <c r="B23" s="1745"/>
      <c r="C23" s="1745"/>
      <c r="D23" s="1745"/>
      <c r="E23" s="129"/>
      <c r="F23" s="129"/>
      <c r="G23" s="129"/>
      <c r="H23" s="129"/>
      <c r="I23" s="129"/>
    </row>
    <row r="24" spans="1:36" ht="14.25">
      <c r="A24" s="3556" t="s">
        <v>1299</v>
      </c>
      <c r="B24" s="1760" t="s">
        <v>1291</v>
      </c>
      <c r="C24" s="136">
        <f>IF(B30=0,0,D30)</f>
        <v>0</v>
      </c>
      <c r="D24" s="1767"/>
      <c r="E24" s="129"/>
      <c r="F24" s="129"/>
      <c r="G24" s="129"/>
      <c r="H24" s="129"/>
      <c r="I24" s="129"/>
    </row>
    <row r="25" spans="1:36" ht="14.25">
      <c r="A25" s="355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30450</v>
      </c>
      <c r="D32" s="1773" t="s">
        <v>3435</v>
      </c>
      <c r="E32" s="129"/>
      <c r="F32" s="129"/>
      <c r="G32" s="129"/>
      <c r="H32" s="129"/>
      <c r="I32" s="129"/>
    </row>
    <row r="33" spans="1:15" ht="15">
      <c r="A33" s="784" t="s">
        <v>1306</v>
      </c>
      <c r="B33" s="1774"/>
      <c r="C33" s="1775" t="s">
        <v>3436</v>
      </c>
      <c r="D33" s="1776" t="s">
        <v>3395</v>
      </c>
      <c r="E33" s="1777" t="s">
        <v>1307</v>
      </c>
      <c r="F33" s="1778" t="str">
        <f>IF(D32="楼面单价","取值（单价）","取值（总价）")</f>
        <v>取值（单价）</v>
      </c>
      <c r="G33" s="129"/>
      <c r="H33" s="129"/>
      <c r="I33" s="129"/>
    </row>
    <row r="34" spans="1:15" ht="15">
      <c r="A34" s="1779"/>
      <c r="B34" s="1780" t="s">
        <v>1308</v>
      </c>
      <c r="C34" s="148">
        <f ca="1">IF(C33="自定义",F34,C32-C35)</f>
        <v>22563</v>
      </c>
      <c r="D34" s="859">
        <f ca="1">IF(C33="自定义",ROUND(C34/C32,3),IF(C33="收益比率",SUMIF(INDIRECT("'"&amp;D33&amp;"'"&amp;"!b:b"),"土地收益比率",INDIRECT("'"&amp;D33&amp;"'"&amp;"!c:c")),SUMIF(INDIRECT("'"&amp;D33&amp;"'"&amp;"!b:b"),"土地成本比率",INDIRECT("'"&amp;D33&amp;"'"&amp;"!c:c"))))</f>
        <v>0.74099999999999999</v>
      </c>
      <c r="E34" s="1781" t="s">
        <v>1309</v>
      </c>
      <c r="F34" s="1328"/>
      <c r="G34" s="129"/>
      <c r="H34" s="129"/>
      <c r="I34" s="129"/>
    </row>
    <row r="35" spans="1:15" ht="15.75" thickBot="1">
      <c r="A35" s="1782"/>
      <c r="B35" s="1783" t="s">
        <v>1310</v>
      </c>
      <c r="C35" s="1168">
        <f ca="1">IF(C33="自定义",F35,ROUND(C32*D35,0))</f>
        <v>7887</v>
      </c>
      <c r="D35" s="1169">
        <f ca="1">IF(C33="自定义",ROUND(C35/C32,3),IF(C33="收益比率",SUMIF(INDIRECT("'"&amp;D33&amp;"'"&amp;"!b:b"),"建筑物收益比率",INDIRECT("'"&amp;D33&amp;"'"&amp;"!c:c")),SUMIF(INDIRECT("'"&amp;D33&amp;"'"&amp;"!b:b"),"建筑物成本比率",INDIRECT("'"&amp;D33&amp;"'"&amp;"!c:c"))))</f>
        <v>0.25900000000000001</v>
      </c>
      <c r="E35" s="1784" t="s">
        <v>1311</v>
      </c>
      <c r="F35" s="154"/>
      <c r="G35" s="129"/>
      <c r="H35" s="129"/>
      <c r="I35" s="129"/>
    </row>
    <row r="36" spans="1:15" ht="15.75" thickBot="1">
      <c r="A36" s="3576" t="s">
        <v>1312</v>
      </c>
      <c r="B36" s="1785" t="s">
        <v>1313</v>
      </c>
      <c r="C36" s="145"/>
      <c r="D36" s="1786"/>
      <c r="E36" s="1787"/>
      <c r="F36" s="1788"/>
      <c r="G36" s="129"/>
      <c r="H36" s="129"/>
      <c r="I36" s="129"/>
    </row>
    <row r="37" spans="1:15" ht="15.75" thickBot="1">
      <c r="A37" s="3577"/>
      <c r="B37" s="1672" t="s">
        <v>1314</v>
      </c>
      <c r="C37" s="147"/>
      <c r="D37" s="1137"/>
      <c r="E37" s="1137"/>
      <c r="F37" s="1788"/>
      <c r="G37" s="129"/>
      <c r="H37" s="129"/>
      <c r="I37" s="129"/>
    </row>
    <row r="38" spans="1:15" ht="15.75" thickBot="1">
      <c r="A38" s="3578"/>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53" t="s">
        <v>1326</v>
      </c>
      <c r="B45" s="3554"/>
      <c r="C45" s="3555"/>
      <c r="D45" s="155">
        <f ca="1">ROUND(H101*F45,0)</f>
        <v>2717</v>
      </c>
      <c r="E45" s="156" t="s">
        <v>1327</v>
      </c>
      <c r="F45" s="157">
        <v>1</v>
      </c>
      <c r="G45" s="158" t="s">
        <v>1328</v>
      </c>
      <c r="H45" s="129"/>
      <c r="I45" s="129"/>
      <c r="J45" s="3631" t="s">
        <v>1329</v>
      </c>
      <c r="K45" s="3631"/>
      <c r="L45" s="3631"/>
      <c r="M45" s="3631"/>
      <c r="N45" s="3631"/>
      <c r="O45" s="3631"/>
    </row>
    <row r="46" spans="1:15" ht="14.25" customHeight="1">
      <c r="A46" s="3550" t="s">
        <v>1330</v>
      </c>
      <c r="B46" s="3551"/>
      <c r="C46" s="3551"/>
      <c r="D46" s="3551"/>
      <c r="E46" s="3551"/>
      <c r="F46" s="3551"/>
      <c r="G46" s="3552"/>
      <c r="H46" s="1804"/>
      <c r="I46" s="159"/>
      <c r="J46" s="2521">
        <v>1</v>
      </c>
      <c r="K46" s="3612" t="s">
        <v>1331</v>
      </c>
      <c r="L46" s="3612"/>
      <c r="M46" s="3632"/>
      <c r="N46" s="3632"/>
      <c r="O46" s="3632"/>
    </row>
    <row r="47" spans="1:15" ht="12" customHeight="1">
      <c r="A47" s="160" t="s">
        <v>1332</v>
      </c>
      <c r="B47" s="161"/>
      <c r="C47" s="162"/>
      <c r="D47" s="1085" t="s">
        <v>1333</v>
      </c>
      <c r="E47" s="302" t="s">
        <v>1334</v>
      </c>
      <c r="F47" s="163" t="s">
        <v>1335</v>
      </c>
      <c r="G47" s="2544" t="s">
        <v>1336</v>
      </c>
      <c r="H47" s="2545"/>
      <c r="I47" s="159"/>
      <c r="J47" s="2521">
        <v>2</v>
      </c>
      <c r="K47" s="3612" t="s">
        <v>1337</v>
      </c>
      <c r="L47" s="3612"/>
      <c r="M47" s="3633">
        <f>'数据-取费表'!B2</f>
        <v>45481</v>
      </c>
      <c r="N47" s="3633"/>
      <c r="O47" s="3633"/>
    </row>
    <row r="48" spans="1:15" ht="25.5">
      <c r="A48" s="3581" t="s">
        <v>1338</v>
      </c>
      <c r="B48" s="3564"/>
      <c r="C48" s="3564"/>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12" t="s">
        <v>1340</v>
      </c>
      <c r="L48" s="3612"/>
      <c r="M48" s="3634">
        <f ca="1">H101</f>
        <v>2717</v>
      </c>
      <c r="N48" s="3634"/>
      <c r="O48" s="3634"/>
    </row>
    <row r="49" spans="1:35" ht="25.5" customHeight="1">
      <c r="A49" s="2331" t="s">
        <v>1341</v>
      </c>
      <c r="B49" s="3548" t="s">
        <v>1342</v>
      </c>
      <c r="C49" s="3548"/>
      <c r="D49" s="1588">
        <v>0</v>
      </c>
      <c r="E49" s="324" t="s">
        <v>1343</v>
      </c>
      <c r="F49" s="2422" t="s">
        <v>28</v>
      </c>
      <c r="G49" s="3618"/>
      <c r="H49" s="2308" t="s">
        <v>2133</v>
      </c>
      <c r="I49" s="2309"/>
      <c r="J49" s="2521">
        <v>4</v>
      </c>
      <c r="K49" s="3612" t="str">
        <f>IF(项目基本情况!E8="房地产抵押价值","房地产抵押价值","抵押担保权已注销时的房地产抵押价值")</f>
        <v>抵押担保权已注销时的房地产抵押价值</v>
      </c>
      <c r="L49" s="3612"/>
      <c r="M49" s="3634" t="str">
        <f>IF(项目基本情况!E8="房地产抵押价值",H107,H109)</f>
        <v>——</v>
      </c>
      <c r="N49" s="3634"/>
      <c r="O49" s="3634"/>
    </row>
    <row r="50" spans="1:35" ht="25.5" customHeight="1">
      <c r="A50" s="2549"/>
      <c r="B50" s="3548" t="s">
        <v>1344</v>
      </c>
      <c r="C50" s="3548"/>
      <c r="D50" s="2550"/>
      <c r="E50" s="332"/>
      <c r="F50" s="2422"/>
      <c r="G50" s="3619"/>
      <c r="H50" s="2310" t="s">
        <v>2134</v>
      </c>
      <c r="I50" s="2309"/>
      <c r="J50" s="3631" t="s">
        <v>1345</v>
      </c>
      <c r="K50" s="3631"/>
      <c r="L50" s="3631"/>
      <c r="M50" s="3631"/>
      <c r="N50" s="3631"/>
      <c r="O50" s="3631"/>
    </row>
    <row r="51" spans="1:35" ht="20.45" customHeight="1">
      <c r="A51" s="2551"/>
      <c r="B51" s="3548" t="s">
        <v>1346</v>
      </c>
      <c r="C51" s="3548"/>
      <c r="D51" s="1085"/>
      <c r="E51" s="327"/>
      <c r="F51" s="2422"/>
      <c r="G51" s="3620"/>
      <c r="H51" s="2310" t="s">
        <v>2135</v>
      </c>
      <c r="I51" s="2309"/>
      <c r="J51" s="2522" t="s">
        <v>1347</v>
      </c>
      <c r="K51" s="3612" t="s">
        <v>1348</v>
      </c>
      <c r="L51" s="3612"/>
      <c r="M51" s="2522" t="s">
        <v>1349</v>
      </c>
      <c r="N51" s="2522" t="s">
        <v>1350</v>
      </c>
      <c r="O51" s="2522" t="s">
        <v>1351</v>
      </c>
    </row>
    <row r="52" spans="1:35" ht="24" customHeight="1">
      <c r="A52" s="2333" t="s">
        <v>1352</v>
      </c>
      <c r="B52" s="3548" t="s">
        <v>1353</v>
      </c>
      <c r="C52" s="3548"/>
      <c r="D52" s="1085">
        <f ca="1">ROUND(D45*'数据-取费表'!B41/(1+'数据-取费表'!C42),0)</f>
        <v>145</v>
      </c>
      <c r="E52" s="2332" t="s">
        <v>1354</v>
      </c>
      <c r="F52" s="2552">
        <f>'数据-取费表'!B41</f>
        <v>5.6000000000000001E-2</v>
      </c>
      <c r="G52" s="2553"/>
      <c r="H52" s="2542"/>
      <c r="I52" s="1805"/>
      <c r="J52" s="2521">
        <v>1</v>
      </c>
      <c r="K52" s="3613" t="s">
        <v>1355</v>
      </c>
      <c r="L52" s="3613"/>
      <c r="M52" s="2523" t="b">
        <f>D48</f>
        <v>0</v>
      </c>
      <c r="N52" s="2521" t="str">
        <f>E48</f>
        <v>销售额×税（费）率</v>
      </c>
      <c r="O52" s="2524">
        <f>F48</f>
        <v>5.6000000000000001E-2</v>
      </c>
    </row>
    <row r="53" spans="1:35" ht="12" customHeight="1">
      <c r="A53" s="2333" t="s">
        <v>1356</v>
      </c>
      <c r="B53" s="3574" t="s">
        <v>2290</v>
      </c>
      <c r="C53" s="3575"/>
      <c r="D53" s="1085">
        <f ca="1">ROUND(D45*'数据-取费表'!B41/(1+'数据-取费表'!C42),0)</f>
        <v>145</v>
      </c>
      <c r="E53" s="2332" t="s">
        <v>1354</v>
      </c>
      <c r="F53" s="2552">
        <f>'数据-取费表'!B41</f>
        <v>5.6000000000000001E-2</v>
      </c>
      <c r="G53" s="2553"/>
      <c r="H53" s="2542"/>
      <c r="I53" s="1805"/>
      <c r="J53" s="2521">
        <v>2</v>
      </c>
      <c r="K53" s="3613" t="s">
        <v>1357</v>
      </c>
      <c r="L53" s="3613"/>
      <c r="M53" s="2523">
        <f t="shared" ref="M53:O54" ca="1" si="0">D55</f>
        <v>1</v>
      </c>
      <c r="N53" s="2521" t="str">
        <f t="shared" si="0"/>
        <v>销售额×税（费）率</v>
      </c>
      <c r="O53" s="2524" t="str">
        <f t="shared" si="0"/>
        <v>免征</v>
      </c>
    </row>
    <row r="54" spans="1:35" ht="12" customHeight="1">
      <c r="A54" s="2333" t="s">
        <v>1358</v>
      </c>
      <c r="B54" s="3574" t="s">
        <v>2291</v>
      </c>
      <c r="C54" s="3575"/>
      <c r="D54" s="1085">
        <f ca="1">C68</f>
        <v>145</v>
      </c>
      <c r="E54" s="327" t="s">
        <v>1359</v>
      </c>
      <c r="F54" s="2552">
        <f>'数据-取费表'!B41</f>
        <v>5.6000000000000001E-2</v>
      </c>
      <c r="G54" s="2553"/>
      <c r="H54" s="2554"/>
      <c r="I54" s="1805"/>
      <c r="J54" s="2521">
        <v>3</v>
      </c>
      <c r="K54" s="3613" t="s">
        <v>1360</v>
      </c>
      <c r="L54" s="3613"/>
      <c r="M54" s="2523">
        <f t="shared" ca="1" si="0"/>
        <v>1538</v>
      </c>
      <c r="N54" s="2521" t="str">
        <f t="shared" si="0"/>
        <v>增值额×税（费）率</v>
      </c>
      <c r="O54" s="2525" t="str">
        <f t="shared" si="0"/>
        <v>免征</v>
      </c>
    </row>
    <row r="55" spans="1:35" ht="24" customHeight="1">
      <c r="A55" s="3563" t="s">
        <v>1361</v>
      </c>
      <c r="B55" s="3564"/>
      <c r="C55" s="3564"/>
      <c r="D55" s="2322">
        <f ca="1">IF(H55="个人住宅",0,ROUND(D45*I55,0))</f>
        <v>1</v>
      </c>
      <c r="E55" s="2332" t="s">
        <v>1362</v>
      </c>
      <c r="F55" s="2552" t="str">
        <f>IF(H55="正常",I55,"免征")</f>
        <v>免征</v>
      </c>
      <c r="G55" s="2553"/>
      <c r="H55" s="2548"/>
      <c r="I55" s="165">
        <f>'数据-取费表'!B49</f>
        <v>5.0000000000000001E-4</v>
      </c>
      <c r="J55" s="2521">
        <f>IF(H59="非个人房产","",4)</f>
        <v>4</v>
      </c>
      <c r="K55" s="3613" t="str">
        <f>IF(H59="非个人房产","——","个人所得税")</f>
        <v>个人所得税</v>
      </c>
      <c r="L55" s="3613"/>
      <c r="M55" s="2526">
        <f ca="1">D59</f>
        <v>26</v>
      </c>
      <c r="N55" s="2038" t="str">
        <f>E59</f>
        <v>差额计税</v>
      </c>
      <c r="O55" s="2527">
        <f>F59</f>
        <v>0.01</v>
      </c>
    </row>
    <row r="56" spans="1:35" ht="24.75">
      <c r="A56" s="3563" t="s">
        <v>1363</v>
      </c>
      <c r="B56" s="3564"/>
      <c r="C56" s="3564"/>
      <c r="D56" s="2322">
        <f ca="1">IF(H56="个人住宅",D57,D58)</f>
        <v>1538</v>
      </c>
      <c r="E56" s="2332" t="s">
        <v>1364</v>
      </c>
      <c r="F56" s="2552" t="str">
        <f>IF(H56="正常",F58,"免征")</f>
        <v>免征</v>
      </c>
      <c r="G56" s="2555" t="s">
        <v>1365</v>
      </c>
      <c r="H56" s="2556"/>
      <c r="I56" s="1806"/>
      <c r="J56" s="2521" t="str">
        <f>IF(项目基本情况!K6="上海银行",IF(J55="",4,J55+1),"")</f>
        <v/>
      </c>
      <c r="K56" s="3636" t="str">
        <f>IF(项目基本情况!K6="上海银行","其他处置费用","")</f>
        <v/>
      </c>
      <c r="L56" s="3637"/>
      <c r="M56" s="2523" t="str">
        <f>IF(项目基本情况!K6="上海银行",M69,"")</f>
        <v/>
      </c>
      <c r="N56" s="3636" t="str">
        <f>IF(项目基本情况!K6="上海银行","包含处置中涉及的律师、诉讼、拍卖、评估等费用","")</f>
        <v/>
      </c>
      <c r="O56" s="3639"/>
    </row>
    <row r="57" spans="1:35" ht="12.75">
      <c r="A57" s="2333" t="s">
        <v>1341</v>
      </c>
      <c r="B57" s="3574" t="s">
        <v>1366</v>
      </c>
      <c r="C57" s="3575"/>
      <c r="D57" s="1588">
        <v>0</v>
      </c>
      <c r="E57" s="324" t="s">
        <v>1343</v>
      </c>
      <c r="F57" s="302"/>
      <c r="G57" s="2553"/>
      <c r="H57" s="2557"/>
      <c r="I57" s="1806"/>
      <c r="J57" s="3613">
        <f>IF(AND(J55="",J56=""),4,IF(项目基本情况!K6="上海银行",结果表!J56+1,结果表!J55+1))</f>
        <v>5</v>
      </c>
      <c r="K57" s="3613" t="s">
        <v>1367</v>
      </c>
      <c r="L57" s="2528" t="s">
        <v>1368</v>
      </c>
      <c r="M57" s="2529"/>
      <c r="N57" s="2530">
        <f ca="1">SUMIF(M52:M56,"&lt;9e307")</f>
        <v>1565</v>
      </c>
      <c r="O57" s="2531"/>
      <c r="P57" s="2688" t="e">
        <f ca="1">N57/M49</f>
        <v>#VALUE!</v>
      </c>
    </row>
    <row r="58" spans="1:35" ht="24.75">
      <c r="A58" s="2333" t="s">
        <v>1352</v>
      </c>
      <c r="B58" s="3574" t="s">
        <v>1369</v>
      </c>
      <c r="C58" s="3548"/>
      <c r="D58" s="2322">
        <f ca="1">IF(H58="转让取得",C81,C97)</f>
        <v>1538</v>
      </c>
      <c r="E58" s="2332" t="s">
        <v>1364</v>
      </c>
      <c r="F58" s="302" t="s">
        <v>28</v>
      </c>
      <c r="G58" s="2553"/>
      <c r="H58" s="2556"/>
      <c r="I58" s="1806"/>
      <c r="J58" s="3613"/>
      <c r="K58" s="3613"/>
      <c r="L58" s="2528" t="s">
        <v>1370</v>
      </c>
      <c r="M58" s="2532"/>
      <c r="N58" s="2533" t="str">
        <f ca="1">NUMBERSTRING(INT(N57*10000),2)&amp;"元整"</f>
        <v>壹仟伍佰陆拾伍万元整</v>
      </c>
      <c r="O58" s="2534"/>
    </row>
    <row r="59" spans="1:35" ht="24.75" thickBot="1">
      <c r="A59" s="3616" t="s">
        <v>1371</v>
      </c>
      <c r="B59" s="3617"/>
      <c r="C59" s="3617"/>
      <c r="D59" s="2558">
        <f ca="1">IF(H59="非个人房产","——",IF(H59="个人住宅（满五唯一有凭证）",0,IF(H59="个人其他（无凭证）",ROUND(D45*F59,0),ROUND(C67*F59,0))))</f>
        <v>26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14">
        <f>J57+1</f>
        <v>6</v>
      </c>
      <c r="K59" s="3613" t="s">
        <v>1372</v>
      </c>
      <c r="L59" s="2521" t="s">
        <v>1368</v>
      </c>
      <c r="M59" s="2535"/>
      <c r="N59" s="2536" t="e">
        <f ca="1">M49-N57</f>
        <v>#VALUE!</v>
      </c>
      <c r="O59" s="2537"/>
    </row>
    <row r="60" spans="1:35" ht="12" customHeight="1">
      <c r="A60" s="1807"/>
      <c r="B60" s="1745"/>
      <c r="C60" s="1745"/>
      <c r="D60" s="1745"/>
      <c r="E60" s="1576"/>
      <c r="F60" s="1806"/>
      <c r="G60" s="1806"/>
      <c r="H60" s="1808"/>
      <c r="I60" s="129"/>
      <c r="J60" s="3615"/>
      <c r="K60" s="3613"/>
      <c r="L60" s="2528" t="s">
        <v>1370</v>
      </c>
      <c r="M60" s="2532"/>
      <c r="N60" s="2533" t="e">
        <f ca="1">NUMBERSTRING(INT(N59*10000),2)&amp;"元整"</f>
        <v>#VALUE!</v>
      </c>
      <c r="O60" s="2534"/>
    </row>
    <row r="61" spans="1:35" ht="13.5" thickBot="1">
      <c r="A61" s="3561" t="s">
        <v>1373</v>
      </c>
      <c r="B61" s="3561"/>
      <c r="C61" s="3561"/>
      <c r="D61" s="3561"/>
      <c r="E61" s="3561"/>
      <c r="F61" s="1806"/>
      <c r="G61" s="1806"/>
      <c r="H61" s="1808"/>
      <c r="I61" s="129"/>
      <c r="J61" s="2521">
        <f>J59+1</f>
        <v>7</v>
      </c>
      <c r="K61" s="3613" t="s">
        <v>1374</v>
      </c>
      <c r="L61" s="3613"/>
      <c r="M61" s="2538"/>
      <c r="N61" s="2539" t="e">
        <f ca="1">ROUND(N59*10000/'数据-汇总表'!E3,0)</f>
        <v>#VALUE!</v>
      </c>
      <c r="O61" s="2540"/>
    </row>
    <row r="62" spans="1:35" ht="12.75">
      <c r="A62" s="3579" t="s">
        <v>1375</v>
      </c>
      <c r="B62" s="3580"/>
      <c r="C62" s="2019"/>
      <c r="D62" s="2019" t="s">
        <v>1376</v>
      </c>
      <c r="E62" s="166" t="s">
        <v>1377</v>
      </c>
      <c r="F62" s="1806"/>
      <c r="G62" s="1806"/>
      <c r="H62" s="1808"/>
      <c r="I62" s="129"/>
    </row>
    <row r="63" spans="1:35" ht="12.75">
      <c r="A63" s="173" t="s">
        <v>330</v>
      </c>
      <c r="B63" s="167" t="s">
        <v>1378</v>
      </c>
      <c r="C63" s="2562">
        <f ca="1">ROUND((C64+C65)/(1+'数据-取费表'!C42),0)</f>
        <v>2588</v>
      </c>
      <c r="D63" s="167"/>
      <c r="E63" s="168"/>
      <c r="F63" s="1806"/>
      <c r="G63" s="1806"/>
      <c r="H63" s="1808"/>
      <c r="I63" s="129"/>
      <c r="J63" s="3638"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2717</v>
      </c>
      <c r="D64" s="170" t="s">
        <v>26</v>
      </c>
      <c r="E64" s="172"/>
      <c r="F64" s="1806"/>
      <c r="G64" s="1806"/>
      <c r="H64" s="1808"/>
      <c r="I64" s="129"/>
      <c r="J64" s="3638"/>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638"/>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638"/>
      <c r="K66" s="1330" t="s">
        <v>1387</v>
      </c>
      <c r="L66" s="1330" t="e">
        <f>M49*0.5%</f>
        <v>#VALUE!</v>
      </c>
      <c r="M66" s="302" t="e">
        <f>IF(L66&gt;0.5,0.5,ROUND(L66,0))</f>
        <v>#VALUE!</v>
      </c>
      <c r="N66" s="2542" t="s">
        <v>1388</v>
      </c>
      <c r="Z66" s="1750"/>
      <c r="AI66" s="1751"/>
    </row>
    <row r="67" spans="1:35" ht="14.25" customHeight="1">
      <c r="A67" s="173" t="s">
        <v>328</v>
      </c>
      <c r="B67" s="174" t="s">
        <v>1389</v>
      </c>
      <c r="C67" s="2566">
        <f ca="1">C63-C66</f>
        <v>2588</v>
      </c>
      <c r="D67" s="170" t="s">
        <v>26</v>
      </c>
      <c r="E67" s="172"/>
      <c r="F67" s="1806"/>
      <c r="G67" s="1806"/>
      <c r="H67" s="1808"/>
      <c r="I67" s="129"/>
      <c r="J67" s="3638"/>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145</v>
      </c>
      <c r="D68" s="2568">
        <f>'数据-取费表'!B41</f>
        <v>5.6000000000000001E-2</v>
      </c>
      <c r="E68" s="178"/>
      <c r="F68" s="1806"/>
      <c r="G68" s="1806"/>
      <c r="H68" s="1808"/>
      <c r="I68" s="129"/>
      <c r="J68" s="3638"/>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638"/>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0" t="s">
        <v>1394</v>
      </c>
      <c r="B70" s="3601"/>
      <c r="C70" s="3601"/>
      <c r="D70" s="3601"/>
      <c r="E70" s="3601"/>
      <c r="F70" s="3601"/>
      <c r="G70" s="3601"/>
      <c r="H70" s="3601"/>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9" t="s">
        <v>1375</v>
      </c>
      <c r="B71" s="3580"/>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2588</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16</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74" t="s">
        <v>1402</v>
      </c>
      <c r="F76" s="3548"/>
      <c r="G76" s="3548"/>
      <c r="H76" s="359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16</v>
      </c>
      <c r="D78" s="2575">
        <f>'数据-取费表'!B43</f>
        <v>6.000000000000001E-3</v>
      </c>
      <c r="E78" s="3558" t="s">
        <v>1406</v>
      </c>
      <c r="F78" s="3559"/>
      <c r="G78" s="3559"/>
      <c r="H78" s="356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2572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f ca="1">IF(C79&lt;=0,0,C79/C73)</f>
        <v>160.75</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f ca="1">ROUND(IF(C79&lt;=0,0,IF(C80&gt;=200%,C79*60%-C73*35%,IF(C80&gt;=100%,C79*50%-C73*15%,IF(C80&gt;=50%,C79*40%-C73*5%,IF(C80&lt;50%,C79*30%,0))))),0)</f>
        <v>1538</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0" t="s">
        <v>1410</v>
      </c>
      <c r="B83" s="3601"/>
      <c r="C83" s="3601"/>
      <c r="D83" s="3601"/>
      <c r="E83" s="3601"/>
      <c r="F83" s="3601"/>
      <c r="G83" s="3601"/>
      <c r="H83" s="360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9" t="s">
        <v>1375</v>
      </c>
      <c r="B84" s="358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2588</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16</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40" t="s">
        <v>2128</v>
      </c>
      <c r="H90" s="3641"/>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8" t="s">
        <v>1419</v>
      </c>
      <c r="F91" s="3559"/>
      <c r="G91" s="355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8" t="s">
        <v>1422</v>
      </c>
      <c r="F92" s="3559"/>
      <c r="G92" s="3559"/>
      <c r="H92" s="3568"/>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16</v>
      </c>
      <c r="D93" s="2575">
        <f>'数据-取费表'!B43</f>
        <v>6.000000000000001E-3</v>
      </c>
      <c r="E93" s="3558" t="s">
        <v>1406</v>
      </c>
      <c r="F93" s="3559"/>
      <c r="G93" s="3559"/>
      <c r="H93" s="356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9" t="s">
        <v>1426</v>
      </c>
      <c r="F94" s="3570"/>
      <c r="G94" s="3570"/>
      <c r="H94" s="357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2572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f ca="1">IF(C95&lt;=0,0,C95/C86)</f>
        <v>160.75</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f ca="1">ROUND(IF(C95&lt;=0,0,IF(C96&gt;=200%,C95*60%-C86*35%,IF(C96&gt;=100%,C95*50%-C86*15%,IF(C96&gt;=50%,C95*40%-C86*5%,IF(C96&lt;50%,C95*30%,0))))),0)</f>
        <v>1538</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2" t="s">
        <v>1428</v>
      </c>
      <c r="B100" s="3543"/>
      <c r="C100" s="3543"/>
      <c r="D100" s="3560"/>
      <c r="E100" s="3543" t="s">
        <v>1429</v>
      </c>
      <c r="F100" s="3543"/>
      <c r="G100" s="3543"/>
      <c r="H100" s="3560"/>
      <c r="I100" s="129"/>
    </row>
    <row r="101" spans="1:35" ht="18.75" customHeight="1">
      <c r="A101" s="3621" t="s">
        <v>1430</v>
      </c>
      <c r="B101" s="3622"/>
      <c r="C101" s="2583" t="str">
        <f>C4</f>
        <v>比较法-办公</v>
      </c>
      <c r="D101" s="2584" t="str">
        <f>D4</f>
        <v>收益法 (元)</v>
      </c>
      <c r="E101" s="3635" t="s">
        <v>1431</v>
      </c>
      <c r="F101" s="3592"/>
      <c r="G101" s="1825" t="s">
        <v>1432</v>
      </c>
      <c r="H101" s="2593">
        <f ca="1">H118</f>
        <v>2717</v>
      </c>
      <c r="I101" s="129"/>
    </row>
    <row r="102" spans="1:35" ht="18.75" customHeight="1">
      <c r="A102" s="3594" t="s">
        <v>1433</v>
      </c>
      <c r="B102" s="2582" t="s">
        <v>1432</v>
      </c>
      <c r="C102" s="2583">
        <f ca="1">IF(D32="楼面单价",ROUND(C19,0),C19)</f>
        <v>3022</v>
      </c>
      <c r="D102" s="2584">
        <f ca="1">IF(D32="楼面单价",ROUND(D19,0),D19)</f>
        <v>2007</v>
      </c>
      <c r="E102" s="3635"/>
      <c r="F102" s="3592"/>
      <c r="G102" s="1825" t="s">
        <v>1434</v>
      </c>
      <c r="H102" s="2553">
        <f ca="1">I118</f>
        <v>30450</v>
      </c>
      <c r="I102" s="129"/>
    </row>
    <row r="103" spans="1:35" ht="42.75" customHeight="1">
      <c r="A103" s="3594"/>
      <c r="B103" s="2582" t="s">
        <v>1434</v>
      </c>
      <c r="C103" s="2585">
        <f ca="1">C20</f>
        <v>33862</v>
      </c>
      <c r="D103" s="2586">
        <f ca="1">D20</f>
        <v>22490</v>
      </c>
      <c r="E103" s="3629" t="s">
        <v>1435</v>
      </c>
      <c r="F103" s="3630"/>
      <c r="G103" s="1826" t="s">
        <v>1436</v>
      </c>
      <c r="H103" s="2593">
        <f>IF(D36="正常操作",H104+H105+H106,H105+H106)</f>
        <v>0</v>
      </c>
      <c r="I103" s="129"/>
    </row>
    <row r="104" spans="1:35" ht="18.75" customHeight="1">
      <c r="A104" s="3594" t="s">
        <v>1437</v>
      </c>
      <c r="B104" s="2587" t="s">
        <v>1432</v>
      </c>
      <c r="C104" s="2588">
        <f ca="1">H118</f>
        <v>2717</v>
      </c>
      <c r="D104" s="2589"/>
      <c r="E104" s="1672" t="s">
        <v>1438</v>
      </c>
      <c r="F104" s="1664"/>
      <c r="G104" s="1826" t="s">
        <v>1436</v>
      </c>
      <c r="H104" s="2594">
        <f>IF(D36="同一抵押权人同一抵押物续贷",C36&amp;"（续贷，未扣减，详见特别提示）",C36)</f>
        <v>0</v>
      </c>
      <c r="I104" s="129"/>
    </row>
    <row r="105" spans="1:35" ht="18.75" customHeight="1" thickBot="1">
      <c r="A105" s="3595"/>
      <c r="B105" s="2590" t="s">
        <v>1434</v>
      </c>
      <c r="C105" s="2591">
        <f ca="1">I118</f>
        <v>30450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91" t="str">
        <f>IF(项目基本情况!E8="已注销","——","3.房地产抵押价值")</f>
        <v>3.房地产抵押价值</v>
      </c>
      <c r="F107" s="3592"/>
      <c r="G107" s="1825" t="s">
        <v>1432</v>
      </c>
      <c r="H107" s="2593">
        <f ca="1">IF(E107="——","——",H101-H103)</f>
        <v>2717</v>
      </c>
      <c r="I107" s="129"/>
    </row>
    <row r="108" spans="1:35" ht="18.75" customHeight="1">
      <c r="A108" s="129"/>
      <c r="B108" s="129"/>
      <c r="C108" s="129"/>
      <c r="D108" s="129"/>
      <c r="E108" s="3591"/>
      <c r="F108" s="3592"/>
      <c r="G108" s="1825" t="s">
        <v>1434</v>
      </c>
      <c r="H108" s="2553">
        <f ca="1">IF(H107=H101,H102,ROUND(H107*10000/'数据-汇总表'!E3,0))</f>
        <v>30450</v>
      </c>
      <c r="I108" s="129"/>
    </row>
    <row r="109" spans="1:35" ht="18.75" customHeight="1">
      <c r="A109" s="129"/>
      <c r="B109" s="129"/>
      <c r="C109" s="129"/>
      <c r="D109" s="129"/>
      <c r="E109" s="3591" t="str">
        <f>IF(项目基本情况!E8="已注销及未注销","4.抵押担保权已注销时的房地产抵押价值",IF(项目基本情况!E8="已注销","3.抵押担保权已注销时的房地产抵押价值","——"))</f>
        <v>——</v>
      </c>
      <c r="F109" s="3592"/>
      <c r="G109" s="1825" t="s">
        <v>1432</v>
      </c>
      <c r="H109" s="2596" t="str">
        <f>IF(E109="——","——",H101-H105-H106)</f>
        <v>——</v>
      </c>
      <c r="I109" s="129"/>
    </row>
    <row r="110" spans="1:35" ht="18.75" customHeight="1">
      <c r="A110" s="129"/>
      <c r="B110" s="129"/>
      <c r="C110" s="129"/>
      <c r="D110" s="129"/>
      <c r="E110" s="3591"/>
      <c r="F110" s="3592"/>
      <c r="G110" s="1825" t="s">
        <v>1434</v>
      </c>
      <c r="H110" s="2553" t="str">
        <f>IF(H109="——","——",ROUND(H109*10000/'数据-汇总表'!E3,0))</f>
        <v>——</v>
      </c>
      <c r="I110" s="129"/>
    </row>
    <row r="111" spans="1:35" ht="18.75" customHeight="1">
      <c r="A111" s="129"/>
      <c r="B111" s="129"/>
      <c r="C111" s="129"/>
      <c r="D111" s="129"/>
      <c r="E111" s="3623" t="str">
        <f>IF(项目基本情况!E9="抵押净值",IF(OR(项目基本情况!E8="已注销",项目基本情况!E8="房地产抵押价值"),"4.抵押净值","5.抵押净值"),"——")</f>
        <v>——</v>
      </c>
      <c r="F111" s="3593"/>
      <c r="G111" s="1825" t="s">
        <v>1432</v>
      </c>
      <c r="H111" s="2593" t="str">
        <f>IF(E111="——","——",N59)</f>
        <v>——</v>
      </c>
      <c r="I111" s="129"/>
    </row>
    <row r="112" spans="1:35" ht="18.75" customHeight="1" thickBot="1">
      <c r="A112" s="129"/>
      <c r="B112" s="129"/>
      <c r="C112" s="129"/>
      <c r="D112" s="129"/>
      <c r="E112" s="3624"/>
      <c r="F112" s="3625"/>
      <c r="G112" s="1828" t="s">
        <v>1434</v>
      </c>
      <c r="H112" s="2597" t="str">
        <f>IF(E111="——","——",N61)</f>
        <v>——</v>
      </c>
      <c r="I112" s="129"/>
    </row>
    <row r="113" spans="1:27" ht="18.75" customHeight="1">
      <c r="A113" s="129"/>
      <c r="B113" s="129"/>
      <c r="C113" s="129"/>
      <c r="D113" s="129"/>
      <c r="E113" s="3596" t="s">
        <v>1440</v>
      </c>
      <c r="F113" s="3596"/>
      <c r="G113" s="3596"/>
      <c r="H113" s="3596"/>
      <c r="I113" s="129"/>
    </row>
    <row r="114" spans="1:27" ht="3.75" customHeight="1">
      <c r="A114" s="1745"/>
      <c r="B114" s="1745"/>
      <c r="C114" s="1745"/>
      <c r="D114" s="1745"/>
      <c r="E114" s="1807"/>
      <c r="F114" s="1807"/>
      <c r="G114" s="1807"/>
      <c r="H114" s="1807"/>
      <c r="I114" s="1745"/>
    </row>
    <row r="115" spans="1:27" ht="18.75" customHeight="1">
      <c r="A115" s="3606" t="s">
        <v>1442</v>
      </c>
      <c r="B115" s="3607"/>
      <c r="C115" s="3607"/>
      <c r="D115" s="3607"/>
      <c r="E115" s="3607"/>
      <c r="F115" s="3607"/>
      <c r="G115" s="3607"/>
      <c r="H115" s="3607"/>
      <c r="I115" s="3608"/>
    </row>
    <row r="116" spans="1:27" ht="27" customHeight="1">
      <c r="A116" s="3562" t="s">
        <v>1443</v>
      </c>
      <c r="B116" s="3597" t="s">
        <v>1444</v>
      </c>
      <c r="C116" s="3597" t="s">
        <v>1445</v>
      </c>
      <c r="D116" s="3610" t="s">
        <v>1446</v>
      </c>
      <c r="E116" s="3611"/>
      <c r="F116" s="3605" t="s">
        <v>1447</v>
      </c>
      <c r="G116" s="3605"/>
      <c r="H116" s="3562" t="s">
        <v>1448</v>
      </c>
      <c r="I116" s="3562"/>
    </row>
    <row r="117" spans="1:27" ht="18.75" customHeight="1">
      <c r="A117" s="3562"/>
      <c r="B117" s="3598"/>
      <c r="C117" s="3598"/>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892.35</v>
      </c>
      <c r="C118" s="2327">
        <f>M19</f>
        <v>0</v>
      </c>
      <c r="D118" s="2327">
        <f ca="1">ROUND(IF(D32="总价",C34,E118*B118/10000),0)</f>
        <v>2013</v>
      </c>
      <c r="E118" s="2327">
        <f ca="1">ROUND(IF(C33="自定义",IF(D32="楼面单价",C34,D118*10000/B118),I118-G118),0)</f>
        <v>22563</v>
      </c>
      <c r="F118" s="2327">
        <f ca="1">ROUND(IF(D32="总价",C35,G118*B118/10000),0)</f>
        <v>704</v>
      </c>
      <c r="G118" s="2327">
        <f ca="1">ROUND(IF(D32="楼面单价",C35,F118*10000/B118),0)</f>
        <v>7887</v>
      </c>
      <c r="H118" s="2327">
        <f ca="1">ROUND(IF(D32="总价",C32,I118*B118/10000),0)</f>
        <v>2717</v>
      </c>
      <c r="I118" s="2327">
        <f ca="1">ROUND(IF(D32="楼面单价",C32,H118*10000/B118),0)</f>
        <v>30450</v>
      </c>
    </row>
    <row r="119" spans="1:27" ht="18.75" customHeight="1">
      <c r="A119" s="3562" t="s">
        <v>1452</v>
      </c>
      <c r="B119" s="3562"/>
      <c r="C119" s="3562"/>
      <c r="D119" s="3602" t="str">
        <f ca="1">NUMBERSTRING(INT(D118*10000),2)&amp;"元整"</f>
        <v>贰仟零壹拾叁万元整</v>
      </c>
      <c r="E119" s="3604"/>
      <c r="F119" s="3602" t="str">
        <f ca="1">NUMBERSTRING(INT(F118*10000),2)&amp;"元整"</f>
        <v>柒佰零肆万元整</v>
      </c>
      <c r="G119" s="3604"/>
      <c r="H119" s="3602" t="str">
        <f ca="1">NUMBERSTRING(INT(H118*10000),2)&amp;"元整"</f>
        <v>贰仟柒佰壹拾柒万元整</v>
      </c>
      <c r="I119" s="3604"/>
    </row>
    <row r="120" spans="1:27" ht="18.75" customHeight="1">
      <c r="A120" s="3626" t="str">
        <f>IF(项目基本情况!B9="房地产市场价值","",MID(E103,3,LEN(E103)-2))</f>
        <v/>
      </c>
      <c r="B120" s="3627"/>
      <c r="C120" s="3628"/>
      <c r="D120" s="3626">
        <f>H103</f>
        <v>0</v>
      </c>
      <c r="E120" s="3627"/>
      <c r="F120" s="3627"/>
      <c r="G120" s="3627"/>
      <c r="H120" s="3627"/>
      <c r="I120" s="3628"/>
      <c r="J120" s="1750"/>
      <c r="K120" s="1750" t="str">
        <f>IF(D120=0,"故，本次评估不存在"&amp;A120,"故，本次评估"&amp;A120&amp;"为人民币"&amp;D120&amp;"万元整。")</f>
        <v>故，本次评估不存在</v>
      </c>
      <c r="L120" s="1750"/>
      <c r="M120" s="1750"/>
      <c r="N120" s="1750"/>
      <c r="O120" s="1750"/>
      <c r="P120" s="1750"/>
      <c r="Q120" s="1750"/>
      <c r="R120" s="1750"/>
      <c r="S120" s="1750"/>
    </row>
    <row r="121" spans="1:27" ht="18.75" customHeight="1">
      <c r="A121" s="3602" t="s">
        <v>1452</v>
      </c>
      <c r="B121" s="3603"/>
      <c r="C121" s="3604"/>
      <c r="D121" s="3602" t="str">
        <f>IF(D120=0,"零元整",NUMBERSTRING(INT(D120*10000),2)&amp;"元整")</f>
        <v>零元整</v>
      </c>
      <c r="E121" s="3603"/>
      <c r="F121" s="3603"/>
      <c r="G121" s="3603"/>
      <c r="H121" s="3603"/>
      <c r="I121" s="3604"/>
      <c r="AA121" s="723"/>
    </row>
    <row r="122" spans="1:27" ht="18.75" customHeight="1">
      <c r="A122" s="3593" t="str">
        <f>IF(项目基本情况!B9="房地产市场价值","",MID(E107,3,LEN(E107)-2))</f>
        <v/>
      </c>
      <c r="B122" s="3593"/>
      <c r="C122" s="3593"/>
      <c r="D122" s="3626">
        <f ca="1">H107</f>
        <v>2717</v>
      </c>
      <c r="E122" s="3627"/>
      <c r="F122" s="3627"/>
      <c r="G122" s="3627"/>
      <c r="H122" s="3627"/>
      <c r="I122" s="3628"/>
      <c r="AA122" s="723"/>
    </row>
    <row r="123" spans="1:27" ht="18.75" customHeight="1">
      <c r="A123" s="3562" t="s">
        <v>1452</v>
      </c>
      <c r="B123" s="3562"/>
      <c r="C123" s="3562"/>
      <c r="D123" s="3602" t="str">
        <f ca="1">NUMBERSTRING(INT(D122*10000),2)&amp;"元整"</f>
        <v>贰仟柒佰壹拾柒万元整</v>
      </c>
      <c r="E123" s="3603"/>
      <c r="F123" s="3603"/>
      <c r="G123" s="3603"/>
      <c r="H123" s="3603"/>
      <c r="I123" s="3604"/>
      <c r="AA123" s="723"/>
    </row>
    <row r="124" spans="1:27" ht="18.75" customHeight="1">
      <c r="A124" s="3593" t="str">
        <f>IF(项目基本情况!B9="房地产市场价值","",MID(E109,3,LEN(E109)-2))</f>
        <v/>
      </c>
      <c r="B124" s="3593"/>
      <c r="C124" s="3593"/>
      <c r="D124" s="3626" t="str">
        <f>H109</f>
        <v>——</v>
      </c>
      <c r="E124" s="3627"/>
      <c r="F124" s="3627"/>
      <c r="G124" s="3627"/>
      <c r="H124" s="3627"/>
      <c r="I124" s="3628"/>
      <c r="AA124" s="723"/>
    </row>
    <row r="125" spans="1:27" ht="18.75" customHeight="1">
      <c r="A125" s="3562" t="s">
        <v>1452</v>
      </c>
      <c r="B125" s="3562"/>
      <c r="C125" s="3562"/>
      <c r="D125" s="3602" t="e">
        <f>NUMBERSTRING(INT(D124*10000),2)&amp;"元整"</f>
        <v>#VALUE!</v>
      </c>
      <c r="E125" s="3603"/>
      <c r="F125" s="3603"/>
      <c r="G125" s="3603"/>
      <c r="H125" s="3603"/>
      <c r="I125" s="3604"/>
      <c r="AA125" s="723"/>
    </row>
    <row r="126" spans="1:27" ht="18.75" customHeight="1">
      <c r="A126" s="3593" t="str">
        <f>IF(项目基本情况!B9="房地产市场价值","",MID(E111,3,LEN(E111)-2))</f>
        <v/>
      </c>
      <c r="B126" s="3593"/>
      <c r="C126" s="3593"/>
      <c r="D126" s="3626" t="str">
        <f>H111</f>
        <v>——</v>
      </c>
      <c r="E126" s="3627"/>
      <c r="F126" s="3627"/>
      <c r="G126" s="3627"/>
      <c r="H126" s="3627"/>
      <c r="I126" s="3628"/>
      <c r="AA126" s="723"/>
    </row>
    <row r="127" spans="1:27" ht="18.75" customHeight="1">
      <c r="A127" s="3562" t="s">
        <v>1452</v>
      </c>
      <c r="B127" s="3562"/>
      <c r="C127" s="3562"/>
      <c r="D127" s="3602" t="e">
        <f>NUMBERSTRING(INT(D126*10000),2)&amp;"元整"</f>
        <v>#VALUE!</v>
      </c>
      <c r="E127" s="3603"/>
      <c r="F127" s="3603"/>
      <c r="G127" s="3603"/>
      <c r="H127" s="3603"/>
      <c r="I127" s="3604"/>
      <c r="AA127" s="723"/>
    </row>
    <row r="128" spans="1:27" ht="21.75" customHeight="1">
      <c r="A128" s="3609" t="s">
        <v>1453</v>
      </c>
      <c r="B128" s="3609"/>
      <c r="C128" s="3609"/>
      <c r="D128" s="3609"/>
      <c r="E128" s="3609"/>
      <c r="F128" s="3609"/>
      <c r="G128" s="3609"/>
      <c r="H128" s="3609"/>
      <c r="I128" s="360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240977</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2700476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178470</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178470</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18</v>
      </c>
      <c r="D10" s="843">
        <f ca="1">IF(B1="",'数据-汇总表'!E6,IF(INDIRECT("'数据-取费表'!c"&amp;$G$1)="住宅",INDIRECT("'数据-取费表'!s"&amp;$G$1),INDIRECT("'数据-取费表'!k"&amp;$G$1)+INDIRECT("'数据-取费表'!s"&amp;$G$1)))</f>
        <v>892.35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18</v>
      </c>
      <c r="D19" s="847">
        <f ca="1">D9+D10</f>
        <v>892.35</v>
      </c>
      <c r="E19" s="211">
        <f>'数据-取费表'!B31</f>
        <v>200</v>
      </c>
      <c r="F19" s="231"/>
      <c r="G19" s="1854"/>
    </row>
    <row r="20" spans="1:7" s="214" customFormat="1" ht="13.5" customHeight="1">
      <c r="A20" s="255" t="s">
        <v>1493</v>
      </c>
      <c r="B20" s="210" t="s">
        <v>1494</v>
      </c>
      <c r="C20" s="232">
        <f ca="1">ROUND((C5+C19)*F20,0)</f>
        <v>3570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12651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12527</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1</v>
      </c>
      <c r="D24" s="238"/>
      <c r="E24" s="238"/>
      <c r="F24" s="239"/>
      <c r="G24" s="240" t="s">
        <v>1507</v>
      </c>
    </row>
    <row r="25" spans="1:7" s="214" customFormat="1" ht="24">
      <c r="A25" s="778" t="s">
        <v>1508</v>
      </c>
      <c r="B25" s="215" t="s">
        <v>1509</v>
      </c>
      <c r="C25" s="1103">
        <f ca="1">ROUND(IF('数据-取费表'!B22&lt;=1,C20*F22*'数据-取费表'!B23/2,C20*(POWER((1+F22),'数据-取费表'!B23/2)-1)),0)</f>
        <v>123</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27309</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27309</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240540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440</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402</v>
      </c>
      <c r="D34" s="217"/>
      <c r="E34" s="220"/>
      <c r="F34" s="257">
        <f ca="1">IF('数据-取费表'!B24=0,1,IF(B1="",'数据-取费表'!N16,INDIRECT("'数据-取费表'!n"&amp;$G$1)))</f>
        <v>1</v>
      </c>
      <c r="G34" s="219" t="s">
        <v>1526</v>
      </c>
    </row>
    <row r="35" spans="1:7" ht="13.5" customHeight="1">
      <c r="A35" s="778" t="s">
        <v>351</v>
      </c>
      <c r="B35" s="215" t="s">
        <v>1527</v>
      </c>
      <c r="C35" s="220">
        <f ca="1">ROUND(C34*F35,0)</f>
        <v>12</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18</v>
      </c>
      <c r="D37" s="217">
        <f ca="1">D19</f>
        <v>892.35</v>
      </c>
      <c r="E37" s="249">
        <f>'数据-取费表'!B35</f>
        <v>200</v>
      </c>
      <c r="F37" s="259"/>
      <c r="G37" s="261" t="s">
        <v>1532</v>
      </c>
    </row>
    <row r="38" spans="1:7" ht="13.5" customHeight="1">
      <c r="A38" s="778" t="s">
        <v>354</v>
      </c>
      <c r="B38" s="215" t="s">
        <v>1533</v>
      </c>
      <c r="C38" s="220">
        <f ca="1">ROUND(C34*F38,0)</f>
        <v>8</v>
      </c>
      <c r="D38" s="220"/>
      <c r="E38" s="220"/>
      <c r="F38" s="259">
        <f>'数据-取费表'!B36</f>
        <v>0.02</v>
      </c>
      <c r="G38" s="219" t="s">
        <v>1528</v>
      </c>
    </row>
    <row r="39" spans="1:7" s="214" customFormat="1" ht="13.5" customHeight="1">
      <c r="A39" s="255" t="s">
        <v>1534</v>
      </c>
      <c r="B39" s="210" t="s">
        <v>1535</v>
      </c>
      <c r="C39" s="232">
        <f ca="1">ROUND(C33*F20,0)</f>
        <v>9</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15</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15</v>
      </c>
      <c r="D42" s="238"/>
      <c r="E42" s="238"/>
      <c r="F42" s="239"/>
      <c r="G42" s="3642" t="s">
        <v>1544</v>
      </c>
    </row>
    <row r="43" spans="1:7" ht="13.5" customHeight="1">
      <c r="A43" s="778" t="s">
        <v>347</v>
      </c>
      <c r="B43" s="215" t="s">
        <v>1545</v>
      </c>
      <c r="C43" s="238">
        <f ca="1">ROUND(IF('数据-取费表'!B22&lt;=1,C39*F22*'数据-取费表'!B21/2,C39*(POWER((1+F22),'数据-取费表'!B21/2)-1)),0)</f>
        <v>0</v>
      </c>
      <c r="D43" s="238"/>
      <c r="E43" s="238"/>
      <c r="F43" s="239"/>
      <c r="G43" s="3643"/>
    </row>
    <row r="44" spans="1:7" ht="13.5" customHeight="1">
      <c r="A44" s="778"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67</v>
      </c>
      <c r="D45" s="235">
        <f ca="1">C47</f>
        <v>3.0000000000000001E-3</v>
      </c>
      <c r="E45" s="236" t="s">
        <v>1539</v>
      </c>
      <c r="F45" s="246">
        <f ca="1">F27</f>
        <v>0.15</v>
      </c>
      <c r="G45" s="247" t="s">
        <v>1548</v>
      </c>
    </row>
    <row r="46" spans="1:7" s="214" customFormat="1" ht="13.5" customHeight="1">
      <c r="A46" s="778" t="s">
        <v>346</v>
      </c>
      <c r="B46" s="248" t="s">
        <v>1549</v>
      </c>
      <c r="C46" s="249">
        <f ca="1">ROUND((C33+C39)*F27,0)</f>
        <v>67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575</v>
      </c>
      <c r="D49" s="232"/>
      <c r="E49" s="232"/>
      <c r="F49" s="264"/>
      <c r="G49" s="234" t="s">
        <v>1554</v>
      </c>
    </row>
    <row r="50" spans="1:7" s="258" customFormat="1" ht="24">
      <c r="A50" s="255" t="s">
        <v>1555</v>
      </c>
      <c r="B50" s="210" t="s">
        <v>1556</v>
      </c>
      <c r="C50" s="232"/>
      <c r="D50" s="232"/>
      <c r="E50" s="232"/>
      <c r="F50" s="264">
        <f>IF('数据-取费表'!B24=0,'数据-取费表'!N16,1)</f>
        <v>0.76</v>
      </c>
      <c r="G50" s="247" t="s">
        <v>1557</v>
      </c>
    </row>
    <row r="51" spans="1:7" ht="16.5" customHeight="1">
      <c r="A51" s="255" t="s">
        <v>1558</v>
      </c>
      <c r="B51" s="210" t="s">
        <v>1559</v>
      </c>
      <c r="C51" s="232">
        <f ca="1">ROUND(C49*F50,0)</f>
        <v>437</v>
      </c>
      <c r="D51" s="232"/>
      <c r="E51" s="232"/>
      <c r="F51" s="264"/>
      <c r="G51" s="234" t="s">
        <v>1560</v>
      </c>
    </row>
    <row r="52" spans="1:7" s="208" customFormat="1" ht="16.5" thickBot="1">
      <c r="A52" s="265" t="s">
        <v>1561</v>
      </c>
      <c r="B52" s="266"/>
      <c r="C52" s="267">
        <f ca="1">C31+C51</f>
        <v>240977</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9" t="str">
        <f>项目基本情况!B1</f>
        <v>北京市房地产市场价值预评估</v>
      </c>
      <c r="C37" s="3459"/>
      <c r="D37" s="3459"/>
      <c r="E37" s="3459"/>
      <c r="F37" s="3459"/>
      <c r="G37" s="3459"/>
      <c r="H37" s="3459"/>
      <c r="I37" s="3459"/>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485.31139999999999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5439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178470</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178470</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178470</v>
      </c>
      <c r="D10" s="843">
        <f ca="1">IF(B1="",'数据-汇总表'!E6,IF(INDIRECT("'数据-取费表'!c"&amp;$G$1)="住宅",INDIRECT("'数据-取费表'!s"&amp;$G$1),INDIRECT("'数据-取费表'!k"&amp;$G$1)+INDIRECT("'数据-取费表'!s"&amp;$G$1)))</f>
        <v>892.35</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178470</v>
      </c>
      <c r="D19" s="847">
        <f ca="1">D9+D10</f>
        <v>892.35</v>
      </c>
      <c r="E19" s="211">
        <f>'数据-取费表'!B31</f>
        <v>200</v>
      </c>
      <c r="F19" s="231"/>
      <c r="G19" s="1854"/>
    </row>
    <row r="20" spans="1:7" s="214" customFormat="1" ht="13.5" customHeight="1">
      <c r="A20" s="255" t="s">
        <v>1574</v>
      </c>
      <c r="B20" s="210" t="s">
        <v>1575</v>
      </c>
      <c r="C20" s="232">
        <f ca="1">ROUND((C5+C19)*F20,0)</f>
        <v>7139</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25300</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12527</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12527</v>
      </c>
      <c r="D24" s="238"/>
      <c r="E24" s="238"/>
      <c r="F24" s="239"/>
      <c r="G24" s="240" t="s">
        <v>1586</v>
      </c>
    </row>
    <row r="25" spans="1:7" s="214" customFormat="1" ht="24">
      <c r="A25" s="778" t="s">
        <v>1476</v>
      </c>
      <c r="B25" s="215" t="s">
        <v>1587</v>
      </c>
      <c r="C25" s="1126">
        <f ca="1">ROUND(IF('数据-取费表'!B22&lt;=1,C20*F22*'数据-取费表'!B22/2,C20*(POWER((1+F22),'数据-取费表'!B22/2)-1)),0)</f>
        <v>246</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54612</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54612</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481030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4394824</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4015575</v>
      </c>
      <c r="D34" s="217"/>
      <c r="E34" s="220"/>
      <c r="F34" s="257"/>
      <c r="G34" s="219"/>
    </row>
    <row r="35" spans="1:7" ht="13.5" customHeight="1">
      <c r="A35" s="778" t="s">
        <v>351</v>
      </c>
      <c r="B35" s="215" t="s">
        <v>1527</v>
      </c>
      <c r="C35" s="220">
        <f ca="1">ROUND(C34*F35,0)</f>
        <v>120467</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178470</v>
      </c>
      <c r="D37" s="217">
        <f ca="1">D19</f>
        <v>892.35</v>
      </c>
      <c r="E37" s="249">
        <f>'数据-取费表'!B35</f>
        <v>200</v>
      </c>
      <c r="F37" s="259"/>
      <c r="G37" s="261"/>
    </row>
    <row r="38" spans="1:7" ht="13.5" customHeight="1">
      <c r="A38" s="778" t="s">
        <v>354</v>
      </c>
      <c r="B38" s="215" t="s">
        <v>1533</v>
      </c>
      <c r="C38" s="220">
        <f ca="1">ROUND(C34*F38,0)</f>
        <v>80312</v>
      </c>
      <c r="D38" s="220"/>
      <c r="E38" s="220"/>
      <c r="F38" s="259">
        <f>'数据-取费表'!B36</f>
        <v>0.02</v>
      </c>
      <c r="G38" s="219" t="s">
        <v>1528</v>
      </c>
    </row>
    <row r="39" spans="1:7" s="214" customFormat="1" ht="13.5" customHeight="1">
      <c r="A39" s="255" t="s">
        <v>1534</v>
      </c>
      <c r="B39" s="210" t="s">
        <v>1535</v>
      </c>
      <c r="C39" s="232">
        <f ca="1">ROUND(C33*F20,0)</f>
        <v>87896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154653</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151621</v>
      </c>
      <c r="D42" s="238"/>
      <c r="E42" s="238"/>
      <c r="F42" s="239"/>
      <c r="G42" s="3642" t="s">
        <v>1591</v>
      </c>
    </row>
    <row r="43" spans="1:7" ht="13.5" customHeight="1">
      <c r="A43" s="778" t="s">
        <v>347</v>
      </c>
      <c r="B43" s="215" t="s">
        <v>1545</v>
      </c>
      <c r="C43" s="238">
        <f ca="1">ROUND(IF('数据-取费表'!B22&lt;=1,C39*F22*'数据-取费表'!B20/2,C39*(POWER((1+F22),'数据-取费表'!B20/2)-1)),0)</f>
        <v>3032</v>
      </c>
      <c r="D43" s="238"/>
      <c r="E43" s="238"/>
      <c r="F43" s="239"/>
      <c r="G43" s="3643"/>
    </row>
    <row r="44" spans="1:7" ht="13.5" customHeight="1">
      <c r="A44" s="778"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672408</v>
      </c>
      <c r="D45" s="235">
        <f ca="1">C47</f>
        <v>3.0000000000000001E-3</v>
      </c>
      <c r="E45" s="236" t="s">
        <v>1539</v>
      </c>
      <c r="F45" s="246">
        <f ca="1">F27</f>
        <v>0.15</v>
      </c>
      <c r="G45" s="247" t="s">
        <v>1548</v>
      </c>
    </row>
    <row r="46" spans="1:7" s="214" customFormat="1" ht="13.5" customHeight="1">
      <c r="A46" s="778" t="s">
        <v>346</v>
      </c>
      <c r="B46" s="248" t="s">
        <v>1549</v>
      </c>
      <c r="C46" s="249">
        <f ca="1">ROUND((C33+C39)*F27,0)</f>
        <v>672408</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5752742</v>
      </c>
      <c r="D49" s="232"/>
      <c r="E49" s="232"/>
      <c r="F49" s="264"/>
      <c r="G49" s="234" t="s">
        <v>1554</v>
      </c>
    </row>
    <row r="50" spans="1:7" s="258" customFormat="1">
      <c r="A50" s="255" t="s">
        <v>1555</v>
      </c>
      <c r="B50" s="210" t="s">
        <v>1556</v>
      </c>
      <c r="C50" s="232"/>
      <c r="D50" s="232"/>
      <c r="E50" s="232"/>
      <c r="F50" s="264">
        <f>IF('数据-取费表'!B24=0,'数据-取费表'!N16,1)</f>
        <v>0.76</v>
      </c>
      <c r="G50" s="247"/>
    </row>
    <row r="51" spans="1:7" ht="16.5" customHeight="1">
      <c r="A51" s="255" t="s">
        <v>1558</v>
      </c>
      <c r="B51" s="210" t="s">
        <v>1593</v>
      </c>
      <c r="C51" s="232">
        <f ca="1">ROUND(C49*F50,0)</f>
        <v>4372084</v>
      </c>
      <c r="D51" s="232"/>
      <c r="E51" s="232"/>
      <c r="F51" s="264"/>
      <c r="G51" s="234" t="s">
        <v>1560</v>
      </c>
    </row>
    <row r="52" spans="1:7" s="208" customFormat="1" ht="16.5" thickBot="1">
      <c r="A52" s="265" t="s">
        <v>1561</v>
      </c>
      <c r="B52" s="266"/>
      <c r="C52" s="267">
        <f ca="1">C31+C51</f>
        <v>4853114</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203425</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2279655</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892.35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892.35</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-178452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18</v>
      </c>
      <c r="D20" s="844">
        <f ca="1">IF(C1="",'数据-汇总表'!E6,IF(INDIRECT("'数据-取费表'!c"&amp;$K$1)="住宅",INDIRECT("'数据-取费表'!s"&amp;$K$1),INDIRECT("'数据-取费表'!k"&amp;$K$1)+INDIRECT("'数据-取费表'!s"&amp;$K$1)))</f>
        <v>892.35</v>
      </c>
      <c r="E20" s="21">
        <f>'数据-取费表'!B28</f>
        <v>200</v>
      </c>
      <c r="F20" s="802"/>
      <c r="G20" s="12"/>
      <c r="H20" s="807"/>
      <c r="I20" s="807"/>
      <c r="J20" s="807"/>
      <c r="K20" s="808"/>
    </row>
    <row r="21" spans="1:33" s="801" customFormat="1" ht="13.5" customHeight="1">
      <c r="A21" s="788" t="s">
        <v>357</v>
      </c>
      <c r="B21" s="811" t="s">
        <v>1628</v>
      </c>
      <c r="C21" s="812">
        <f ca="1">C16+C17+C18</f>
        <v>-178452</v>
      </c>
      <c r="D21" s="813"/>
      <c r="E21" s="281"/>
      <c r="F21" s="281"/>
      <c r="G21" s="131" t="s">
        <v>1629</v>
      </c>
      <c r="H21" s="805"/>
      <c r="I21" s="805"/>
      <c r="J21" s="805"/>
      <c r="K21" s="806"/>
    </row>
    <row r="22" spans="1:33" s="801" customFormat="1" ht="13.5" customHeight="1">
      <c r="A22" s="788" t="s">
        <v>1601</v>
      </c>
      <c r="B22" s="811" t="s">
        <v>1630</v>
      </c>
      <c r="C22" s="812">
        <f ca="1">ROUND(C21*F22,0)</f>
        <v>-3569</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-27303</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-27303</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203425</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7" t="s">
        <v>694</v>
      </c>
      <c r="C6" s="1072">
        <f ca="1">ROUND(F6*F8*F7*(1-F9)/10000,0)</f>
        <v>0</v>
      </c>
      <c r="D6" s="155" t="s">
        <v>2108</v>
      </c>
      <c r="E6" s="302" t="s">
        <v>696</v>
      </c>
      <c r="F6" s="303">
        <f ca="1">INDIRECT("'数据-取费表'!u"&amp;$G$1)</f>
        <v>0</v>
      </c>
      <c r="G6" s="1382"/>
      <c r="H6" s="1067" t="s">
        <v>398</v>
      </c>
      <c r="I6" s="3647" t="s">
        <v>694</v>
      </c>
      <c r="J6" s="301">
        <f ca="1">ROUND(M6*M8*M7*(1-M9)/10000,0)</f>
        <v>0</v>
      </c>
      <c r="K6" s="155" t="s">
        <v>2107</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0</v>
      </c>
      <c r="G7" s="1382"/>
      <c r="H7" s="304"/>
      <c r="I7" s="3648"/>
      <c r="J7" s="306"/>
      <c r="K7" s="307"/>
      <c r="L7" s="302" t="s">
        <v>697</v>
      </c>
      <c r="M7" s="303">
        <f ca="1">F7</f>
        <v>0</v>
      </c>
    </row>
    <row r="8" spans="1:37" ht="18" customHeight="1">
      <c r="A8" s="304"/>
      <c r="B8" s="3648"/>
      <c r="C8" s="306"/>
      <c r="D8" s="307"/>
      <c r="E8" s="302" t="s">
        <v>698</v>
      </c>
      <c r="F8" s="303">
        <f ca="1">INDIRECT("'数据-取费表'!ai"&amp;$G$1)</f>
        <v>0</v>
      </c>
      <c r="G8" s="1382"/>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5" t="s">
        <v>837</v>
      </c>
      <c r="L53" s="364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election activeCell="N32" sqref="N32"/>
    </sheetView>
  </sheetViews>
  <sheetFormatPr defaultRowHeight="13.5"/>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9" zoomScale="85" zoomScaleNormal="70" zoomScaleSheetLayoutView="85" workbookViewId="0">
      <selection activeCell="C104" sqref="C104:F10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3396</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3021.6756</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33862</v>
      </c>
      <c r="C3" s="354" t="s">
        <v>1768</v>
      </c>
      <c r="D3" s="353">
        <f>IF(D1="",'数据-汇总表'!E3,SUMIF('数据-汇总表'!$C19:$C33,D1,'数据-汇总表'!$E19:$E33))</f>
        <v>892.35</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672" t="s">
        <v>1775</v>
      </c>
      <c r="Q4" s="3673"/>
      <c r="R4" s="3678" t="s">
        <v>1771</v>
      </c>
      <c r="S4" s="3679"/>
      <c r="T4" s="3678" t="s">
        <v>1772</v>
      </c>
      <c r="U4" s="3679"/>
      <c r="V4" s="3684" t="s">
        <v>1773</v>
      </c>
      <c r="W4" s="3684"/>
      <c r="X4" s="1956"/>
      <c r="Y4" s="3678" t="s">
        <v>1775</v>
      </c>
      <c r="Z4" s="3679"/>
      <c r="AA4" s="3696" t="s">
        <v>1771</v>
      </c>
      <c r="AB4" s="3696" t="s">
        <v>1772</v>
      </c>
      <c r="AC4" s="3665" t="s">
        <v>1773</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1353"/>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1353"/>
      <c r="Y6" s="3682"/>
      <c r="Z6" s="3683"/>
      <c r="AA6" s="3698"/>
      <c r="AB6" s="3698"/>
      <c r="AC6" s="3667"/>
    </row>
    <row r="7" spans="1:29" s="108" customFormat="1" ht="15.75" thickBot="1">
      <c r="A7" s="362" t="s">
        <v>1679</v>
      </c>
      <c r="B7" s="363"/>
      <c r="C7" s="364">
        <f>'数据-取费表'!B2</f>
        <v>45481</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90" t="s">
        <v>1683</v>
      </c>
      <c r="Q8" s="3691"/>
      <c r="R8" s="699" t="s">
        <v>14</v>
      </c>
      <c r="S8" s="700">
        <f t="shared" si="0"/>
        <v>102</v>
      </c>
      <c r="T8" s="699" t="s">
        <v>14</v>
      </c>
      <c r="U8" s="700">
        <f t="shared" si="1"/>
        <v>102</v>
      </c>
      <c r="V8" s="699" t="s">
        <v>14</v>
      </c>
      <c r="W8" s="700">
        <f t="shared" si="2"/>
        <v>102</v>
      </c>
      <c r="X8" s="701"/>
      <c r="Y8" s="3692" t="s">
        <v>1683</v>
      </c>
      <c r="Z8" s="3691"/>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1350" t="str">
        <f t="shared" si="6"/>
        <v>办公集聚程度</v>
      </c>
      <c r="R15" s="703" t="s">
        <v>14</v>
      </c>
      <c r="S15" s="704">
        <f t="shared" si="0"/>
        <v>100</v>
      </c>
      <c r="T15" s="703" t="s">
        <v>14</v>
      </c>
      <c r="U15" s="704">
        <f t="shared" si="1"/>
        <v>100</v>
      </c>
      <c r="V15" s="703" t="s">
        <v>14</v>
      </c>
      <c r="W15" s="704">
        <f t="shared" si="2"/>
        <v>100</v>
      </c>
      <c r="X15" s="1353"/>
      <c r="Y15" s="3658" t="s">
        <v>1691</v>
      </c>
      <c r="Z15" s="1354" t="str">
        <f t="shared" si="7"/>
        <v>办公集聚程度</v>
      </c>
      <c r="AA15" s="1351">
        <f t="shared" si="3"/>
        <v>1</v>
      </c>
      <c r="AB15" s="13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1350"/>
      <c r="R16" s="703"/>
      <c r="S16" s="704"/>
      <c r="T16" s="703"/>
      <c r="U16" s="704"/>
      <c r="V16" s="703"/>
      <c r="W16" s="704"/>
      <c r="X16" s="1353"/>
      <c r="Y16" s="365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1350"/>
      <c r="R18" s="703"/>
      <c r="S18" s="704"/>
      <c r="T18" s="703"/>
      <c r="U18" s="704"/>
      <c r="V18" s="703"/>
      <c r="W18" s="704"/>
      <c r="X18" s="1353"/>
      <c r="Y18" s="365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1350"/>
      <c r="R20" s="703"/>
      <c r="S20" s="704"/>
      <c r="T20" s="703"/>
      <c r="U20" s="704"/>
      <c r="V20" s="703"/>
      <c r="W20" s="704"/>
      <c r="X20" s="1353"/>
      <c r="Y20" s="365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1350"/>
      <c r="R22" s="703"/>
      <c r="S22" s="704"/>
      <c r="T22" s="703"/>
      <c r="U22" s="704"/>
      <c r="V22" s="703"/>
      <c r="W22" s="704"/>
      <c r="X22" s="1353"/>
      <c r="Y22" s="365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1350"/>
      <c r="R24" s="703"/>
      <c r="S24" s="704"/>
      <c r="T24" s="703"/>
      <c r="U24" s="704"/>
      <c r="V24" s="703"/>
      <c r="W24" s="704"/>
      <c r="X24" s="1353"/>
      <c r="Y24" s="365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1350" t="str">
        <f>B25</f>
        <v>毗邻道路的类型与等级</v>
      </c>
      <c r="R25" s="703" t="s">
        <v>14</v>
      </c>
      <c r="S25" s="704">
        <f>F25</f>
        <v>100</v>
      </c>
      <c r="T25" s="703" t="s">
        <v>14</v>
      </c>
      <c r="U25" s="704">
        <f>H25</f>
        <v>100</v>
      </c>
      <c r="V25" s="703" t="s">
        <v>14</v>
      </c>
      <c r="W25" s="704">
        <f>J25</f>
        <v>100</v>
      </c>
      <c r="X25" s="1353"/>
      <c r="Y25" s="3659"/>
      <c r="Z25" s="1354" t="str">
        <f>Q25</f>
        <v>毗邻道路的类型与等级</v>
      </c>
      <c r="AA25" s="1351">
        <f t="shared" si="3"/>
        <v>1</v>
      </c>
      <c r="AB25" s="13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1350"/>
      <c r="R26" s="703"/>
      <c r="S26" s="704"/>
      <c r="T26" s="703"/>
      <c r="U26" s="704"/>
      <c r="V26" s="703"/>
      <c r="W26" s="704"/>
      <c r="X26" s="1353"/>
      <c r="Y26" s="3659"/>
      <c r="Z26" s="1354"/>
      <c r="AA26" s="1351">
        <v>1</v>
      </c>
      <c r="AB26" s="1351">
        <v>1</v>
      </c>
      <c r="AC26" s="1960">
        <v>1</v>
      </c>
    </row>
    <row r="27" spans="1:29" ht="15">
      <c r="A27" s="379"/>
      <c r="B27" s="580" t="s">
        <v>1783</v>
      </c>
      <c r="C27" s="582" t="s">
        <v>3411</v>
      </c>
      <c r="D27" s="386">
        <v>100</v>
      </c>
      <c r="E27" s="565" t="s">
        <v>3409</v>
      </c>
      <c r="F27" s="386">
        <f>SUMIF(89:89,E27,90:90)-SUMIF(89:89,C27,90:90)+100</f>
        <v>102</v>
      </c>
      <c r="G27" s="565" t="s">
        <v>3409</v>
      </c>
      <c r="H27" s="386">
        <f>SUMIF(89:89,G27,90:90)-SUMIF(89:89,C27,90:90)+100</f>
        <v>102</v>
      </c>
      <c r="I27" s="565" t="s">
        <v>3409</v>
      </c>
      <c r="J27" s="386">
        <f>SUMIF(89:89,I27,90:90)-SUMIF(89:89,C27,90:90)+100</f>
        <v>102</v>
      </c>
      <c r="K27" s="561">
        <v>2</v>
      </c>
      <c r="L27" s="2720"/>
      <c r="M27" s="2714"/>
      <c r="N27" s="2714"/>
      <c r="O27" s="2714"/>
      <c r="P27" s="3657"/>
      <c r="Q27" s="1350" t="str">
        <f t="shared" ref="Q27:Q47" si="11">B27</f>
        <v>楼层</v>
      </c>
      <c r="R27" s="703" t="s">
        <v>14</v>
      </c>
      <c r="S27" s="704">
        <f>F27</f>
        <v>102</v>
      </c>
      <c r="T27" s="703" t="s">
        <v>14</v>
      </c>
      <c r="U27" s="704">
        <f>H27</f>
        <v>102</v>
      </c>
      <c r="V27" s="703" t="s">
        <v>14</v>
      </c>
      <c r="W27" s="704">
        <f>J27</f>
        <v>102</v>
      </c>
      <c r="X27" s="1353"/>
      <c r="Y27" s="3659"/>
      <c r="Z27" s="1354" t="str">
        <f>Q27</f>
        <v>楼层</v>
      </c>
      <c r="AA27" s="1351">
        <f t="shared" si="3"/>
        <v>0.98039215686274506</v>
      </c>
      <c r="AB27" s="1351">
        <f t="shared" si="4"/>
        <v>0.98039215686274506</v>
      </c>
      <c r="AC27" s="1960">
        <f t="shared" si="5"/>
        <v>0.98039215686274506</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1341" t="str">
        <f t="shared" si="11"/>
        <v>朝向</v>
      </c>
      <c r="R28" s="699" t="s">
        <v>14</v>
      </c>
      <c r="S28" s="700">
        <f>F28</f>
        <v>100</v>
      </c>
      <c r="T28" s="699" t="s">
        <v>14</v>
      </c>
      <c r="U28" s="700">
        <f>H28</f>
        <v>100</v>
      </c>
      <c r="V28" s="699" t="s">
        <v>14</v>
      </c>
      <c r="W28" s="700">
        <f>J28</f>
        <v>100</v>
      </c>
      <c r="X28" s="701"/>
      <c r="Y28" s="365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1350">
        <f t="shared" si="11"/>
        <v>111</v>
      </c>
      <c r="R29" s="703" t="s">
        <v>14</v>
      </c>
      <c r="S29" s="704">
        <f t="shared" ref="S29:S47" si="12">F29</f>
        <v>100</v>
      </c>
      <c r="T29" s="703" t="s">
        <v>14</v>
      </c>
      <c r="U29" s="704">
        <f t="shared" ref="U29:U47" si="13">H29</f>
        <v>100</v>
      </c>
      <c r="V29" s="703" t="s">
        <v>14</v>
      </c>
      <c r="W29" s="704">
        <f t="shared" ref="W29:W47" si="14">J29</f>
        <v>100</v>
      </c>
      <c r="X29" s="1353"/>
      <c r="Y29" s="365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1350">
        <f t="shared" si="11"/>
        <v>111</v>
      </c>
      <c r="R32" s="703" t="s">
        <v>14</v>
      </c>
      <c r="S32" s="704">
        <f t="shared" si="12"/>
        <v>100</v>
      </c>
      <c r="T32" s="703" t="s">
        <v>14</v>
      </c>
      <c r="U32" s="704">
        <f t="shared" si="13"/>
        <v>100</v>
      </c>
      <c r="V32" s="703" t="s">
        <v>14</v>
      </c>
      <c r="W32" s="704">
        <f t="shared" si="14"/>
        <v>100</v>
      </c>
      <c r="X32" s="1353"/>
      <c r="Y32" s="3659"/>
      <c r="Z32" s="1354">
        <f t="shared" si="15"/>
        <v>111</v>
      </c>
      <c r="AA32" s="1351">
        <f t="shared" si="3"/>
        <v>1</v>
      </c>
      <c r="AB32" s="13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1350" t="str">
        <f t="shared" si="11"/>
        <v>建筑类型</v>
      </c>
      <c r="R33" s="703" t="s">
        <v>14</v>
      </c>
      <c r="S33" s="704">
        <f t="shared" si="12"/>
        <v>100</v>
      </c>
      <c r="T33" s="703" t="s">
        <v>14</v>
      </c>
      <c r="U33" s="704">
        <f t="shared" si="13"/>
        <v>100</v>
      </c>
      <c r="V33" s="703" t="s">
        <v>14</v>
      </c>
      <c r="W33" s="704">
        <f t="shared" si="14"/>
        <v>100</v>
      </c>
      <c r="X33" s="1353"/>
      <c r="Y33" s="3663" t="s">
        <v>1696</v>
      </c>
      <c r="Z33" s="1354" t="str">
        <f t="shared" si="15"/>
        <v>建筑类型</v>
      </c>
      <c r="AA33" s="1351">
        <f t="shared" si="3"/>
        <v>1</v>
      </c>
      <c r="AB33" s="1351">
        <f t="shared" si="4"/>
        <v>1</v>
      </c>
      <c r="AC33" s="1960">
        <f t="shared" si="5"/>
        <v>1</v>
      </c>
    </row>
    <row r="34" spans="1:29" s="422" customFormat="1" ht="15">
      <c r="A34" s="419"/>
      <c r="B34" s="375" t="s">
        <v>1697</v>
      </c>
      <c r="C34" s="420">
        <v>320.41000000000003</v>
      </c>
      <c r="D34" s="127">
        <v>100</v>
      </c>
      <c r="E34" s="420">
        <v>401.74</v>
      </c>
      <c r="F34" s="376">
        <f>LOOKUP(E34,104:104,105:105)-LOOKUP(C34,104:104,105:105)+100</f>
        <v>100</v>
      </c>
      <c r="G34" s="420">
        <v>71.45</v>
      </c>
      <c r="H34" s="127">
        <f>LOOKUP(G34,104:104,105:105)-LOOKUP(C34,104:104,105:105)+100</f>
        <v>98</v>
      </c>
      <c r="I34" s="420">
        <v>361.84</v>
      </c>
      <c r="J34" s="127">
        <f>LOOKUP(I34,104:104,105:105)-LOOKUP(C34,104:104,105:105)+100</f>
        <v>100</v>
      </c>
      <c r="K34" s="562"/>
      <c r="L34" s="2719"/>
      <c r="M34" s="2721"/>
      <c r="N34" s="2721"/>
      <c r="O34" s="2721"/>
      <c r="P34" s="3661"/>
      <c r="Q34" s="705" t="str">
        <f t="shared" si="11"/>
        <v>项目建筑规模</v>
      </c>
      <c r="R34" s="706" t="s">
        <v>14</v>
      </c>
      <c r="S34" s="707">
        <f t="shared" si="12"/>
        <v>100</v>
      </c>
      <c r="T34" s="706" t="s">
        <v>14</v>
      </c>
      <c r="U34" s="707">
        <f t="shared" si="13"/>
        <v>98</v>
      </c>
      <c r="V34" s="706" t="s">
        <v>14</v>
      </c>
      <c r="W34" s="707">
        <f t="shared" si="14"/>
        <v>100</v>
      </c>
      <c r="X34" s="708"/>
      <c r="Y34" s="3663"/>
      <c r="Z34" s="709" t="str">
        <f t="shared" si="15"/>
        <v>项目建筑规模</v>
      </c>
      <c r="AA34" s="1351">
        <f t="shared" si="3"/>
        <v>1</v>
      </c>
      <c r="AB34" s="1351">
        <f t="shared" si="4"/>
        <v>1.0204081632653061</v>
      </c>
      <c r="AC34" s="1960">
        <f t="shared" si="5"/>
        <v>1</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1350" t="str">
        <f t="shared" si="11"/>
        <v>建筑结构</v>
      </c>
      <c r="R35" s="703" t="s">
        <v>14</v>
      </c>
      <c r="S35" s="704">
        <f t="shared" si="12"/>
        <v>100</v>
      </c>
      <c r="T35" s="703" t="s">
        <v>14</v>
      </c>
      <c r="U35" s="704">
        <f t="shared" si="13"/>
        <v>100</v>
      </c>
      <c r="V35" s="703" t="s">
        <v>14</v>
      </c>
      <c r="W35" s="704">
        <f t="shared" si="14"/>
        <v>100</v>
      </c>
      <c r="X35" s="1353"/>
      <c r="Y35" s="3663"/>
      <c r="Z35" s="1354" t="str">
        <f t="shared" si="15"/>
        <v>建筑结构</v>
      </c>
      <c r="AA35" s="1351">
        <f t="shared" si="3"/>
        <v>1</v>
      </c>
      <c r="AB35" s="13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1350" t="str">
        <f t="shared" si="11"/>
        <v>公共部分装修</v>
      </c>
      <c r="R36" s="703" t="s">
        <v>14</v>
      </c>
      <c r="S36" s="704">
        <f t="shared" si="12"/>
        <v>100</v>
      </c>
      <c r="T36" s="703" t="s">
        <v>14</v>
      </c>
      <c r="U36" s="704">
        <f t="shared" si="13"/>
        <v>100</v>
      </c>
      <c r="V36" s="703" t="s">
        <v>14</v>
      </c>
      <c r="W36" s="704">
        <f t="shared" si="14"/>
        <v>100</v>
      </c>
      <c r="X36" s="1353"/>
      <c r="Y36" s="3663"/>
      <c r="Z36" s="1354" t="str">
        <f t="shared" si="15"/>
        <v>公共部分装修</v>
      </c>
      <c r="AA36" s="1351">
        <f t="shared" si="3"/>
        <v>1</v>
      </c>
      <c r="AB36" s="13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1350" t="str">
        <f t="shared" si="11"/>
        <v>成新度</v>
      </c>
      <c r="R37" s="703" t="s">
        <v>14</v>
      </c>
      <c r="S37" s="704">
        <f t="shared" si="12"/>
        <v>100</v>
      </c>
      <c r="T37" s="703" t="s">
        <v>14</v>
      </c>
      <c r="U37" s="704">
        <f t="shared" si="13"/>
        <v>100</v>
      </c>
      <c r="V37" s="703" t="s">
        <v>14</v>
      </c>
      <c r="W37" s="704">
        <f t="shared" si="14"/>
        <v>100</v>
      </c>
      <c r="X37" s="1353"/>
      <c r="Y37" s="3663"/>
      <c r="Z37" s="1354" t="str">
        <f t="shared" si="15"/>
        <v>成新度</v>
      </c>
      <c r="AA37" s="1351">
        <f t="shared" si="3"/>
        <v>1</v>
      </c>
      <c r="AB37" s="13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1341" t="str">
        <f t="shared" si="11"/>
        <v>写字楼等级</v>
      </c>
      <c r="R38" s="699" t="s">
        <v>14</v>
      </c>
      <c r="S38" s="700">
        <f t="shared" si="12"/>
        <v>100</v>
      </c>
      <c r="T38" s="699" t="s">
        <v>14</v>
      </c>
      <c r="U38" s="700">
        <f t="shared" si="13"/>
        <v>100</v>
      </c>
      <c r="V38" s="699" t="s">
        <v>14</v>
      </c>
      <c r="W38" s="700">
        <f t="shared" si="14"/>
        <v>100</v>
      </c>
      <c r="X38" s="701"/>
      <c r="Y38" s="3663"/>
      <c r="Z38" s="52"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1350" t="str">
        <f t="shared" si="11"/>
        <v>物业管理</v>
      </c>
      <c r="R39" s="703" t="s">
        <v>14</v>
      </c>
      <c r="S39" s="704">
        <f t="shared" si="12"/>
        <v>100</v>
      </c>
      <c r="T39" s="703" t="s">
        <v>14</v>
      </c>
      <c r="U39" s="704">
        <f t="shared" si="13"/>
        <v>100</v>
      </c>
      <c r="V39" s="703" t="s">
        <v>14</v>
      </c>
      <c r="W39" s="704">
        <f t="shared" si="14"/>
        <v>100</v>
      </c>
      <c r="X39" s="1353"/>
      <c r="Y39" s="3663" t="s">
        <v>1696</v>
      </c>
      <c r="Z39" s="1354" t="str">
        <f t="shared" si="15"/>
        <v>物业管理</v>
      </c>
      <c r="AA39" s="1351">
        <f t="shared" si="3"/>
        <v>1</v>
      </c>
      <c r="AB39" s="13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1350" t="str">
        <f t="shared" si="11"/>
        <v>市政基础设施</v>
      </c>
      <c r="R40" s="703" t="s">
        <v>14</v>
      </c>
      <c r="S40" s="704">
        <f t="shared" si="12"/>
        <v>100</v>
      </c>
      <c r="T40" s="703" t="s">
        <v>14</v>
      </c>
      <c r="U40" s="704">
        <f t="shared" si="13"/>
        <v>100</v>
      </c>
      <c r="V40" s="703" t="s">
        <v>14</v>
      </c>
      <c r="W40" s="704">
        <f t="shared" si="14"/>
        <v>100</v>
      </c>
      <c r="X40" s="1353"/>
      <c r="Y40" s="366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1350" t="str">
        <f t="shared" si="11"/>
        <v>层高</v>
      </c>
      <c r="R41" s="703" t="s">
        <v>14</v>
      </c>
      <c r="S41" s="704">
        <f t="shared" si="12"/>
        <v>100</v>
      </c>
      <c r="T41" s="703" t="s">
        <v>14</v>
      </c>
      <c r="U41" s="704">
        <f t="shared" si="13"/>
        <v>100</v>
      </c>
      <c r="V41" s="703" t="s">
        <v>14</v>
      </c>
      <c r="W41" s="704">
        <f t="shared" si="14"/>
        <v>100</v>
      </c>
      <c r="X41" s="1353"/>
      <c r="Y41" s="366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1351">
        <f t="shared" si="3"/>
        <v>1</v>
      </c>
      <c r="AB42" s="13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1350" t="str">
        <f t="shared" si="11"/>
        <v>内部装修</v>
      </c>
      <c r="R43" s="703" t="s">
        <v>14</v>
      </c>
      <c r="S43" s="704">
        <f t="shared" si="12"/>
        <v>100</v>
      </c>
      <c r="T43" s="703" t="s">
        <v>14</v>
      </c>
      <c r="U43" s="704">
        <f t="shared" si="13"/>
        <v>100</v>
      </c>
      <c r="V43" s="703" t="s">
        <v>14</v>
      </c>
      <c r="W43" s="704">
        <f t="shared" si="14"/>
        <v>100</v>
      </c>
      <c r="X43" s="1353"/>
      <c r="Y43" s="3663"/>
      <c r="Z43" s="1354" t="str">
        <f t="shared" si="15"/>
        <v>内部装修</v>
      </c>
      <c r="AA43" s="1351">
        <f t="shared" si="3"/>
        <v>1</v>
      </c>
      <c r="AB43" s="13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1350" t="str">
        <f t="shared" si="11"/>
        <v>内部装修维护情况</v>
      </c>
      <c r="R44" s="703" t="s">
        <v>14</v>
      </c>
      <c r="S44" s="704">
        <f t="shared" si="12"/>
        <v>100</v>
      </c>
      <c r="T44" s="703" t="s">
        <v>14</v>
      </c>
      <c r="U44" s="704">
        <f t="shared" si="13"/>
        <v>100</v>
      </c>
      <c r="V44" s="703" t="s">
        <v>14</v>
      </c>
      <c r="W44" s="704">
        <f t="shared" si="14"/>
        <v>100</v>
      </c>
      <c r="X44" s="1353"/>
      <c r="Y44" s="366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1341">
        <f t="shared" si="11"/>
        <v>111</v>
      </c>
      <c r="R45" s="699" t="s">
        <v>14</v>
      </c>
      <c r="S45" s="700">
        <f t="shared" si="12"/>
        <v>100</v>
      </c>
      <c r="T45" s="699" t="s">
        <v>14</v>
      </c>
      <c r="U45" s="700">
        <f t="shared" si="13"/>
        <v>100</v>
      </c>
      <c r="V45" s="699" t="s">
        <v>14</v>
      </c>
      <c r="W45" s="700">
        <f t="shared" si="14"/>
        <v>100</v>
      </c>
      <c r="X45" s="701"/>
      <c r="Y45" s="366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1350">
        <f t="shared" si="11"/>
        <v>111</v>
      </c>
      <c r="R46" s="703" t="s">
        <v>14</v>
      </c>
      <c r="S46" s="704">
        <f t="shared" si="12"/>
        <v>100</v>
      </c>
      <c r="T46" s="703" t="s">
        <v>14</v>
      </c>
      <c r="U46" s="704">
        <f t="shared" si="13"/>
        <v>100</v>
      </c>
      <c r="V46" s="703" t="s">
        <v>14</v>
      </c>
      <c r="W46" s="704">
        <f t="shared" si="14"/>
        <v>100</v>
      </c>
      <c r="X46" s="1353"/>
      <c r="Y46" s="366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1350">
        <f t="shared" si="11"/>
        <v>111</v>
      </c>
      <c r="R47" s="703" t="s">
        <v>14</v>
      </c>
      <c r="S47" s="704">
        <f t="shared" si="12"/>
        <v>100</v>
      </c>
      <c r="T47" s="703" t="s">
        <v>14</v>
      </c>
      <c r="U47" s="704">
        <f t="shared" si="13"/>
        <v>100</v>
      </c>
      <c r="V47" s="703" t="s">
        <v>14</v>
      </c>
      <c r="W47" s="704">
        <f t="shared" si="14"/>
        <v>100</v>
      </c>
      <c r="X47" s="1353"/>
      <c r="Y47" s="3664"/>
      <c r="Z47" s="1354">
        <f t="shared" si="15"/>
        <v>111</v>
      </c>
      <c r="AA47" s="1351">
        <f t="shared" si="3"/>
        <v>1</v>
      </c>
      <c r="AB47" s="1351">
        <f t="shared" si="4"/>
        <v>1</v>
      </c>
      <c r="AC47" s="1960">
        <f t="shared" si="5"/>
        <v>1</v>
      </c>
    </row>
    <row r="48" spans="1:29" ht="15">
      <c r="A48" s="430" t="s">
        <v>1708</v>
      </c>
      <c r="B48" s="431"/>
      <c r="C48" s="1152" t="s">
        <v>0</v>
      </c>
      <c r="D48" s="1153"/>
      <c r="E48" s="1154">
        <f>ROUND(1406/E34*10000,0)</f>
        <v>34998</v>
      </c>
      <c r="F48" s="1155"/>
      <c r="G48" s="1156">
        <f>ROUND(250/G34*10000,0)</f>
        <v>34990</v>
      </c>
      <c r="H48" s="1157"/>
      <c r="I48" s="1154">
        <f>ROUND(1266/I34*10000,0)</f>
        <v>34988</v>
      </c>
      <c r="J48" s="436"/>
      <c r="K48" s="712"/>
      <c r="L48" s="2722"/>
      <c r="M48" s="2714"/>
      <c r="N48" s="2714"/>
      <c r="O48" s="2714"/>
      <c r="P48" s="3650" t="str">
        <f>A48</f>
        <v>成交单价（元/平方米）</v>
      </c>
      <c r="Q48" s="3651"/>
      <c r="R48" s="3652">
        <f>E48</f>
        <v>34998</v>
      </c>
      <c r="S48" s="3652"/>
      <c r="T48" s="3652">
        <f>G48</f>
        <v>34990</v>
      </c>
      <c r="U48" s="3652"/>
      <c r="V48" s="3652">
        <f>I48</f>
        <v>34988</v>
      </c>
      <c r="W48" s="3652"/>
      <c r="X48" s="397"/>
      <c r="Y48" s="710"/>
      <c r="Z48" s="397"/>
      <c r="AA48" s="397"/>
      <c r="AB48" s="397"/>
      <c r="AC48" s="578"/>
    </row>
    <row r="49" spans="1:29" ht="15.75" thickBot="1">
      <c r="A49" s="437" t="s">
        <v>1793</v>
      </c>
      <c r="B49" s="438"/>
      <c r="C49" s="1158">
        <f>R50</f>
        <v>33862</v>
      </c>
      <c r="D49" s="2315" t="s">
        <v>2137</v>
      </c>
      <c r="E49" s="1159">
        <f>R49</f>
        <v>33639</v>
      </c>
      <c r="F49" s="2316"/>
      <c r="G49" s="1158">
        <f>T49</f>
        <v>34318</v>
      </c>
      <c r="H49" s="2316"/>
      <c r="I49" s="1159">
        <f>V49</f>
        <v>33629</v>
      </c>
      <c r="J49" s="2316"/>
      <c r="K49" s="2318">
        <f>F49+H49+J49</f>
        <v>0</v>
      </c>
      <c r="L49" s="2722"/>
      <c r="M49" s="2714"/>
      <c r="N49" s="2714"/>
      <c r="O49" s="2714"/>
      <c r="P49" s="3650" t="str">
        <f>A49</f>
        <v>比较价值（元/平方米）</v>
      </c>
      <c r="Q49" s="3651"/>
      <c r="R49" s="3652">
        <f>IF(F1="售价",ROUND(PRODUCT(R48,AA7:AA47),0),ROUND(PRODUCT(R48,AA7:AA47),1))</f>
        <v>33639</v>
      </c>
      <c r="S49" s="3652"/>
      <c r="T49" s="3652">
        <f>IF(F1="售价",ROUND(PRODUCT(T48,AB7:AB47),0),ROUND(PRODUCT(T48,AB7:AB47),1))</f>
        <v>34318</v>
      </c>
      <c r="U49" s="3652"/>
      <c r="V49" s="3652">
        <f>IF(F1="售价",ROUND(PRODUCT(V48,AC7:AC47),0),ROUND(PRODUCT(V48,AC7:AC47),1))</f>
        <v>33629</v>
      </c>
      <c r="W49" s="3652"/>
      <c r="X49" s="397"/>
      <c r="Y49" s="397"/>
      <c r="Z49" s="397"/>
      <c r="AA49" s="397"/>
      <c r="AB49" s="397"/>
      <c r="AC49" s="578"/>
    </row>
    <row r="50" spans="1:29" ht="15.75" thickBot="1">
      <c r="A50" s="441" t="s">
        <v>1794</v>
      </c>
      <c r="B50" s="442"/>
      <c r="C50" s="1161">
        <f>R50</f>
        <v>33862</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33862</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4.0399536252563983E-2</v>
      </c>
      <c r="F53" s="449" t="str">
        <f>IF(OR(E53&gt;=0.3,E53&lt;=-0.3),"超过30%","")</f>
        <v/>
      </c>
      <c r="G53" s="448">
        <f>IF(G48&lt;G49,G49/G48-1,G48/G49-1)</f>
        <v>1.9581560697010225E-2</v>
      </c>
      <c r="H53" s="449" t="str">
        <f>IF(OR(G53&gt;=0.3,G53&lt;=-0.3),"超过30%","")</f>
        <v/>
      </c>
      <c r="I53" s="448">
        <f>IF(I48&lt;I49,I49/I48-1,I48/I49-1)</f>
        <v>4.0411549555443127E-2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2.0184904426409744E-2</v>
      </c>
      <c r="F54" s="449" t="str">
        <f>IF(OR(E54&gt;=0.2,E54&lt;=-0.2),"超过20%","")</f>
        <v/>
      </c>
      <c r="G54" s="448">
        <f>IF(G49&lt;I49,I49/G49-1,G49/I49-1)</f>
        <v>2.0488269053495545E-2</v>
      </c>
      <c r="H54" s="449" t="str">
        <f>IF(OR(G54&gt;=0.2,G54&lt;=-0.2),"超过20%","")</f>
        <v/>
      </c>
      <c r="I54" s="448">
        <f>IF(I49&lt;E49,E49/I49-1,I49/E49-1)</f>
        <v>2.9736239555155919E-4</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2.2863675335815792E-4</v>
      </c>
      <c r="F55" s="449" t="str">
        <f>IF(OR(E55&gt;=0.3,E55&lt;=-0.3),"超过30%","")</f>
        <v/>
      </c>
      <c r="G55" s="448">
        <f>IF(G48&lt;I48,I48/G48-1,G48/I48-1)</f>
        <v>5.7162455699089065E-5</v>
      </c>
      <c r="H55" s="449" t="str">
        <f>IF(OR(G55&gt;=0.3,G55&lt;=-0.3),"超过30%","")</f>
        <v/>
      </c>
      <c r="I55" s="448">
        <f>IF(I48&lt;E48,E48/I48-1,I48/E48-1)</f>
        <v>2.8581227849544533E-4</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L39" sqref="L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23.98</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2006.8689999999999</v>
      </c>
      <c r="C2" s="1385" t="s">
        <v>879</v>
      </c>
      <c r="D2" s="1469">
        <f ca="1">C40+J29+L46</f>
        <v>20068690</v>
      </c>
      <c r="E2" s="1386" t="s">
        <v>880</v>
      </c>
      <c r="F2" s="1387"/>
      <c r="G2" s="2704"/>
      <c r="H2" s="2693"/>
      <c r="I2" s="2693"/>
      <c r="J2" s="2693"/>
      <c r="K2" s="2694"/>
      <c r="L2" s="2693"/>
      <c r="M2" s="2693"/>
    </row>
    <row r="3" spans="1:37" ht="18" customHeight="1" thickBot="1">
      <c r="A3" s="1388" t="s">
        <v>881</v>
      </c>
      <c r="B3" s="1389">
        <f ca="1">IF(ISERROR(D2/F43),0,ROUND(D2/F43,0))</f>
        <v>22490</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1467517</v>
      </c>
      <c r="D5" s="1362" t="s">
        <v>889</v>
      </c>
      <c r="E5" s="1069"/>
      <c r="F5" s="1070"/>
      <c r="G5" s="1382"/>
      <c r="H5" s="299">
        <v>1</v>
      </c>
      <c r="I5" s="300" t="s">
        <v>888</v>
      </c>
      <c r="J5" s="1068">
        <f ca="1">J6+J10+J12</f>
        <v>0</v>
      </c>
      <c r="K5" s="1362" t="s">
        <v>889</v>
      </c>
      <c r="L5" s="1069"/>
      <c r="M5" s="1070"/>
    </row>
    <row r="6" spans="1:37" ht="18" customHeight="1">
      <c r="A6" s="1067" t="s">
        <v>398</v>
      </c>
      <c r="B6" s="3647" t="s">
        <v>694</v>
      </c>
      <c r="C6" s="1072">
        <f ca="1">ROUND(F6*F8*F7*(1-F9),0)</f>
        <v>1465685</v>
      </c>
      <c r="D6" s="155" t="s">
        <v>2105</v>
      </c>
      <c r="E6" s="302" t="s">
        <v>696</v>
      </c>
      <c r="F6" s="303">
        <f ca="1">INDIRECT("'数据-取费表'!u"&amp;$G$1)</f>
        <v>5</v>
      </c>
      <c r="G6" s="1382"/>
      <c r="H6" s="1067" t="s">
        <v>398</v>
      </c>
      <c r="I6" s="3647" t="s">
        <v>694</v>
      </c>
      <c r="J6" s="301">
        <f ca="1">ROUND(M6*M8*M7*(1-M9),0)</f>
        <v>0</v>
      </c>
      <c r="K6" s="1374" t="s">
        <v>2106</v>
      </c>
      <c r="L6" s="302" t="s">
        <v>696</v>
      </c>
      <c r="M6" s="303">
        <f ca="1">INDIRECT("'数据-取费表'!z"&amp;$G$1)</f>
        <v>0</v>
      </c>
    </row>
    <row r="7" spans="1:37" ht="18" customHeight="1">
      <c r="A7" s="1071"/>
      <c r="B7" s="3648"/>
      <c r="C7" s="1073"/>
      <c r="D7" s="307"/>
      <c r="E7" s="1074" t="s">
        <v>697</v>
      </c>
      <c r="F7" s="303">
        <f ca="1">IF(INDIRECT("'数据-取费表'!ah"&amp;$G$1)="",INDIRECT("'数据-取费表'!k"&amp;$G$1),INDIRECT("'数据-取费表'!ah"&amp;$G$1))</f>
        <v>892.35</v>
      </c>
      <c r="G7" s="1382"/>
      <c r="H7" s="304"/>
      <c r="I7" s="3648"/>
      <c r="J7" s="306"/>
      <c r="K7" s="307"/>
      <c r="L7" s="302" t="s">
        <v>697</v>
      </c>
      <c r="M7" s="303">
        <f ca="1">F7</f>
        <v>892.35</v>
      </c>
    </row>
    <row r="8" spans="1:37" ht="18" customHeight="1">
      <c r="A8" s="304"/>
      <c r="B8" s="3648"/>
      <c r="C8" s="306"/>
      <c r="D8" s="307"/>
      <c r="E8" s="302" t="s">
        <v>698</v>
      </c>
      <c r="F8" s="303">
        <f ca="1">INDIRECT("'数据-取费表'!ai"&amp;$G$1)</f>
        <v>365</v>
      </c>
      <c r="G8" s="1382"/>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2"/>
      <c r="H9" s="304"/>
      <c r="I9" s="3649"/>
      <c r="J9" s="306"/>
      <c r="K9" s="307"/>
      <c r="L9" s="313" t="s">
        <v>699</v>
      </c>
      <c r="M9" s="314">
        <f ca="1">INDIRECT("'数据-取费表'!ab"&amp;$G$1)</f>
        <v>0</v>
      </c>
    </row>
    <row r="10" spans="1:37" ht="18" customHeight="1">
      <c r="A10" s="1067" t="s">
        <v>402</v>
      </c>
      <c r="B10" s="1363" t="s">
        <v>700</v>
      </c>
      <c r="C10" s="316">
        <f ca="1">ROUND(IF(F10="押一",C6/12*F11,IF(F10="押二",C6/12*2*F11,IF(F10="押三",C6/12*3*F11,C11*F11))),0)</f>
        <v>1832</v>
      </c>
      <c r="D10" s="1364" t="s">
        <v>2115</v>
      </c>
      <c r="E10" s="313" t="s">
        <v>701</v>
      </c>
      <c r="F10" s="1114" t="s">
        <v>3432</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4372084</v>
      </c>
      <c r="D13" s="1079" t="s">
        <v>705</v>
      </c>
      <c r="E13" s="1079" t="s">
        <v>706</v>
      </c>
      <c r="F13" s="1080">
        <f ca="1">INDIRECT("'数据-取费表'!y"&amp;$G$1)</f>
        <v>0.76</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4015575</v>
      </c>
      <c r="D14" s="1343" t="s">
        <v>708</v>
      </c>
      <c r="E14" s="1340"/>
      <c r="F14" s="319"/>
      <c r="G14" s="1382"/>
      <c r="H14" s="980" t="s">
        <v>398</v>
      </c>
      <c r="I14" s="302" t="s">
        <v>709</v>
      </c>
      <c r="J14" s="21">
        <f ca="1">C29</f>
        <v>5752742</v>
      </c>
      <c r="K14" s="12"/>
      <c r="L14" s="805"/>
      <c r="M14" s="806"/>
    </row>
    <row r="15" spans="1:37" s="1395" customFormat="1" ht="18" customHeight="1" thickBot="1">
      <c r="A15" s="980" t="s">
        <v>399</v>
      </c>
      <c r="B15" s="302" t="s">
        <v>710</v>
      </c>
      <c r="C15" s="21">
        <f ca="1">ROUND(C14*F15,0)</f>
        <v>120467</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28764</v>
      </c>
      <c r="K16" s="1085" t="s">
        <v>715</v>
      </c>
      <c r="L16" s="1086"/>
      <c r="M16" s="1070"/>
    </row>
    <row r="17" spans="1:37" s="1395" customFormat="1" ht="18" customHeight="1">
      <c r="A17" s="980" t="s">
        <v>681</v>
      </c>
      <c r="B17" s="302" t="s">
        <v>716</v>
      </c>
      <c r="C17" s="21">
        <f ca="1">ROUND(F17*(F43+INDIRECT("'数据-取费表'!S"&amp;$G$1)),0)</f>
        <v>178470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80312</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4394824</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87896</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28764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154653</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-28764</v>
      </c>
      <c r="K25" s="1093" t="s">
        <v>753</v>
      </c>
      <c r="L25" s="1094"/>
      <c r="M25" s="1095"/>
    </row>
    <row r="26" spans="1:37" ht="18" customHeight="1">
      <c r="A26" s="980" t="s">
        <v>397</v>
      </c>
      <c r="B26" s="302" t="s">
        <v>754</v>
      </c>
      <c r="C26" s="21">
        <f ca="1">ROUND((C19+C20)*F26,0)</f>
        <v>672408</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5.33E-2</v>
      </c>
      <c r="D28" s="323" t="s">
        <v>765</v>
      </c>
      <c r="E28" s="302" t="s">
        <v>712</v>
      </c>
      <c r="F28" s="322">
        <f>'数据-取费表'!B41</f>
        <v>5.6000000000000001E-2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5752742</v>
      </c>
      <c r="D29" s="1090"/>
      <c r="E29" s="1088"/>
      <c r="F29" s="1091"/>
      <c r="G29" s="1394"/>
      <c r="H29" s="334" t="s">
        <v>396</v>
      </c>
      <c r="I29" s="335" t="s">
        <v>768</v>
      </c>
      <c r="J29" s="336">
        <f ca="1">ROUND(J26/(1+F40)^F41,0)</f>
        <v>0</v>
      </c>
      <c r="K29" s="337" t="s">
        <v>769</v>
      </c>
      <c r="L29" s="338"/>
      <c r="M29" s="339">
        <f ca="1">INDIRECT("'数据-取费表'!k"&amp;$G$1)</f>
        <v>892.35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286151</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245677</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78170</v>
      </c>
      <c r="D32" s="1342" t="s">
        <v>724</v>
      </c>
      <c r="E32" s="302" t="s">
        <v>712</v>
      </c>
      <c r="F32" s="331">
        <f>'数据-取费表'!B41</f>
        <v>5.6000000000000001E-2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167507</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28764</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4372</v>
      </c>
      <c r="D37" s="1342" t="s">
        <v>743</v>
      </c>
      <c r="E37" s="302" t="s">
        <v>744</v>
      </c>
      <c r="F37" s="330">
        <f ca="1">INDIRECT("'数据-取费表'!Al"&amp;$G$1)</f>
        <v>1E-3</v>
      </c>
      <c r="G37" s="1382"/>
      <c r="H37" s="2698"/>
      <c r="I37" s="1396"/>
      <c r="J37" s="1397"/>
      <c r="K37" s="2542"/>
      <c r="L37" s="2698"/>
      <c r="M37" s="2698"/>
    </row>
    <row r="38" spans="1:18" ht="18" customHeight="1" thickBot="1">
      <c r="A38" s="1087" t="s">
        <v>684</v>
      </c>
      <c r="B38" s="1088" t="s">
        <v>728</v>
      </c>
      <c r="C38" s="1089">
        <f ca="1">ROUND(C5*F38,0)</f>
        <v>7338</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1181366</v>
      </c>
      <c r="D39" s="1093" t="s">
        <v>773</v>
      </c>
      <c r="E39" s="1094"/>
      <c r="F39" s="1095"/>
      <c r="G39" s="1382"/>
      <c r="H39" s="2698"/>
      <c r="I39" s="1396"/>
      <c r="J39" s="1397"/>
      <c r="K39" s="2702"/>
      <c r="L39" s="2698"/>
      <c r="M39" s="2698"/>
    </row>
    <row r="40" spans="1:18" ht="18" customHeight="1">
      <c r="A40" s="299" t="s">
        <v>395</v>
      </c>
      <c r="B40" s="300" t="s">
        <v>774</v>
      </c>
      <c r="C40" s="301">
        <f ca="1">ROUND(C39*(1-((1+F42)/(1+F40))^F41)/(F40-F42),0)</f>
        <v>19662471</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23.98</v>
      </c>
      <c r="G41" s="1382"/>
      <c r="H41" s="1189"/>
      <c r="I41" s="1396"/>
      <c r="J41" s="1397"/>
      <c r="K41" s="2542"/>
      <c r="L41" s="1189"/>
      <c r="M41" s="1189"/>
    </row>
    <row r="42" spans="1:18" ht="18" customHeight="1">
      <c r="A42" s="308"/>
      <c r="B42" s="309"/>
      <c r="C42" s="310"/>
      <c r="D42" s="327"/>
      <c r="E42" s="302" t="s">
        <v>766</v>
      </c>
      <c r="F42" s="312">
        <f ca="1">INDIRECT("'数据-取费表'!v"&amp;$G$1)</f>
        <v>2.5000000000000001E-2</v>
      </c>
      <c r="G42" s="1382"/>
      <c r="H42" s="1189"/>
      <c r="I42" s="1396"/>
      <c r="J42" s="1397"/>
      <c r="K42" s="2542"/>
      <c r="L42" s="1189"/>
      <c r="M42" s="1189"/>
    </row>
    <row r="43" spans="1:18" ht="18" customHeight="1" thickBot="1">
      <c r="A43" s="334" t="s">
        <v>396</v>
      </c>
      <c r="B43" s="335" t="s">
        <v>776</v>
      </c>
      <c r="C43" s="336">
        <f ca="1">ROUND(C40/F43,0)</f>
        <v>22034</v>
      </c>
      <c r="D43" s="337" t="s">
        <v>777</v>
      </c>
      <c r="E43" s="338" t="s">
        <v>778</v>
      </c>
      <c r="F43" s="339">
        <f ca="1">INDIRECT("'数据-取费表'!k"&amp;$G$1)</f>
        <v>892.35</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-2009.8087</v>
      </c>
      <c r="D45" s="3430" t="s">
        <v>3356</v>
      </c>
      <c r="E45" s="1398"/>
      <c r="F45" s="1398"/>
      <c r="O45" s="1401" t="s">
        <v>808</v>
      </c>
      <c r="P45" s="1459"/>
      <c r="Q45" s="1459"/>
      <c r="R45" s="1459"/>
    </row>
    <row r="46" spans="1:18" s="1382" customFormat="1" ht="13.5" thickBot="1">
      <c r="A46" s="1402" t="s">
        <v>809</v>
      </c>
      <c r="C46" s="1403">
        <f ca="1">ROUND(C45,0)</f>
        <v>-2010</v>
      </c>
      <c r="D46" s="1404" t="str">
        <f>C2</f>
        <v>万元</v>
      </c>
      <c r="I46" s="1405" t="s">
        <v>810</v>
      </c>
      <c r="J46" s="1406"/>
      <c r="K46" s="1407"/>
      <c r="L46" s="1408">
        <f ca="1">IF(M47="住宅",0,IF(L48&gt;J51,L60,J60))</f>
        <v>406219</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3415</v>
      </c>
      <c r="K47" s="1414" t="s">
        <v>816</v>
      </c>
      <c r="L47" s="1415">
        <f ca="1">INDIRECT("'数据-取费表'!d"&amp;$G$1)</f>
        <v>50</v>
      </c>
      <c r="M47" s="1378" t="str">
        <f>IF(ISNUMBER(FIND("住宅",C1)),"住宅","非住宅")</f>
        <v>非住宅</v>
      </c>
      <c r="O47" s="1416" t="s">
        <v>403</v>
      </c>
      <c r="P47" s="1417" t="s">
        <v>817</v>
      </c>
      <c r="Q47" s="1418">
        <f ca="1">C40+J29</f>
        <v>19662471</v>
      </c>
      <c r="R47" s="1418" t="s">
        <v>818</v>
      </c>
    </row>
    <row r="48" spans="1:18" s="1382" customFormat="1" ht="28.5" thickBot="1">
      <c r="A48" s="1108" t="s">
        <v>438</v>
      </c>
      <c r="B48" s="300" t="s">
        <v>692</v>
      </c>
      <c r="C48" s="1357">
        <f ca="1">C49+C53+C55</f>
        <v>0</v>
      </c>
      <c r="D48" s="1110"/>
      <c r="E48" s="1111"/>
      <c r="F48" s="960"/>
      <c r="G48" s="720"/>
      <c r="H48" s="721"/>
      <c r="I48" s="1419" t="s">
        <v>819</v>
      </c>
      <c r="J48" s="1420" t="s">
        <v>3433</v>
      </c>
      <c r="K48" s="1421" t="s">
        <v>820</v>
      </c>
      <c r="L48" s="1422">
        <f ca="1">INDIRECT("'数据-取费表'!f"&amp;$G$1)</f>
        <v>23.98</v>
      </c>
      <c r="O48" s="1416" t="s">
        <v>404</v>
      </c>
      <c r="P48" s="1417" t="s">
        <v>821</v>
      </c>
      <c r="Q48" s="1418">
        <f ca="1">J60</f>
        <v>406219</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2004</v>
      </c>
      <c r="K49" s="1421" t="s">
        <v>824</v>
      </c>
      <c r="L49" s="1425"/>
      <c r="O49" s="1426" t="s">
        <v>405</v>
      </c>
      <c r="P49" s="1417" t="s">
        <v>825</v>
      </c>
      <c r="Q49" s="1418">
        <f ca="1">C29</f>
        <v>5752742</v>
      </c>
      <c r="R49" s="1418" t="s">
        <v>818</v>
      </c>
    </row>
    <row r="50" spans="1:18" s="1382" customFormat="1" ht="13.5" thickBot="1">
      <c r="A50" s="974"/>
      <c r="B50" s="977"/>
      <c r="C50" s="978"/>
      <c r="D50" s="951"/>
      <c r="E50" s="1054" t="s">
        <v>697</v>
      </c>
      <c r="F50" s="1055">
        <f ca="1">F7</f>
        <v>892.35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40</v>
      </c>
      <c r="K51" s="1432" t="s">
        <v>830</v>
      </c>
      <c r="L51" s="1433">
        <f ca="1">ROUND(-PV(INDIRECT("'数据-取费表'!h"&amp;$G$1),J51,(C39-C13*C76),0),0)</f>
        <v>15019694</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23.98</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23.98</v>
      </c>
      <c r="K53" s="3645" t="s">
        <v>837</v>
      </c>
      <c r="L53" s="3646"/>
      <c r="O53" s="1416" t="s">
        <v>409</v>
      </c>
      <c r="P53" s="1417" t="s">
        <v>838</v>
      </c>
      <c r="Q53" s="1418">
        <f ca="1">Q47+Q48</f>
        <v>20068690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0.26700000000000002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4372084</v>
      </c>
      <c r="D56" s="1445"/>
      <c r="E56" s="1446"/>
      <c r="F56" s="1438"/>
      <c r="I56" s="1447" t="s">
        <v>842</v>
      </c>
      <c r="J56" s="1448" t="s">
        <v>3389</v>
      </c>
      <c r="K56" s="1419" t="s">
        <v>843</v>
      </c>
      <c r="L56" s="1422" t="str">
        <f ca="1">IF(L48&lt;J51,"——",L48-J51)</f>
        <v>——</v>
      </c>
      <c r="O56" s="1416" t="s">
        <v>403</v>
      </c>
      <c r="P56" s="1417" t="s">
        <v>817</v>
      </c>
      <c r="Q56" s="1418">
        <f ca="1">C40+J29</f>
        <v>19662471</v>
      </c>
      <c r="R56" s="1418" t="s">
        <v>818</v>
      </c>
    </row>
    <row r="57" spans="1:18" s="1382" customFormat="1" ht="24.75" thickBot="1">
      <c r="A57" s="1449"/>
      <c r="B57" s="948" t="s">
        <v>767</v>
      </c>
      <c r="C57" s="238">
        <f ca="1">C29</f>
        <v>5752742</v>
      </c>
      <c r="D57" s="1450"/>
      <c r="E57" s="1451"/>
      <c r="F57" s="1452"/>
      <c r="I57" s="1453" t="s">
        <v>844</v>
      </c>
      <c r="J57" s="1454">
        <f ca="1">IF(OR(M47="住宅",J51&lt;L48,J56="是"),"——",J51-L48)</f>
        <v>16.02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33136</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2301097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6" t="s">
        <v>853</v>
      </c>
      <c r="J60" s="1457">
        <f ca="1">IF(OR(M47="住宅",J51&lt;L48,J56="是"),"0",ROUND(J59/(1+J52)^J53,0))</f>
        <v>406219</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19662471</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28764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4372</v>
      </c>
      <c r="D65" s="962" t="s">
        <v>743</v>
      </c>
      <c r="E65" s="948" t="s">
        <v>744</v>
      </c>
      <c r="F65" s="330">
        <f t="shared" ca="1" si="0"/>
        <v>1E-3</v>
      </c>
      <c r="I65" s="1460" t="s">
        <v>867</v>
      </c>
      <c r="J65" s="1461">
        <v>40</v>
      </c>
      <c r="K65" s="1461">
        <v>30</v>
      </c>
      <c r="L65" s="1461">
        <v>50</v>
      </c>
      <c r="M65" s="1463">
        <v>0.02</v>
      </c>
      <c r="O65" s="1416" t="s">
        <v>403</v>
      </c>
      <c r="P65" s="1417" t="s">
        <v>868</v>
      </c>
      <c r="Q65" s="1418">
        <f ca="1">C40+J29</f>
        <v>19662471</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-33136</v>
      </c>
      <c r="D67" s="961" t="s">
        <v>753</v>
      </c>
      <c r="E67" s="966"/>
      <c r="F67" s="967"/>
      <c r="O67" s="1426" t="s">
        <v>405</v>
      </c>
      <c r="P67" s="1417" t="s">
        <v>850</v>
      </c>
      <c r="Q67" s="1464">
        <f ca="1">L51</f>
        <v>15019694</v>
      </c>
      <c r="R67" s="1418" t="s">
        <v>870</v>
      </c>
    </row>
    <row r="68" spans="1:18" s="1382" customFormat="1" ht="16.5" thickBot="1">
      <c r="A68" s="945" t="s">
        <v>395</v>
      </c>
      <c r="B68" s="946" t="s">
        <v>774</v>
      </c>
      <c r="C68" s="301">
        <f ca="1">ROUND(C67*(1-((1+F70)/(1+F68))^F69)/(F68-F70),0)</f>
        <v>-435616</v>
      </c>
      <c r="D68" s="963" t="s">
        <v>758</v>
      </c>
      <c r="E68" s="948" t="s">
        <v>759</v>
      </c>
      <c r="F68" s="312">
        <f ca="1">F40</f>
        <v>5.5E-2</v>
      </c>
      <c r="O68" s="1426" t="s">
        <v>406</v>
      </c>
      <c r="P68" s="1465" t="s">
        <v>871</v>
      </c>
      <c r="Q68" s="1418">
        <f ca="1">ROUND(Q69-Q70*Q71,0)</f>
        <v>875320</v>
      </c>
      <c r="R68" s="1418" t="s">
        <v>414</v>
      </c>
    </row>
    <row r="69" spans="1:18" s="1382" customFormat="1" ht="13.5" thickBot="1">
      <c r="A69" s="949"/>
      <c r="B69" s="950"/>
      <c r="C69" s="306"/>
      <c r="D69" s="968" t="s">
        <v>762</v>
      </c>
      <c r="E69" s="948" t="s">
        <v>763</v>
      </c>
      <c r="F69" s="333">
        <f ca="1">F41</f>
        <v>23.98</v>
      </c>
      <c r="O69" s="1426" t="s">
        <v>411</v>
      </c>
      <c r="P69" s="1465" t="s">
        <v>872</v>
      </c>
      <c r="Q69" s="1418">
        <f ca="1">C39</f>
        <v>1181366</v>
      </c>
      <c r="R69" s="1418" t="s">
        <v>818</v>
      </c>
    </row>
    <row r="70" spans="1:18" s="1382" customFormat="1" ht="13.5" thickBot="1">
      <c r="A70" s="952"/>
      <c r="B70" s="953"/>
      <c r="C70" s="310"/>
      <c r="D70" s="964"/>
      <c r="E70" s="948" t="s">
        <v>766</v>
      </c>
      <c r="F70" s="1052"/>
      <c r="O70" s="1426" t="s">
        <v>412</v>
      </c>
      <c r="P70" s="1465" t="s">
        <v>873</v>
      </c>
      <c r="Q70" s="1418">
        <f ca="1">C13</f>
        <v>4372084</v>
      </c>
      <c r="R70" s="1418" t="s">
        <v>818</v>
      </c>
    </row>
    <row r="71" spans="1:18" s="1382" customFormat="1" ht="13.5" thickBot="1">
      <c r="A71" s="969" t="s">
        <v>396</v>
      </c>
      <c r="B71" s="970" t="s">
        <v>776</v>
      </c>
      <c r="C71" s="336">
        <f ca="1">ROUND(C68/F71,0)</f>
        <v>-488</v>
      </c>
      <c r="D71" s="971" t="s">
        <v>777</v>
      </c>
      <c r="E71" s="972" t="s">
        <v>778</v>
      </c>
      <c r="F71" s="339">
        <f ca="1">F43</f>
        <v>892.35</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306046</v>
      </c>
      <c r="D75" s="1382"/>
      <c r="E75" s="1382"/>
      <c r="F75" s="1382"/>
      <c r="K75" s="1400"/>
      <c r="L75" s="1382"/>
      <c r="O75" s="1416" t="s">
        <v>409</v>
      </c>
      <c r="P75" s="1417" t="s">
        <v>838</v>
      </c>
      <c r="Q75" s="1418">
        <f ca="1">Q65+Q66</f>
        <v>19662471</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0.74099999999999999</v>
      </c>
    </row>
    <row r="80" spans="1:18">
      <c r="B80" s="340" t="s">
        <v>800</v>
      </c>
      <c r="C80" s="274">
        <f ca="1">ROUND(C75/C39,3)</f>
        <v>0.25900000000000001</v>
      </c>
    </row>
    <row r="81" spans="2:3">
      <c r="B81" s="270" t="s">
        <v>801</v>
      </c>
      <c r="C81" s="238"/>
    </row>
    <row r="82" spans="2:3">
      <c r="B82" s="273" t="s">
        <v>802</v>
      </c>
      <c r="C82" s="275">
        <f ca="1">1-C83</f>
        <v>0.77800000000000002</v>
      </c>
    </row>
    <row r="83" spans="2:3">
      <c r="B83" s="273" t="s">
        <v>803</v>
      </c>
      <c r="C83" s="274">
        <f ca="1">ROUND(C13/C40,3)</f>
        <v>0.222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707" t="s">
        <v>2320</v>
      </c>
      <c r="K2" s="3708"/>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709" t="s">
        <v>2330</v>
      </c>
      <c r="K3" s="3710"/>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709" t="s">
        <v>2332</v>
      </c>
      <c r="K4" s="3710"/>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715" t="s">
        <v>2336</v>
      </c>
      <c r="B6" s="3716"/>
      <c r="C6" s="3717"/>
      <c r="D6" s="2868"/>
      <c r="E6" s="2869"/>
      <c r="F6" s="2870"/>
      <c r="G6" s="2871"/>
      <c r="H6" s="2846"/>
      <c r="I6" s="2847"/>
      <c r="J6" s="3701">
        <v>1</v>
      </c>
      <c r="K6" s="3702"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701"/>
      <c r="K7" s="3703"/>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718" t="s">
        <v>2350</v>
      </c>
      <c r="C8" s="3719"/>
      <c r="D8" s="2887" t="s">
        <v>2351</v>
      </c>
      <c r="E8" s="2888" t="s">
        <v>2352</v>
      </c>
      <c r="F8" s="2889" t="s">
        <v>2353</v>
      </c>
      <c r="G8" s="2890"/>
      <c r="H8" s="2846"/>
      <c r="I8" s="2847"/>
      <c r="J8" s="3701"/>
      <c r="K8" s="3703"/>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718" t="s">
        <v>2356</v>
      </c>
      <c r="C9" s="3719"/>
      <c r="D9" s="2887">
        <f>ROUND(D6*E9,0)</f>
        <v>0</v>
      </c>
      <c r="E9" s="2891"/>
      <c r="F9" s="2892" t="s">
        <v>2357</v>
      </c>
      <c r="G9" s="2871"/>
      <c r="H9" s="2846"/>
      <c r="I9" s="2847"/>
      <c r="J9" s="3701"/>
      <c r="K9" s="3703"/>
      <c r="L9" s="2881" t="s">
        <v>2358</v>
      </c>
      <c r="M9" s="2882"/>
      <c r="N9" s="2858"/>
      <c r="O9" s="2883"/>
      <c r="P9" s="2883"/>
      <c r="Q9" s="2884">
        <v>365</v>
      </c>
      <c r="R9" s="2885">
        <f t="shared" si="0"/>
        <v>0</v>
      </c>
      <c r="S9" s="2839"/>
      <c r="T9" s="2839"/>
      <c r="U9" s="2839"/>
      <c r="V9" s="2847"/>
    </row>
    <row r="10" spans="1:22" s="2851" customFormat="1" ht="13.15" customHeight="1">
      <c r="A10" s="2886">
        <v>2</v>
      </c>
      <c r="B10" s="3718" t="s">
        <v>2359</v>
      </c>
      <c r="C10" s="3719"/>
      <c r="D10" s="2887">
        <f>ROUND(D6*E10,0)</f>
        <v>0</v>
      </c>
      <c r="E10" s="2891"/>
      <c r="F10" s="2892" t="s">
        <v>2360</v>
      </c>
      <c r="G10" s="2871"/>
      <c r="H10" s="2846"/>
      <c r="I10" s="2847"/>
      <c r="J10" s="3701"/>
      <c r="K10" s="3703"/>
      <c r="L10" s="2881" t="s">
        <v>2361</v>
      </c>
      <c r="M10" s="2882"/>
      <c r="N10" s="2858"/>
      <c r="O10" s="2883"/>
      <c r="P10" s="2883"/>
      <c r="Q10" s="2884">
        <v>365</v>
      </c>
      <c r="R10" s="2885">
        <f t="shared" si="0"/>
        <v>0</v>
      </c>
      <c r="S10" s="2839"/>
      <c r="T10" s="2839"/>
      <c r="U10" s="2839"/>
      <c r="V10" s="2847"/>
    </row>
    <row r="11" spans="1:22" s="2851" customFormat="1" ht="13.15" customHeight="1">
      <c r="A11" s="2886">
        <v>3</v>
      </c>
      <c r="B11" s="3718" t="s">
        <v>2362</v>
      </c>
      <c r="C11" s="3719"/>
      <c r="D11" s="2887">
        <f>D12+D14+D15+D16</f>
        <v>0</v>
      </c>
      <c r="E11" s="2893" t="e">
        <f>D11/D6</f>
        <v>#DIV/0!</v>
      </c>
      <c r="F11" s="2889"/>
      <c r="G11" s="2890"/>
      <c r="H11" s="2846"/>
      <c r="I11" s="2847"/>
      <c r="J11" s="3701"/>
      <c r="K11" s="3703"/>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711" t="s">
        <v>2365</v>
      </c>
      <c r="C12" s="3712"/>
      <c r="D12" s="2895">
        <f>ROUND(D13*1.2%*(1-30%),0)</f>
        <v>0</v>
      </c>
      <c r="E12" s="2896">
        <v>1.2E-2</v>
      </c>
      <c r="F12" s="2889" t="s">
        <v>2366</v>
      </c>
      <c r="G12" s="2890"/>
      <c r="H12" s="2846"/>
      <c r="I12" s="2847"/>
      <c r="J12" s="3701"/>
      <c r="K12" s="3703"/>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701"/>
      <c r="K13" s="3703"/>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711" t="s">
        <v>2371</v>
      </c>
      <c r="C14" s="3712"/>
      <c r="D14" s="2895">
        <f>ROUND(E14*B5/10000,0)</f>
        <v>0</v>
      </c>
      <c r="E14" s="2884"/>
      <c r="F14" s="2889" t="s">
        <v>2372</v>
      </c>
      <c r="G14" s="2890"/>
      <c r="H14" s="2846"/>
      <c r="I14" s="2847"/>
      <c r="J14" s="3701"/>
      <c r="K14" s="3704"/>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711" t="s">
        <v>2375</v>
      </c>
      <c r="C15" s="3712"/>
      <c r="D15" s="2895">
        <f>ROUND(D6*E15,0)</f>
        <v>0</v>
      </c>
      <c r="E15" s="2896">
        <v>5.5E-2</v>
      </c>
      <c r="F15" s="2889" t="s">
        <v>2376</v>
      </c>
      <c r="G15" s="2871"/>
      <c r="H15" s="2846"/>
      <c r="I15" s="2847"/>
      <c r="J15" s="3701">
        <v>2</v>
      </c>
      <c r="K15" s="3702"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711" t="s">
        <v>2384</v>
      </c>
      <c r="C16" s="3712"/>
      <c r="D16" s="2906">
        <f>D6*E16</f>
        <v>0</v>
      </c>
      <c r="E16" s="2907"/>
      <c r="F16" s="2892" t="s">
        <v>2385</v>
      </c>
      <c r="G16" s="2871"/>
      <c r="H16" s="2846"/>
      <c r="I16" s="2847"/>
      <c r="J16" s="3701"/>
      <c r="K16" s="3703"/>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713" t="s">
        <v>2387</v>
      </c>
      <c r="C17" s="3714"/>
      <c r="D17" s="2909">
        <f>ROUND(D6*E17,0)</f>
        <v>0</v>
      </c>
      <c r="E17" s="2910"/>
      <c r="F17" s="2911" t="s">
        <v>2388</v>
      </c>
      <c r="G17" s="2871"/>
      <c r="H17" s="2846"/>
      <c r="I17" s="2847"/>
      <c r="J17" s="3701"/>
      <c r="K17" s="3703"/>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701"/>
      <c r="K18" s="3703"/>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701"/>
      <c r="K19" s="3704"/>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01">
        <v>3</v>
      </c>
      <c r="K20" s="3702"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701"/>
      <c r="K21" s="3703"/>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701"/>
      <c r="K22" s="3703"/>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701"/>
      <c r="K23" s="3703"/>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701"/>
      <c r="K24" s="3704"/>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705">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706"/>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707" t="s">
        <v>2320</v>
      </c>
      <c r="K32" s="3708"/>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709" t="s">
        <v>2330</v>
      </c>
      <c r="K33" s="3710"/>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709" t="s">
        <v>2332</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701">
        <v>1</v>
      </c>
      <c r="K36" s="3702"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701"/>
      <c r="K37" s="3703"/>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01"/>
      <c r="K38" s="3703"/>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701"/>
      <c r="K39" s="3703"/>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701"/>
      <c r="K40" s="3704"/>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705">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706"/>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2006.8689999999999</v>
      </c>
      <c r="C2" s="1870" t="s">
        <v>1651</v>
      </c>
      <c r="D2" s="1871" t="s">
        <v>1652</v>
      </c>
      <c r="E2" s="2605">
        <f>SUM(E6:E13)</f>
        <v>892.35</v>
      </c>
      <c r="F2" s="2705"/>
      <c r="G2" s="1487"/>
      <c r="H2" s="1487"/>
      <c r="I2" s="1487"/>
      <c r="J2" s="1487"/>
      <c r="K2" s="1487"/>
      <c r="L2" s="1487"/>
      <c r="M2" s="1487"/>
      <c r="N2" s="1487"/>
      <c r="O2" s="1487"/>
      <c r="P2" s="1487"/>
      <c r="Q2" s="1487"/>
      <c r="R2" s="1487"/>
      <c r="S2" s="1487"/>
    </row>
    <row r="3" spans="1:22" ht="15.75">
      <c r="A3" s="1868" t="s">
        <v>686</v>
      </c>
      <c r="B3" s="2599">
        <f ca="1">ROUND(B2*10000/E2,0)</f>
        <v>22490</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0" t="s">
        <v>1654</v>
      </c>
      <c r="C5" s="3721"/>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2006.8689999999999</v>
      </c>
      <c r="C6" s="1870" t="s">
        <v>1651</v>
      </c>
      <c r="D6" s="2707"/>
      <c r="E6" s="2604">
        <f>IF(OR(A6=0,F6="否"),0,'数据-取费表'!K6+'数据-取费表'!S6)</f>
        <v>892.35</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892.35</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68" t="s">
        <v>1667</v>
      </c>
      <c r="D4" s="3669"/>
      <c r="E4" s="3670" t="s">
        <v>1668</v>
      </c>
      <c r="F4" s="3671"/>
      <c r="G4" s="3668" t="s">
        <v>1669</v>
      </c>
      <c r="H4" s="3669"/>
      <c r="I4" s="3668" t="s">
        <v>1670</v>
      </c>
      <c r="J4" s="3669"/>
      <c r="K4" s="1887" t="s">
        <v>1671</v>
      </c>
      <c r="L4" s="2713"/>
      <c r="M4" s="2714"/>
      <c r="N4" s="2714"/>
      <c r="O4" s="2714"/>
      <c r="P4" s="3726" t="s">
        <v>1672</v>
      </c>
      <c r="Q4" s="3727"/>
      <c r="R4" s="3730" t="s">
        <v>1668</v>
      </c>
      <c r="S4" s="3731"/>
      <c r="T4" s="3730" t="s">
        <v>1669</v>
      </c>
      <c r="U4" s="3731"/>
      <c r="V4" s="3685" t="s">
        <v>1670</v>
      </c>
      <c r="W4" s="3685"/>
      <c r="X4" s="1353"/>
      <c r="Y4" s="3730" t="s">
        <v>1672</v>
      </c>
      <c r="Z4" s="3731"/>
      <c r="AA4" s="3725" t="s">
        <v>1668</v>
      </c>
      <c r="AB4" s="3725" t="s">
        <v>1669</v>
      </c>
      <c r="AC4" s="3725" t="s">
        <v>1670</v>
      </c>
    </row>
    <row r="5" spans="1:29" ht="15">
      <c r="A5" s="358"/>
      <c r="B5" s="359"/>
      <c r="C5" s="3688" t="s">
        <v>1673</v>
      </c>
      <c r="D5" s="3689"/>
      <c r="E5" s="3699" t="s">
        <v>1674</v>
      </c>
      <c r="F5" s="3700"/>
      <c r="G5" s="3688" t="s">
        <v>1675</v>
      </c>
      <c r="H5" s="3689"/>
      <c r="I5" s="3688" t="s">
        <v>1676</v>
      </c>
      <c r="J5" s="3689"/>
      <c r="K5" s="1888"/>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1888"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45481</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92" t="s">
        <v>1680</v>
      </c>
      <c r="Q7" s="3693"/>
      <c r="R7" s="699" t="s">
        <v>20</v>
      </c>
      <c r="S7" s="700">
        <f t="shared" ref="S7:S15" si="0">F7</f>
        <v>0</v>
      </c>
      <c r="T7" s="699" t="s">
        <v>20</v>
      </c>
      <c r="U7" s="700">
        <f t="shared" ref="U7:U15" si="1">H7</f>
        <v>0</v>
      </c>
      <c r="V7" s="699" t="s">
        <v>20</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92" t="s">
        <v>1683</v>
      </c>
      <c r="Q8" s="3691"/>
      <c r="R8" s="699" t="s">
        <v>20</v>
      </c>
      <c r="S8" s="700">
        <f t="shared" si="0"/>
        <v>100</v>
      </c>
      <c r="T8" s="699" t="s">
        <v>20</v>
      </c>
      <c r="U8" s="700">
        <f t="shared" si="1"/>
        <v>100</v>
      </c>
      <c r="V8" s="699" t="s">
        <v>20</v>
      </c>
      <c r="W8" s="700">
        <f t="shared" si="2"/>
        <v>100</v>
      </c>
      <c r="X8" s="701"/>
      <c r="Y8" s="3692" t="s">
        <v>1683</v>
      </c>
      <c r="Z8" s="3691"/>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50"/>
      <c r="Q11" s="1341" t="str">
        <f t="shared" si="6"/>
        <v>容积率</v>
      </c>
      <c r="R11" s="699" t="s">
        <v>18</v>
      </c>
      <c r="S11" s="700" t="e">
        <f t="shared" si="0"/>
        <v>#N/A</v>
      </c>
      <c r="T11" s="699" t="s">
        <v>18</v>
      </c>
      <c r="U11" s="700" t="e">
        <f t="shared" si="1"/>
        <v>#N/A</v>
      </c>
      <c r="V11" s="699" t="s">
        <v>18</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50"/>
      <c r="Q12" s="1341">
        <f t="shared" si="6"/>
        <v>111</v>
      </c>
      <c r="R12" s="699" t="s">
        <v>18</v>
      </c>
      <c r="S12" s="700">
        <f t="shared" si="0"/>
        <v>100</v>
      </c>
      <c r="T12" s="699" t="s">
        <v>18</v>
      </c>
      <c r="U12" s="700">
        <f t="shared" si="1"/>
        <v>100</v>
      </c>
      <c r="V12" s="699" t="s">
        <v>18</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50"/>
      <c r="Q13" s="1341">
        <f t="shared" si="6"/>
        <v>111</v>
      </c>
      <c r="R13" s="699" t="s">
        <v>18</v>
      </c>
      <c r="S13" s="700">
        <f t="shared" si="0"/>
        <v>100</v>
      </c>
      <c r="T13" s="699" t="s">
        <v>18</v>
      </c>
      <c r="U13" s="700">
        <f t="shared" si="1"/>
        <v>100</v>
      </c>
      <c r="V13" s="699" t="s">
        <v>18</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50"/>
      <c r="Q14" s="1341">
        <f t="shared" si="6"/>
        <v>111</v>
      </c>
      <c r="R14" s="699" t="s">
        <v>18</v>
      </c>
      <c r="S14" s="700">
        <f t="shared" si="0"/>
        <v>100</v>
      </c>
      <c r="T14" s="699" t="s">
        <v>18</v>
      </c>
      <c r="U14" s="700">
        <f t="shared" si="1"/>
        <v>100</v>
      </c>
      <c r="V14" s="699" t="s">
        <v>18</v>
      </c>
      <c r="W14" s="700">
        <f t="shared" si="2"/>
        <v>100</v>
      </c>
      <c r="X14" s="701"/>
      <c r="Y14" s="354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56" t="s">
        <v>1691</v>
      </c>
      <c r="Q15" s="1350" t="str">
        <f t="shared" si="6"/>
        <v>居住社区成熟度</v>
      </c>
      <c r="R15" s="703" t="s">
        <v>18</v>
      </c>
      <c r="S15" s="704">
        <f t="shared" si="0"/>
        <v>100</v>
      </c>
      <c r="T15" s="703" t="s">
        <v>18</v>
      </c>
      <c r="U15" s="704">
        <f t="shared" si="1"/>
        <v>100</v>
      </c>
      <c r="V15" s="703" t="s">
        <v>18</v>
      </c>
      <c r="W15" s="704">
        <f t="shared" si="2"/>
        <v>100</v>
      </c>
      <c r="X15" s="1353"/>
      <c r="Y15" s="365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57"/>
      <c r="Q16" s="1350"/>
      <c r="R16" s="703"/>
      <c r="S16" s="704"/>
      <c r="T16" s="703"/>
      <c r="U16" s="704"/>
      <c r="V16" s="703"/>
      <c r="W16" s="704"/>
      <c r="X16" s="1353"/>
      <c r="Y16" s="365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57"/>
      <c r="Q17" s="1350" t="str">
        <f>B17</f>
        <v>交通便捷度</v>
      </c>
      <c r="R17" s="703" t="s">
        <v>18</v>
      </c>
      <c r="S17" s="704">
        <f>F17</f>
        <v>100</v>
      </c>
      <c r="T17" s="703" t="s">
        <v>18</v>
      </c>
      <c r="U17" s="704">
        <f>H17</f>
        <v>100</v>
      </c>
      <c r="V17" s="703" t="s">
        <v>18</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57"/>
      <c r="Q19" s="1350" t="str">
        <f>B19</f>
        <v>公共配套设施</v>
      </c>
      <c r="R19" s="703" t="s">
        <v>18</v>
      </c>
      <c r="S19" s="704">
        <f>F19</f>
        <v>100</v>
      </c>
      <c r="T19" s="703" t="s">
        <v>18</v>
      </c>
      <c r="U19" s="704">
        <f>H19</f>
        <v>100</v>
      </c>
      <c r="V19" s="703" t="s">
        <v>18</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57"/>
      <c r="Q22" s="1350"/>
      <c r="R22" s="703"/>
      <c r="S22" s="704"/>
      <c r="T22" s="703"/>
      <c r="U22" s="704"/>
      <c r="V22" s="703"/>
      <c r="W22" s="704"/>
      <c r="X22" s="1353"/>
      <c r="Y22" s="365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57"/>
      <c r="Q23" s="1350" t="str">
        <f>B23</f>
        <v>自然及人文环境</v>
      </c>
      <c r="R23" s="703" t="s">
        <v>18</v>
      </c>
      <c r="S23" s="704">
        <f>F23</f>
        <v>100</v>
      </c>
      <c r="T23" s="703" t="s">
        <v>18</v>
      </c>
      <c r="U23" s="704">
        <f>H23</f>
        <v>100</v>
      </c>
      <c r="V23" s="703" t="s">
        <v>18</v>
      </c>
      <c r="W23" s="704">
        <f>J23</f>
        <v>100</v>
      </c>
      <c r="X23" s="1353"/>
      <c r="Y23" s="365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57"/>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5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57"/>
      <c r="Q26" s="1350" t="str">
        <f t="shared" si="11"/>
        <v>朝向</v>
      </c>
      <c r="R26" s="703" t="s">
        <v>18</v>
      </c>
      <c r="S26" s="704">
        <f t="shared" si="12"/>
        <v>100</v>
      </c>
      <c r="T26" s="703" t="s">
        <v>18</v>
      </c>
      <c r="U26" s="704">
        <f t="shared" si="13"/>
        <v>100</v>
      </c>
      <c r="V26" s="703" t="s">
        <v>18</v>
      </c>
      <c r="W26" s="704">
        <f t="shared" si="14"/>
        <v>100</v>
      </c>
      <c r="X26" s="1353"/>
      <c r="Y26" s="365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57"/>
      <c r="Q27" s="1341">
        <f t="shared" si="11"/>
        <v>111</v>
      </c>
      <c r="R27" s="699" t="s">
        <v>18</v>
      </c>
      <c r="S27" s="700">
        <f t="shared" si="12"/>
        <v>100</v>
      </c>
      <c r="T27" s="699" t="s">
        <v>18</v>
      </c>
      <c r="U27" s="700">
        <f t="shared" si="13"/>
        <v>100</v>
      </c>
      <c r="V27" s="699" t="s">
        <v>18</v>
      </c>
      <c r="W27" s="700">
        <f t="shared" si="14"/>
        <v>100</v>
      </c>
      <c r="X27" s="701"/>
      <c r="Y27" s="365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57"/>
      <c r="Q28" s="1350">
        <f t="shared" si="11"/>
        <v>111</v>
      </c>
      <c r="R28" s="703" t="s">
        <v>18</v>
      </c>
      <c r="S28" s="704">
        <f t="shared" si="12"/>
        <v>100</v>
      </c>
      <c r="T28" s="703" t="s">
        <v>18</v>
      </c>
      <c r="U28" s="704">
        <f t="shared" si="13"/>
        <v>100</v>
      </c>
      <c r="V28" s="703" t="s">
        <v>18</v>
      </c>
      <c r="W28" s="704">
        <f t="shared" si="14"/>
        <v>100</v>
      </c>
      <c r="X28" s="1353"/>
      <c r="Y28" s="365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57"/>
      <c r="Q29" s="1350">
        <f t="shared" si="11"/>
        <v>111</v>
      </c>
      <c r="R29" s="703" t="s">
        <v>18</v>
      </c>
      <c r="S29" s="704">
        <f t="shared" si="12"/>
        <v>100</v>
      </c>
      <c r="T29" s="703" t="s">
        <v>18</v>
      </c>
      <c r="U29" s="704">
        <f t="shared" si="13"/>
        <v>100</v>
      </c>
      <c r="V29" s="703" t="s">
        <v>18</v>
      </c>
      <c r="W29" s="704">
        <f t="shared" si="14"/>
        <v>100</v>
      </c>
      <c r="X29" s="1353"/>
      <c r="Y29" s="365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57"/>
      <c r="Q30" s="1350">
        <f t="shared" si="11"/>
        <v>111</v>
      </c>
      <c r="R30" s="703" t="s">
        <v>18</v>
      </c>
      <c r="S30" s="704">
        <f t="shared" si="12"/>
        <v>100</v>
      </c>
      <c r="T30" s="703" t="s">
        <v>18</v>
      </c>
      <c r="U30" s="704">
        <f t="shared" si="13"/>
        <v>100</v>
      </c>
      <c r="V30" s="703" t="s">
        <v>18</v>
      </c>
      <c r="W30" s="704">
        <f t="shared" si="14"/>
        <v>100</v>
      </c>
      <c r="X30" s="1353"/>
      <c r="Y30" s="365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57"/>
      <c r="Q31" s="1350">
        <f t="shared" si="11"/>
        <v>111</v>
      </c>
      <c r="R31" s="703" t="s">
        <v>18</v>
      </c>
      <c r="S31" s="704">
        <f t="shared" si="12"/>
        <v>100</v>
      </c>
      <c r="T31" s="703" t="s">
        <v>18</v>
      </c>
      <c r="U31" s="704">
        <f t="shared" si="13"/>
        <v>100</v>
      </c>
      <c r="V31" s="703" t="s">
        <v>18</v>
      </c>
      <c r="W31" s="704">
        <f t="shared" si="14"/>
        <v>100</v>
      </c>
      <c r="X31" s="1353"/>
      <c r="Y31" s="365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60" t="s">
        <v>1696</v>
      </c>
      <c r="Q32" s="1350" t="str">
        <f t="shared" si="11"/>
        <v>建筑类型</v>
      </c>
      <c r="R32" s="703" t="s">
        <v>18</v>
      </c>
      <c r="S32" s="704">
        <f t="shared" si="12"/>
        <v>100</v>
      </c>
      <c r="T32" s="703" t="s">
        <v>18</v>
      </c>
      <c r="U32" s="704">
        <f t="shared" si="13"/>
        <v>100</v>
      </c>
      <c r="V32" s="703" t="s">
        <v>18</v>
      </c>
      <c r="W32" s="704">
        <f t="shared" si="14"/>
        <v>100</v>
      </c>
      <c r="X32" s="1353"/>
      <c r="Y32" s="366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61"/>
      <c r="Q33" s="705" t="str">
        <f t="shared" si="11"/>
        <v>项目建筑规模</v>
      </c>
      <c r="R33" s="706" t="s">
        <v>18</v>
      </c>
      <c r="S33" s="707" t="e">
        <f t="shared" si="12"/>
        <v>#N/A</v>
      </c>
      <c r="T33" s="706" t="s">
        <v>18</v>
      </c>
      <c r="U33" s="707" t="e">
        <f t="shared" si="13"/>
        <v>#N/A</v>
      </c>
      <c r="V33" s="706" t="s">
        <v>18</v>
      </c>
      <c r="W33" s="707" t="e">
        <f t="shared" si="14"/>
        <v>#N/A</v>
      </c>
      <c r="X33" s="708"/>
      <c r="Y33" s="366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61"/>
      <c r="Q34" s="1350" t="str">
        <f t="shared" si="11"/>
        <v>建筑结构</v>
      </c>
      <c r="R34" s="703" t="s">
        <v>18</v>
      </c>
      <c r="S34" s="704">
        <f t="shared" si="12"/>
        <v>100</v>
      </c>
      <c r="T34" s="703" t="s">
        <v>18</v>
      </c>
      <c r="U34" s="704">
        <f t="shared" si="13"/>
        <v>100</v>
      </c>
      <c r="V34" s="703" t="s">
        <v>18</v>
      </c>
      <c r="W34" s="704">
        <f t="shared" si="14"/>
        <v>100</v>
      </c>
      <c r="X34" s="1353"/>
      <c r="Y34" s="366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61"/>
      <c r="Q35" s="1350" t="str">
        <f t="shared" si="11"/>
        <v>建筑品质</v>
      </c>
      <c r="R35" s="703" t="s">
        <v>18</v>
      </c>
      <c r="S35" s="704">
        <f t="shared" si="12"/>
        <v>100</v>
      </c>
      <c r="T35" s="703" t="s">
        <v>18</v>
      </c>
      <c r="U35" s="704">
        <f t="shared" si="13"/>
        <v>100</v>
      </c>
      <c r="V35" s="703" t="s">
        <v>18</v>
      </c>
      <c r="W35" s="704">
        <f t="shared" si="14"/>
        <v>100</v>
      </c>
      <c r="X35" s="1353"/>
      <c r="Y35" s="366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61"/>
      <c r="Q36" s="1350" t="str">
        <f t="shared" si="11"/>
        <v>公共部分装修</v>
      </c>
      <c r="R36" s="703" t="s">
        <v>18</v>
      </c>
      <c r="S36" s="704">
        <f t="shared" si="12"/>
        <v>100</v>
      </c>
      <c r="T36" s="703" t="s">
        <v>18</v>
      </c>
      <c r="U36" s="704">
        <f t="shared" si="13"/>
        <v>100</v>
      </c>
      <c r="V36" s="703" t="s">
        <v>18</v>
      </c>
      <c r="W36" s="704">
        <f t="shared" si="14"/>
        <v>100</v>
      </c>
      <c r="X36" s="1353"/>
      <c r="Y36" s="366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61"/>
      <c r="Q37" s="1341" t="str">
        <f t="shared" si="11"/>
        <v>成新度</v>
      </c>
      <c r="R37" s="699" t="s">
        <v>18</v>
      </c>
      <c r="S37" s="700" t="e">
        <f t="shared" si="12"/>
        <v>#N/A</v>
      </c>
      <c r="T37" s="699" t="s">
        <v>18</v>
      </c>
      <c r="U37" s="700" t="e">
        <f t="shared" si="13"/>
        <v>#N/A</v>
      </c>
      <c r="V37" s="699" t="s">
        <v>18</v>
      </c>
      <c r="W37" s="700" t="e">
        <f t="shared" si="14"/>
        <v>#N/A</v>
      </c>
      <c r="X37" s="701"/>
      <c r="Y37" s="366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61" t="s">
        <v>1696</v>
      </c>
      <c r="Q38" s="1350" t="str">
        <f t="shared" si="11"/>
        <v>物业管理</v>
      </c>
      <c r="R38" s="703" t="s">
        <v>18</v>
      </c>
      <c r="S38" s="704">
        <f t="shared" si="12"/>
        <v>100</v>
      </c>
      <c r="T38" s="703" t="s">
        <v>18</v>
      </c>
      <c r="U38" s="704">
        <f t="shared" si="13"/>
        <v>100</v>
      </c>
      <c r="V38" s="703" t="s">
        <v>18</v>
      </c>
      <c r="W38" s="704">
        <f t="shared" si="14"/>
        <v>100</v>
      </c>
      <c r="X38" s="1353"/>
      <c r="Y38" s="366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61"/>
      <c r="Q39" s="1350" t="str">
        <f t="shared" si="11"/>
        <v>市政基础设施</v>
      </c>
      <c r="R39" s="703" t="s">
        <v>18</v>
      </c>
      <c r="S39" s="704">
        <f t="shared" si="12"/>
        <v>100</v>
      </c>
      <c r="T39" s="703" t="s">
        <v>18</v>
      </c>
      <c r="U39" s="704">
        <f t="shared" si="13"/>
        <v>100</v>
      </c>
      <c r="V39" s="703" t="s">
        <v>18</v>
      </c>
      <c r="W39" s="704">
        <f t="shared" si="14"/>
        <v>100</v>
      </c>
      <c r="X39" s="1353"/>
      <c r="Y39" s="366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61"/>
      <c r="Q40" s="1350" t="str">
        <f t="shared" si="11"/>
        <v>房型</v>
      </c>
      <c r="R40" s="703" t="s">
        <v>18</v>
      </c>
      <c r="S40" s="704">
        <f t="shared" si="12"/>
        <v>100</v>
      </c>
      <c r="T40" s="703" t="s">
        <v>18</v>
      </c>
      <c r="U40" s="704">
        <f t="shared" si="13"/>
        <v>100</v>
      </c>
      <c r="V40" s="703" t="s">
        <v>18</v>
      </c>
      <c r="W40" s="704">
        <f t="shared" si="14"/>
        <v>100</v>
      </c>
      <c r="X40" s="1353"/>
      <c r="Y40" s="366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61"/>
      <c r="Q41" s="705" t="str">
        <f t="shared" si="11"/>
        <v>单套/主力户型建筑面积</v>
      </c>
      <c r="R41" s="706" t="s">
        <v>18</v>
      </c>
      <c r="S41" s="707">
        <f t="shared" si="12"/>
        <v>100</v>
      </c>
      <c r="T41" s="706" t="s">
        <v>18</v>
      </c>
      <c r="U41" s="707">
        <f t="shared" si="13"/>
        <v>100</v>
      </c>
      <c r="V41" s="706" t="s">
        <v>18</v>
      </c>
      <c r="W41" s="707">
        <f t="shared" si="14"/>
        <v>100</v>
      </c>
      <c r="X41" s="708"/>
      <c r="Y41" s="366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61"/>
      <c r="Q42" s="1350" t="str">
        <f t="shared" si="11"/>
        <v>内部装修</v>
      </c>
      <c r="R42" s="703" t="s">
        <v>18</v>
      </c>
      <c r="S42" s="704">
        <f t="shared" si="12"/>
        <v>100</v>
      </c>
      <c r="T42" s="703" t="s">
        <v>18</v>
      </c>
      <c r="U42" s="704">
        <f t="shared" si="13"/>
        <v>100</v>
      </c>
      <c r="V42" s="703" t="s">
        <v>18</v>
      </c>
      <c r="W42" s="704">
        <f t="shared" si="14"/>
        <v>100</v>
      </c>
      <c r="X42" s="1353"/>
      <c r="Y42" s="366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61"/>
      <c r="Q43" s="1350" t="str">
        <f t="shared" si="11"/>
        <v>内部装修维护情况</v>
      </c>
      <c r="R43" s="703" t="s">
        <v>18</v>
      </c>
      <c r="S43" s="704">
        <f t="shared" si="12"/>
        <v>100</v>
      </c>
      <c r="T43" s="703" t="s">
        <v>18</v>
      </c>
      <c r="U43" s="704">
        <f t="shared" si="13"/>
        <v>100</v>
      </c>
      <c r="V43" s="703" t="s">
        <v>18</v>
      </c>
      <c r="W43" s="704">
        <f t="shared" si="14"/>
        <v>100</v>
      </c>
      <c r="X43" s="1353"/>
      <c r="Y43" s="366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61"/>
      <c r="Q44" s="1341">
        <f t="shared" si="11"/>
        <v>111</v>
      </c>
      <c r="R44" s="699" t="s">
        <v>18</v>
      </c>
      <c r="S44" s="700">
        <f t="shared" si="12"/>
        <v>100</v>
      </c>
      <c r="T44" s="699" t="s">
        <v>18</v>
      </c>
      <c r="U44" s="700">
        <f t="shared" si="13"/>
        <v>100</v>
      </c>
      <c r="V44" s="699" t="s">
        <v>18</v>
      </c>
      <c r="W44" s="700">
        <f t="shared" si="14"/>
        <v>100</v>
      </c>
      <c r="X44" s="701"/>
      <c r="Y44" s="366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61"/>
      <c r="Q45" s="1350">
        <f t="shared" si="11"/>
        <v>111</v>
      </c>
      <c r="R45" s="703" t="s">
        <v>18</v>
      </c>
      <c r="S45" s="704">
        <f t="shared" si="12"/>
        <v>100</v>
      </c>
      <c r="T45" s="703" t="s">
        <v>18</v>
      </c>
      <c r="U45" s="704">
        <f t="shared" si="13"/>
        <v>100</v>
      </c>
      <c r="V45" s="703" t="s">
        <v>18</v>
      </c>
      <c r="W45" s="704">
        <f t="shared" si="14"/>
        <v>100</v>
      </c>
      <c r="X45" s="1353"/>
      <c r="Y45" s="366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62"/>
      <c r="Q46" s="1350">
        <f t="shared" si="11"/>
        <v>111</v>
      </c>
      <c r="R46" s="703" t="s">
        <v>17</v>
      </c>
      <c r="S46" s="704">
        <f t="shared" si="12"/>
        <v>100</v>
      </c>
      <c r="T46" s="703" t="s">
        <v>17</v>
      </c>
      <c r="U46" s="704">
        <f t="shared" si="13"/>
        <v>100</v>
      </c>
      <c r="V46" s="703" t="s">
        <v>17</v>
      </c>
      <c r="W46" s="704">
        <f t="shared" si="14"/>
        <v>100</v>
      </c>
      <c r="X46" s="1353"/>
      <c r="Y46" s="366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51" t="str">
        <f>A47</f>
        <v>成交单价（元/平方米）</v>
      </c>
      <c r="Q47" s="3651"/>
      <c r="R47" s="3652">
        <f>E47</f>
        <v>0</v>
      </c>
      <c r="S47" s="3652"/>
      <c r="T47" s="3652">
        <f>G47</f>
        <v>0</v>
      </c>
      <c r="U47" s="3652"/>
      <c r="V47" s="3652">
        <f>I47</f>
        <v>0</v>
      </c>
      <c r="W47" s="3652"/>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2024-7</v>
      </c>
      <c r="D58" s="1183">
        <f>EDATE(C58,-1)</f>
        <v>45444</v>
      </c>
      <c r="E58" s="1183">
        <f>EDATE(D58,-1)</f>
        <v>45413</v>
      </c>
      <c r="F58" s="1183">
        <f t="shared" ref="F58:O58" si="19">EDATE(E58,-1)</f>
        <v>45383</v>
      </c>
      <c r="G58" s="1183">
        <f t="shared" si="19"/>
        <v>45352</v>
      </c>
      <c r="H58" s="1183">
        <f t="shared" si="19"/>
        <v>45323</v>
      </c>
      <c r="I58" s="1183">
        <f t="shared" si="19"/>
        <v>45292</v>
      </c>
      <c r="J58" s="1183">
        <f t="shared" si="19"/>
        <v>45261</v>
      </c>
      <c r="K58" s="1183">
        <f t="shared" si="19"/>
        <v>45231</v>
      </c>
      <c r="L58" s="1183">
        <f t="shared" si="19"/>
        <v>45200</v>
      </c>
      <c r="M58" s="1183">
        <f t="shared" si="19"/>
        <v>45170</v>
      </c>
      <c r="N58" s="1183">
        <f t="shared" si="19"/>
        <v>45139</v>
      </c>
      <c r="O58" s="1183">
        <f t="shared" si="19"/>
        <v>45108</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892.35</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85"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85"/>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85"/>
      <c r="AC6" s="3698"/>
    </row>
    <row r="7" spans="1:29" s="108" customFormat="1" ht="15.75" thickBot="1">
      <c r="A7" s="362" t="s">
        <v>1679</v>
      </c>
      <c r="B7" s="363"/>
      <c r="C7" s="364">
        <f>'数据-取费表'!B2</f>
        <v>45481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50"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50"/>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50"/>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50"/>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50"/>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50"/>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56" t="s">
        <v>1691</v>
      </c>
      <c r="Q15" s="1350" t="str">
        <f t="shared" si="6"/>
        <v>商业繁华度</v>
      </c>
      <c r="R15" s="703" t="s">
        <v>14</v>
      </c>
      <c r="S15" s="704">
        <f t="shared" si="0"/>
        <v>100</v>
      </c>
      <c r="T15" s="703" t="s">
        <v>14</v>
      </c>
      <c r="U15" s="704">
        <f t="shared" si="1"/>
        <v>100</v>
      </c>
      <c r="V15" s="703" t="s">
        <v>14</v>
      </c>
      <c r="W15" s="704">
        <f t="shared" si="2"/>
        <v>100</v>
      </c>
      <c r="X15" s="1353"/>
      <c r="Y15" s="3658"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57"/>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57"/>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57"/>
      <c r="Q18" s="1350"/>
      <c r="R18" s="703"/>
      <c r="S18" s="704"/>
      <c r="T18" s="703"/>
      <c r="U18" s="704"/>
      <c r="V18" s="703"/>
      <c r="W18" s="704"/>
      <c r="X18" s="1353"/>
      <c r="Y18" s="365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57"/>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57"/>
      <c r="Q20" s="1350"/>
      <c r="R20" s="703"/>
      <c r="S20" s="704"/>
      <c r="T20" s="703"/>
      <c r="U20" s="704"/>
      <c r="V20" s="703"/>
      <c r="W20" s="704"/>
      <c r="X20" s="1353"/>
      <c r="Y20" s="365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57"/>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57"/>
      <c r="Q22" s="1350"/>
      <c r="R22" s="703"/>
      <c r="S22" s="704"/>
      <c r="T22" s="703"/>
      <c r="U22" s="704"/>
      <c r="V22" s="703"/>
      <c r="W22" s="704"/>
      <c r="X22" s="1353"/>
      <c r="Y22" s="365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57"/>
      <c r="Q23" s="1350" t="str">
        <f>B23</f>
        <v>自然及人文环境</v>
      </c>
      <c r="R23" s="703" t="s">
        <v>14</v>
      </c>
      <c r="S23" s="704">
        <f>F23</f>
        <v>100</v>
      </c>
      <c r="T23" s="703" t="s">
        <v>14</v>
      </c>
      <c r="U23" s="704">
        <f>H23</f>
        <v>100</v>
      </c>
      <c r="V23" s="703" t="s">
        <v>14</v>
      </c>
      <c r="W23" s="704">
        <f>J23</f>
        <v>100</v>
      </c>
      <c r="X23" s="1353"/>
      <c r="Y23" s="3659"/>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57"/>
      <c r="Q24" s="1350"/>
      <c r="R24" s="703"/>
      <c r="S24" s="704"/>
      <c r="T24" s="703"/>
      <c r="U24" s="704"/>
      <c r="V24" s="703"/>
      <c r="W24" s="704"/>
      <c r="X24" s="1353"/>
      <c r="Y24" s="365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57"/>
      <c r="Q25" s="1350" t="str">
        <f t="shared" ref="Q25:Q46" si="11">B25</f>
        <v>临街状况</v>
      </c>
      <c r="R25" s="703" t="s">
        <v>14</v>
      </c>
      <c r="S25" s="704">
        <f>F25</f>
        <v>100</v>
      </c>
      <c r="T25" s="703" t="s">
        <v>14</v>
      </c>
      <c r="U25" s="704">
        <f>H25</f>
        <v>100</v>
      </c>
      <c r="V25" s="703" t="s">
        <v>14</v>
      </c>
      <c r="W25" s="704">
        <f>J25</f>
        <v>100</v>
      </c>
      <c r="X25" s="1353"/>
      <c r="Y25" s="365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57"/>
      <c r="Q26" s="1350" t="str">
        <f t="shared" si="11"/>
        <v>平面位置/可视性</v>
      </c>
      <c r="R26" s="703" t="s">
        <v>14</v>
      </c>
      <c r="S26" s="704">
        <f>F26</f>
        <v>100</v>
      </c>
      <c r="T26" s="703" t="s">
        <v>14</v>
      </c>
      <c r="U26" s="704">
        <f>H26</f>
        <v>100</v>
      </c>
      <c r="V26" s="703" t="s">
        <v>14</v>
      </c>
      <c r="W26" s="704">
        <f>J26</f>
        <v>100</v>
      </c>
      <c r="X26" s="1353"/>
      <c r="Y26" s="365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57"/>
      <c r="Q27" s="1341" t="str">
        <f t="shared" si="11"/>
        <v>人流量</v>
      </c>
      <c r="R27" s="699" t="s">
        <v>14</v>
      </c>
      <c r="S27" s="700">
        <f>F27</f>
        <v>100</v>
      </c>
      <c r="T27" s="699" t="s">
        <v>14</v>
      </c>
      <c r="U27" s="700">
        <f>H27</f>
        <v>100</v>
      </c>
      <c r="V27" s="699" t="s">
        <v>14</v>
      </c>
      <c r="W27" s="700">
        <f>J27</f>
        <v>100</v>
      </c>
      <c r="X27" s="701"/>
      <c r="Y27" s="365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57"/>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5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57"/>
      <c r="Q29" s="1350">
        <f t="shared" si="11"/>
        <v>111</v>
      </c>
      <c r="R29" s="703" t="s">
        <v>14</v>
      </c>
      <c r="S29" s="704">
        <f t="shared" si="12"/>
        <v>100</v>
      </c>
      <c r="T29" s="703" t="s">
        <v>14</v>
      </c>
      <c r="U29" s="704">
        <f t="shared" si="13"/>
        <v>100</v>
      </c>
      <c r="V29" s="703" t="s">
        <v>14</v>
      </c>
      <c r="W29" s="704">
        <f t="shared" si="14"/>
        <v>100</v>
      </c>
      <c r="X29" s="1353"/>
      <c r="Y29" s="365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57"/>
      <c r="Q30" s="1350">
        <f t="shared" si="11"/>
        <v>111</v>
      </c>
      <c r="R30" s="703" t="s">
        <v>14</v>
      </c>
      <c r="S30" s="704">
        <f t="shared" si="12"/>
        <v>100</v>
      </c>
      <c r="T30" s="703" t="s">
        <v>14</v>
      </c>
      <c r="U30" s="704">
        <f t="shared" si="13"/>
        <v>100</v>
      </c>
      <c r="V30" s="703" t="s">
        <v>14</v>
      </c>
      <c r="W30" s="704">
        <f t="shared" si="14"/>
        <v>100</v>
      </c>
      <c r="X30" s="1353"/>
      <c r="Y30" s="365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57"/>
      <c r="Q31" s="1350">
        <f t="shared" si="11"/>
        <v>111</v>
      </c>
      <c r="R31" s="703" t="s">
        <v>14</v>
      </c>
      <c r="S31" s="704">
        <f t="shared" si="12"/>
        <v>100</v>
      </c>
      <c r="T31" s="703" t="s">
        <v>14</v>
      </c>
      <c r="U31" s="704">
        <f t="shared" si="13"/>
        <v>100</v>
      </c>
      <c r="V31" s="703" t="s">
        <v>14</v>
      </c>
      <c r="W31" s="704">
        <f t="shared" si="14"/>
        <v>100</v>
      </c>
      <c r="X31" s="1353"/>
      <c r="Y31" s="365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60" t="s">
        <v>1696</v>
      </c>
      <c r="Q32" s="1350" t="str">
        <f t="shared" si="11"/>
        <v>商业类型</v>
      </c>
      <c r="R32" s="703" t="s">
        <v>14</v>
      </c>
      <c r="S32" s="704">
        <f t="shared" si="12"/>
        <v>100</v>
      </c>
      <c r="T32" s="703" t="s">
        <v>14</v>
      </c>
      <c r="U32" s="704">
        <f t="shared" si="13"/>
        <v>100</v>
      </c>
      <c r="V32" s="703" t="s">
        <v>14</v>
      </c>
      <c r="W32" s="704">
        <f t="shared" si="14"/>
        <v>100</v>
      </c>
      <c r="X32" s="1353"/>
      <c r="Y32" s="3663"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61"/>
      <c r="Q33" s="705" t="str">
        <f t="shared" si="11"/>
        <v>项目建筑规模</v>
      </c>
      <c r="R33" s="706" t="s">
        <v>14</v>
      </c>
      <c r="S33" s="707" t="e">
        <f t="shared" si="12"/>
        <v>#N/A</v>
      </c>
      <c r="T33" s="706" t="s">
        <v>14</v>
      </c>
      <c r="U33" s="707" t="e">
        <f t="shared" si="13"/>
        <v>#N/A</v>
      </c>
      <c r="V33" s="706" t="s">
        <v>14</v>
      </c>
      <c r="W33" s="707" t="e">
        <f t="shared" si="14"/>
        <v>#N/A</v>
      </c>
      <c r="X33" s="708"/>
      <c r="Y33" s="3663"/>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61"/>
      <c r="Q34" s="1350" t="str">
        <f t="shared" si="11"/>
        <v>建筑结构</v>
      </c>
      <c r="R34" s="703" t="s">
        <v>14</v>
      </c>
      <c r="S34" s="704">
        <f t="shared" si="12"/>
        <v>100</v>
      </c>
      <c r="T34" s="703" t="s">
        <v>14</v>
      </c>
      <c r="U34" s="704">
        <f t="shared" si="13"/>
        <v>100</v>
      </c>
      <c r="V34" s="703" t="s">
        <v>14</v>
      </c>
      <c r="W34" s="704">
        <f t="shared" si="14"/>
        <v>100</v>
      </c>
      <c r="X34" s="1353"/>
      <c r="Y34" s="366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61"/>
      <c r="Q35" s="1350" t="str">
        <f t="shared" si="11"/>
        <v>公共部分装修</v>
      </c>
      <c r="R35" s="703" t="s">
        <v>14</v>
      </c>
      <c r="S35" s="704">
        <f t="shared" si="12"/>
        <v>100</v>
      </c>
      <c r="T35" s="703" t="s">
        <v>14</v>
      </c>
      <c r="U35" s="704">
        <f t="shared" si="13"/>
        <v>100</v>
      </c>
      <c r="V35" s="703" t="s">
        <v>14</v>
      </c>
      <c r="W35" s="704">
        <f t="shared" si="14"/>
        <v>100</v>
      </c>
      <c r="X35" s="1353"/>
      <c r="Y35" s="3663"/>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61"/>
      <c r="Q36" s="1350" t="str">
        <f t="shared" si="11"/>
        <v>成新度</v>
      </c>
      <c r="R36" s="703" t="s">
        <v>14</v>
      </c>
      <c r="S36" s="704" t="e">
        <f t="shared" si="12"/>
        <v>#N/A</v>
      </c>
      <c r="T36" s="703" t="s">
        <v>14</v>
      </c>
      <c r="U36" s="704" t="e">
        <f t="shared" si="13"/>
        <v>#N/A</v>
      </c>
      <c r="V36" s="703" t="s">
        <v>14</v>
      </c>
      <c r="W36" s="704" t="e">
        <f t="shared" si="14"/>
        <v>#N/A</v>
      </c>
      <c r="X36" s="1353"/>
      <c r="Y36" s="3663"/>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61"/>
      <c r="Q37" s="1341" t="str">
        <f t="shared" si="11"/>
        <v>市政基础设施</v>
      </c>
      <c r="R37" s="699" t="s">
        <v>14</v>
      </c>
      <c r="S37" s="700">
        <f t="shared" si="12"/>
        <v>100</v>
      </c>
      <c r="T37" s="699" t="s">
        <v>14</v>
      </c>
      <c r="U37" s="700">
        <f t="shared" si="13"/>
        <v>100</v>
      </c>
      <c r="V37" s="699" t="s">
        <v>14</v>
      </c>
      <c r="W37" s="700">
        <f t="shared" si="14"/>
        <v>100</v>
      </c>
      <c r="X37" s="701"/>
      <c r="Y37" s="366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61" t="s">
        <v>1696</v>
      </c>
      <c r="Q38" s="1350" t="str">
        <f t="shared" si="11"/>
        <v>业态</v>
      </c>
      <c r="R38" s="703" t="s">
        <v>14</v>
      </c>
      <c r="S38" s="704">
        <f t="shared" si="12"/>
        <v>100</v>
      </c>
      <c r="T38" s="703" t="s">
        <v>14</v>
      </c>
      <c r="U38" s="704">
        <f t="shared" si="13"/>
        <v>100</v>
      </c>
      <c r="V38" s="703" t="s">
        <v>14</v>
      </c>
      <c r="W38" s="704">
        <f t="shared" si="14"/>
        <v>100</v>
      </c>
      <c r="X38" s="1353"/>
      <c r="Y38" s="366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61"/>
      <c r="Q39" s="1350" t="str">
        <f t="shared" si="11"/>
        <v>层高</v>
      </c>
      <c r="R39" s="703" t="s">
        <v>14</v>
      </c>
      <c r="S39" s="704">
        <f t="shared" si="12"/>
        <v>100</v>
      </c>
      <c r="T39" s="703" t="s">
        <v>14</v>
      </c>
      <c r="U39" s="704">
        <f t="shared" si="13"/>
        <v>100</v>
      </c>
      <c r="V39" s="703" t="s">
        <v>14</v>
      </c>
      <c r="W39" s="704">
        <f t="shared" si="14"/>
        <v>100</v>
      </c>
      <c r="X39" s="1353"/>
      <c r="Y39" s="366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61"/>
      <c r="Q40" s="1350" t="str">
        <f t="shared" si="11"/>
        <v>单套建筑面积</v>
      </c>
      <c r="R40" s="703" t="s">
        <v>14</v>
      </c>
      <c r="S40" s="704">
        <f t="shared" si="12"/>
        <v>100</v>
      </c>
      <c r="T40" s="703" t="s">
        <v>14</v>
      </c>
      <c r="U40" s="704">
        <f t="shared" si="13"/>
        <v>100</v>
      </c>
      <c r="V40" s="703" t="s">
        <v>14</v>
      </c>
      <c r="W40" s="704">
        <f t="shared" si="14"/>
        <v>100</v>
      </c>
      <c r="X40" s="1353"/>
      <c r="Y40" s="366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61"/>
      <c r="Q41" s="705" t="str">
        <f t="shared" si="11"/>
        <v>进深比</v>
      </c>
      <c r="R41" s="706" t="s">
        <v>14</v>
      </c>
      <c r="S41" s="707">
        <f t="shared" si="12"/>
        <v>100</v>
      </c>
      <c r="T41" s="706" t="s">
        <v>14</v>
      </c>
      <c r="U41" s="707">
        <f t="shared" si="13"/>
        <v>100</v>
      </c>
      <c r="V41" s="706" t="s">
        <v>14</v>
      </c>
      <c r="W41" s="707">
        <f t="shared" si="14"/>
        <v>100</v>
      </c>
      <c r="X41" s="708"/>
      <c r="Y41" s="366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61"/>
      <c r="Q42" s="1350" t="str">
        <f t="shared" si="11"/>
        <v>内部装修</v>
      </c>
      <c r="R42" s="703" t="s">
        <v>14</v>
      </c>
      <c r="S42" s="704">
        <f t="shared" si="12"/>
        <v>100</v>
      </c>
      <c r="T42" s="703" t="s">
        <v>14</v>
      </c>
      <c r="U42" s="704">
        <f t="shared" si="13"/>
        <v>100</v>
      </c>
      <c r="V42" s="703" t="s">
        <v>14</v>
      </c>
      <c r="W42" s="704">
        <f t="shared" si="14"/>
        <v>100</v>
      </c>
      <c r="X42" s="1353"/>
      <c r="Y42" s="366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61"/>
      <c r="Q43" s="1350" t="str">
        <f t="shared" si="11"/>
        <v>内部装修维护情况</v>
      </c>
      <c r="R43" s="703" t="s">
        <v>14</v>
      </c>
      <c r="S43" s="704">
        <f t="shared" si="12"/>
        <v>100</v>
      </c>
      <c r="T43" s="703" t="s">
        <v>14</v>
      </c>
      <c r="U43" s="704">
        <f t="shared" si="13"/>
        <v>100</v>
      </c>
      <c r="V43" s="703" t="s">
        <v>14</v>
      </c>
      <c r="W43" s="704">
        <f t="shared" si="14"/>
        <v>100</v>
      </c>
      <c r="X43" s="1353"/>
      <c r="Y43" s="366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61"/>
      <c r="Q44" s="1341">
        <f t="shared" si="11"/>
        <v>111</v>
      </c>
      <c r="R44" s="699" t="s">
        <v>14</v>
      </c>
      <c r="S44" s="700">
        <f t="shared" si="12"/>
        <v>100</v>
      </c>
      <c r="T44" s="699" t="s">
        <v>14</v>
      </c>
      <c r="U44" s="700">
        <f t="shared" si="13"/>
        <v>100</v>
      </c>
      <c r="V44" s="699" t="s">
        <v>14</v>
      </c>
      <c r="W44" s="700">
        <f t="shared" si="14"/>
        <v>100</v>
      </c>
      <c r="X44" s="701"/>
      <c r="Y44" s="366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61"/>
      <c r="Q45" s="1350">
        <f t="shared" si="11"/>
        <v>111</v>
      </c>
      <c r="R45" s="703" t="s">
        <v>14</v>
      </c>
      <c r="S45" s="704">
        <f t="shared" si="12"/>
        <v>100</v>
      </c>
      <c r="T45" s="703" t="s">
        <v>14</v>
      </c>
      <c r="U45" s="704">
        <f t="shared" si="13"/>
        <v>100</v>
      </c>
      <c r="V45" s="703" t="s">
        <v>14</v>
      </c>
      <c r="W45" s="704">
        <f t="shared" si="14"/>
        <v>100</v>
      </c>
      <c r="X45" s="1353"/>
      <c r="Y45" s="366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62"/>
      <c r="Q46" s="1350">
        <f t="shared" si="11"/>
        <v>111</v>
      </c>
      <c r="R46" s="703" t="s">
        <v>14</v>
      </c>
      <c r="S46" s="704">
        <f t="shared" si="12"/>
        <v>100</v>
      </c>
      <c r="T46" s="703" t="s">
        <v>14</v>
      </c>
      <c r="U46" s="704">
        <f t="shared" si="13"/>
        <v>100</v>
      </c>
      <c r="V46" s="703" t="s">
        <v>14</v>
      </c>
      <c r="W46" s="704">
        <f t="shared" si="14"/>
        <v>100</v>
      </c>
      <c r="X46" s="1353"/>
      <c r="Y46" s="3664"/>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51" t="str">
        <f>A47</f>
        <v>成交单价（元/平方米）</v>
      </c>
      <c r="Q47" s="3651"/>
      <c r="R47" s="3685">
        <f>E47</f>
        <v>0</v>
      </c>
      <c r="S47" s="3685"/>
      <c r="T47" s="3685">
        <f>G47</f>
        <v>0</v>
      </c>
      <c r="U47" s="3685"/>
      <c r="V47" s="3685">
        <f>I47</f>
        <v>0</v>
      </c>
      <c r="W47" s="3685"/>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51" t="str">
        <f>A48</f>
        <v>比较价值（元/平方米）</v>
      </c>
      <c r="Q48" s="3651"/>
      <c r="R48" s="3652" t="e">
        <f>IF(F1="售价",ROUND(PRODUCT(R47,AA7:AA46),0),ROUND(PRODUCT(R47,AA7:AA46),1))</f>
        <v>#DIV/0!</v>
      </c>
      <c r="S48" s="3652"/>
      <c r="T48" s="3652" t="e">
        <f>IF(F1="售价",ROUND(PRODUCT(T47,AB7:AB46),0),ROUND(PRODUCT(T47,AB7:AB46),1))</f>
        <v>#DIV/0!</v>
      </c>
      <c r="U48" s="3652"/>
      <c r="V48" s="3652" t="e">
        <f>IF(F1="售价",ROUND(PRODUCT(V47,AC7:AC46),0),ROUND(PRODUCT(V47,AC7:AC46),1))</f>
        <v>#DIV/0!</v>
      </c>
      <c r="W48" s="3652"/>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22" t="str">
        <f>A49</f>
        <v>估价对象XX用房的比较价值（楼面单价，元/平方米）</v>
      </c>
      <c r="Q49" s="3723"/>
      <c r="R49" s="3724" t="e">
        <f>IF(F1="售价",ROUND(IF(D48="简单平均",AVERAGE(R48:V48),R48*F48+T48*H48+V48*J48),0),ROUND(IF(D48="简单平均",AVERAGE(R48:V48),R48*F48+T48*H48+V48*J48),1))</f>
        <v>#DIV/0!</v>
      </c>
      <c r="S49" s="3724"/>
      <c r="T49" s="3724"/>
      <c r="U49" s="3724"/>
      <c r="V49" s="3724"/>
      <c r="W49" s="372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2024-7</v>
      </c>
      <c r="D58" s="1183">
        <f>EDATE(C58,-1)</f>
        <v>45444</v>
      </c>
      <c r="E58" s="1183">
        <f t="shared" ref="E58:N58" si="16">EDATE(D58,-1)</f>
        <v>45413</v>
      </c>
      <c r="F58" s="1183">
        <f t="shared" si="16"/>
        <v>45383</v>
      </c>
      <c r="G58" s="1183">
        <f t="shared" si="16"/>
        <v>45352</v>
      </c>
      <c r="H58" s="1183">
        <f t="shared" si="16"/>
        <v>45323</v>
      </c>
      <c r="I58" s="1183">
        <f t="shared" si="16"/>
        <v>45292</v>
      </c>
      <c r="J58" s="1183">
        <f t="shared" si="16"/>
        <v>45261</v>
      </c>
      <c r="K58" s="1183">
        <f t="shared" si="16"/>
        <v>45231</v>
      </c>
      <c r="L58" s="1183">
        <f t="shared" si="16"/>
        <v>45200</v>
      </c>
      <c r="M58" s="1183">
        <f t="shared" si="16"/>
        <v>45170</v>
      </c>
      <c r="N58" s="1183">
        <f t="shared" si="16"/>
        <v>45139</v>
      </c>
      <c r="O58" s="1183">
        <f>EDATE(N58,-1)</f>
        <v>45108</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受贵公司委托，我公司对北京市房地产市场价值进行了预评估。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估价对象为北京市房地产，为所有。根据《国有土地使用证》[]，估价对象（分摊）出让国有建设用地使用权面积为0平方米，建筑面积为892.35平方米。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估价对象为北京市房地产,属开发建设的办公项目，该项目尚在开发建设中。根据《国有土地使用证》[]，估价对象（分摊）出让国有建设用地使用权面积为0平方米，规划建筑面积为892.35平方米。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2024年7月8日（评估专业人员实地查勘之日）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8" t="str">
        <f>IF(项目基本情况!B9="房地产市场价值","——",IF(项目基本情况!E8="房地产抵押价值",定义!C54,IF(项目基本情况!E8="已注销",定义!C55,定义!C56)))</f>
        <v>——</v>
      </c>
    </row>
    <row r="21" spans="1:1" ht="18">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8" t="str">
        <f>IF(项目基本情况!B9="房地产市场价值","——",IF(项目基本情况!E9="——","",定义!C57))</f>
        <v>——</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892.35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911"/>
      <c r="M4" s="912"/>
      <c r="N4" s="912"/>
      <c r="O4" s="912"/>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911"/>
      <c r="M5" s="912"/>
      <c r="N5" s="912"/>
      <c r="O5" s="912"/>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911"/>
      <c r="M6" s="912"/>
      <c r="N6" s="912"/>
      <c r="O6" s="912"/>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45481</v>
      </c>
      <c r="D7" s="365">
        <v>100</v>
      </c>
      <c r="E7" s="366"/>
      <c r="F7" s="367">
        <f>SUMIF(52:52,YEAR(E7)&amp;"-"&amp;MONTH(E7),53:53)</f>
        <v>0</v>
      </c>
      <c r="G7" s="366"/>
      <c r="H7" s="365">
        <f>SUMIF(52:52,YEAR(G7)&amp;"-"&amp;MONTH(G7),53:53)</f>
        <v>0</v>
      </c>
      <c r="I7" s="366"/>
      <c r="J7" s="365">
        <f>SUMIF(52:52,YEAR(I7)&amp;"-"&amp;MONTH(I7),53:53)</f>
        <v>0</v>
      </c>
      <c r="K7" s="560"/>
      <c r="L7" s="913"/>
      <c r="M7" s="914"/>
      <c r="N7" s="914"/>
      <c r="O7" s="914"/>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2" t="s">
        <v>1683</v>
      </c>
      <c r="Q8" s="3691"/>
      <c r="R8" s="699" t="s">
        <v>14</v>
      </c>
      <c r="S8" s="700">
        <f t="shared" si="0"/>
        <v>100</v>
      </c>
      <c r="T8" s="699" t="s">
        <v>14</v>
      </c>
      <c r="U8" s="700">
        <f t="shared" si="1"/>
        <v>100</v>
      </c>
      <c r="V8" s="699" t="s">
        <v>14</v>
      </c>
      <c r="W8" s="700">
        <f t="shared" si="2"/>
        <v>100</v>
      </c>
      <c r="X8" s="701"/>
      <c r="Y8" s="3692" t="s">
        <v>1683</v>
      </c>
      <c r="Z8" s="3691"/>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1"/>
      <c r="Q11" s="1341" t="str">
        <f t="shared" si="6"/>
        <v>容积率</v>
      </c>
      <c r="R11" s="699" t="s">
        <v>14</v>
      </c>
      <c r="S11" s="700">
        <f t="shared" si="0"/>
        <v>100</v>
      </c>
      <c r="T11" s="699" t="s">
        <v>14</v>
      </c>
      <c r="U11" s="700">
        <f t="shared" si="1"/>
        <v>100</v>
      </c>
      <c r="V11" s="699" t="s">
        <v>14</v>
      </c>
      <c r="W11" s="700">
        <f t="shared" si="2"/>
        <v>100</v>
      </c>
      <c r="X11" s="701"/>
      <c r="Y11" s="354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59"/>
      <c r="Q16" s="1350"/>
      <c r="R16" s="703"/>
      <c r="S16" s="704"/>
      <c r="T16" s="703"/>
      <c r="U16" s="704"/>
      <c r="V16" s="703"/>
      <c r="W16" s="704"/>
      <c r="X16" s="1353"/>
      <c r="Y16" s="365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59"/>
      <c r="Q18" s="1350"/>
      <c r="R18" s="703"/>
      <c r="S18" s="704"/>
      <c r="T18" s="703"/>
      <c r="U18" s="704"/>
      <c r="V18" s="703"/>
      <c r="W18" s="704"/>
      <c r="X18" s="1353"/>
      <c r="Y18" s="365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59"/>
      <c r="Q19" s="1350" t="str">
        <f>B19</f>
        <v>公共配套设施</v>
      </c>
      <c r="R19" s="703" t="s">
        <v>14</v>
      </c>
      <c r="S19" s="704">
        <f>F19</f>
        <v>100</v>
      </c>
      <c r="T19" s="703" t="s">
        <v>14</v>
      </c>
      <c r="U19" s="704">
        <f>H19</f>
        <v>100</v>
      </c>
      <c r="V19" s="703" t="s">
        <v>14</v>
      </c>
      <c r="W19" s="704">
        <f>J19</f>
        <v>100</v>
      </c>
      <c r="X19" s="1353"/>
      <c r="Y19" s="365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59"/>
      <c r="Q20" s="1350"/>
      <c r="R20" s="703"/>
      <c r="S20" s="704"/>
      <c r="T20" s="703"/>
      <c r="U20" s="704"/>
      <c r="V20" s="703"/>
      <c r="W20" s="704"/>
      <c r="X20" s="1353"/>
      <c r="Y20" s="365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59"/>
      <c r="Q21" s="1350" t="str">
        <f>B21</f>
        <v>基础设施水平</v>
      </c>
      <c r="R21" s="703" t="s">
        <v>14</v>
      </c>
      <c r="S21" s="704">
        <f>F21</f>
        <v>100</v>
      </c>
      <c r="T21" s="703" t="s">
        <v>14</v>
      </c>
      <c r="U21" s="704">
        <f>H21</f>
        <v>100</v>
      </c>
      <c r="V21" s="703" t="s">
        <v>14</v>
      </c>
      <c r="W21" s="704">
        <f>J21</f>
        <v>100</v>
      </c>
      <c r="X21" s="1353"/>
      <c r="Y21" s="365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59"/>
      <c r="Q22" s="1350"/>
      <c r="R22" s="703"/>
      <c r="S22" s="704"/>
      <c r="T22" s="703"/>
      <c r="U22" s="704"/>
      <c r="V22" s="703"/>
      <c r="W22" s="704"/>
      <c r="X22" s="1353"/>
      <c r="Y22" s="365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59"/>
      <c r="Q23" s="1350" t="str">
        <f>B23</f>
        <v>环境质量</v>
      </c>
      <c r="R23" s="703" t="s">
        <v>14</v>
      </c>
      <c r="S23" s="704">
        <f>F23</f>
        <v>100</v>
      </c>
      <c r="T23" s="703" t="s">
        <v>14</v>
      </c>
      <c r="U23" s="704">
        <f>H23</f>
        <v>100</v>
      </c>
      <c r="V23" s="703" t="s">
        <v>14</v>
      </c>
      <c r="W23" s="704">
        <f>J23</f>
        <v>100</v>
      </c>
      <c r="X23" s="1353"/>
      <c r="Y23" s="365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59"/>
      <c r="Q24" s="1350"/>
      <c r="R24" s="703"/>
      <c r="S24" s="704"/>
      <c r="T24" s="703"/>
      <c r="U24" s="704"/>
      <c r="V24" s="703"/>
      <c r="W24" s="704"/>
      <c r="X24" s="1353"/>
      <c r="Y24" s="365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59"/>
      <c r="Q25" s="1350">
        <f>B25</f>
        <v>111</v>
      </c>
      <c r="R25" s="703" t="s">
        <v>14</v>
      </c>
      <c r="S25" s="704">
        <f>F25</f>
        <v>100</v>
      </c>
      <c r="T25" s="703" t="s">
        <v>14</v>
      </c>
      <c r="U25" s="704">
        <f>H25</f>
        <v>100</v>
      </c>
      <c r="V25" s="703" t="s">
        <v>14</v>
      </c>
      <c r="W25" s="704">
        <f>J25</f>
        <v>100</v>
      </c>
      <c r="X25" s="1353"/>
      <c r="Y25" s="365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59"/>
      <c r="Q26" s="1350">
        <f t="shared" ref="Q26:Q40" si="11">B26</f>
        <v>111</v>
      </c>
      <c r="R26" s="703" t="s">
        <v>14</v>
      </c>
      <c r="S26" s="704">
        <f>F26</f>
        <v>100</v>
      </c>
      <c r="T26" s="703" t="s">
        <v>14</v>
      </c>
      <c r="U26" s="704">
        <f>H26</f>
        <v>100</v>
      </c>
      <c r="V26" s="703" t="s">
        <v>14</v>
      </c>
      <c r="W26" s="704">
        <f>J26</f>
        <v>100</v>
      </c>
      <c r="X26" s="1353"/>
      <c r="Y26" s="365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59"/>
      <c r="Q27" s="1341">
        <f t="shared" si="11"/>
        <v>111</v>
      </c>
      <c r="R27" s="699" t="s">
        <v>14</v>
      </c>
      <c r="S27" s="700">
        <f>F27</f>
        <v>100</v>
      </c>
      <c r="T27" s="699" t="s">
        <v>14</v>
      </c>
      <c r="U27" s="700">
        <f>H27</f>
        <v>100</v>
      </c>
      <c r="V27" s="699" t="s">
        <v>14</v>
      </c>
      <c r="W27" s="700">
        <f>J27</f>
        <v>100</v>
      </c>
      <c r="X27" s="701"/>
      <c r="Y27" s="365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59"/>
      <c r="Q28" s="1350">
        <f t="shared" si="11"/>
        <v>111</v>
      </c>
      <c r="R28" s="703" t="s">
        <v>14</v>
      </c>
      <c r="S28" s="704">
        <f t="shared" ref="S28:S40" si="12">F28</f>
        <v>100</v>
      </c>
      <c r="T28" s="703" t="s">
        <v>14</v>
      </c>
      <c r="U28" s="704">
        <f t="shared" ref="U28:U40" si="13">H28</f>
        <v>100</v>
      </c>
      <c r="V28" s="703" t="s">
        <v>14</v>
      </c>
      <c r="W28" s="704">
        <f t="shared" ref="W28:W40" si="14">J28</f>
        <v>100</v>
      </c>
      <c r="X28" s="1353"/>
      <c r="Y28" s="365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2" t="s">
        <v>1696</v>
      </c>
      <c r="Q29" s="1350" t="str">
        <f t="shared" si="11"/>
        <v>建筑类型</v>
      </c>
      <c r="R29" s="703" t="s">
        <v>14</v>
      </c>
      <c r="S29" s="704">
        <f t="shared" si="12"/>
        <v>100</v>
      </c>
      <c r="T29" s="703" t="s">
        <v>14</v>
      </c>
      <c r="U29" s="704">
        <f t="shared" si="13"/>
        <v>100</v>
      </c>
      <c r="V29" s="703" t="s">
        <v>14</v>
      </c>
      <c r="W29" s="704">
        <f t="shared" si="14"/>
        <v>100</v>
      </c>
      <c r="X29" s="1353"/>
      <c r="Y29" s="366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63"/>
      <c r="Q30" s="705" t="str">
        <f t="shared" si="11"/>
        <v>项目建筑规模</v>
      </c>
      <c r="R30" s="706" t="s">
        <v>14</v>
      </c>
      <c r="S30" s="707" t="e">
        <f t="shared" si="12"/>
        <v>#N/A</v>
      </c>
      <c r="T30" s="706" t="s">
        <v>14</v>
      </c>
      <c r="U30" s="707" t="e">
        <f t="shared" si="13"/>
        <v>#N/A</v>
      </c>
      <c r="V30" s="706" t="s">
        <v>14</v>
      </c>
      <c r="W30" s="707" t="e">
        <f t="shared" si="14"/>
        <v>#N/A</v>
      </c>
      <c r="X30" s="708"/>
      <c r="Y30" s="366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63"/>
      <c r="Q31" s="1350" t="str">
        <f t="shared" si="11"/>
        <v>建筑结构</v>
      </c>
      <c r="R31" s="703" t="s">
        <v>14</v>
      </c>
      <c r="S31" s="704">
        <f t="shared" si="12"/>
        <v>100</v>
      </c>
      <c r="T31" s="703" t="s">
        <v>14</v>
      </c>
      <c r="U31" s="704">
        <f t="shared" si="13"/>
        <v>100</v>
      </c>
      <c r="V31" s="703" t="s">
        <v>14</v>
      </c>
      <c r="W31" s="704">
        <f t="shared" si="14"/>
        <v>100</v>
      </c>
      <c r="X31" s="1353"/>
      <c r="Y31" s="366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63"/>
      <c r="Q32" s="1350" t="str">
        <f t="shared" si="11"/>
        <v>公共部分装修</v>
      </c>
      <c r="R32" s="703" t="s">
        <v>14</v>
      </c>
      <c r="S32" s="704">
        <f t="shared" si="12"/>
        <v>100</v>
      </c>
      <c r="T32" s="703" t="s">
        <v>14</v>
      </c>
      <c r="U32" s="704">
        <f t="shared" si="13"/>
        <v>100</v>
      </c>
      <c r="V32" s="703" t="s">
        <v>14</v>
      </c>
      <c r="W32" s="704">
        <f t="shared" si="14"/>
        <v>100</v>
      </c>
      <c r="X32" s="1353"/>
      <c r="Y32" s="366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63"/>
      <c r="Q33" s="1350" t="str">
        <f t="shared" si="11"/>
        <v>成新度</v>
      </c>
      <c r="R33" s="703" t="s">
        <v>14</v>
      </c>
      <c r="S33" s="704" t="e">
        <f t="shared" si="12"/>
        <v>#N/A</v>
      </c>
      <c r="T33" s="703" t="s">
        <v>14</v>
      </c>
      <c r="U33" s="704" t="e">
        <f t="shared" si="13"/>
        <v>#N/A</v>
      </c>
      <c r="V33" s="703" t="s">
        <v>14</v>
      </c>
      <c r="W33" s="704" t="e">
        <f t="shared" si="14"/>
        <v>#N/A</v>
      </c>
      <c r="X33" s="1353"/>
      <c r="Y33" s="366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63"/>
      <c r="Q34" s="1341" t="str">
        <f t="shared" si="11"/>
        <v>物业管理</v>
      </c>
      <c r="R34" s="699" t="s">
        <v>14</v>
      </c>
      <c r="S34" s="700">
        <f t="shared" si="12"/>
        <v>100</v>
      </c>
      <c r="T34" s="699" t="s">
        <v>14</v>
      </c>
      <c r="U34" s="700">
        <f t="shared" si="13"/>
        <v>100</v>
      </c>
      <c r="V34" s="699" t="s">
        <v>14</v>
      </c>
      <c r="W34" s="700">
        <f t="shared" si="14"/>
        <v>100</v>
      </c>
      <c r="X34" s="701"/>
      <c r="Y34" s="366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63" t="s">
        <v>1696</v>
      </c>
      <c r="Q35" s="1350" t="str">
        <f t="shared" si="11"/>
        <v>市政基础设施</v>
      </c>
      <c r="R35" s="703" t="s">
        <v>14</v>
      </c>
      <c r="S35" s="704">
        <f t="shared" si="12"/>
        <v>100</v>
      </c>
      <c r="T35" s="703" t="s">
        <v>14</v>
      </c>
      <c r="U35" s="704">
        <f t="shared" si="13"/>
        <v>100</v>
      </c>
      <c r="V35" s="703" t="s">
        <v>14</v>
      </c>
      <c r="W35" s="704">
        <f t="shared" si="14"/>
        <v>100</v>
      </c>
      <c r="X35" s="1353"/>
      <c r="Y35" s="366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63"/>
      <c r="Q36" s="1350" t="str">
        <f t="shared" si="11"/>
        <v>内部装修</v>
      </c>
      <c r="R36" s="703" t="s">
        <v>14</v>
      </c>
      <c r="S36" s="704">
        <f t="shared" si="12"/>
        <v>100</v>
      </c>
      <c r="T36" s="703" t="s">
        <v>14</v>
      </c>
      <c r="U36" s="704">
        <f t="shared" si="13"/>
        <v>100</v>
      </c>
      <c r="V36" s="703" t="s">
        <v>14</v>
      </c>
      <c r="W36" s="704">
        <f t="shared" si="14"/>
        <v>100</v>
      </c>
      <c r="X36" s="1353"/>
      <c r="Y36" s="366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63"/>
      <c r="Q37" s="1350" t="str">
        <f t="shared" si="11"/>
        <v>内部装修状况</v>
      </c>
      <c r="R37" s="703" t="s">
        <v>14</v>
      </c>
      <c r="S37" s="704">
        <f t="shared" si="12"/>
        <v>100</v>
      </c>
      <c r="T37" s="703" t="s">
        <v>14</v>
      </c>
      <c r="U37" s="704">
        <f t="shared" si="13"/>
        <v>100</v>
      </c>
      <c r="V37" s="703" t="s">
        <v>14</v>
      </c>
      <c r="W37" s="704">
        <f t="shared" si="14"/>
        <v>100</v>
      </c>
      <c r="X37" s="1353"/>
      <c r="Y37" s="366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63"/>
      <c r="Q38" s="705">
        <f t="shared" si="11"/>
        <v>111</v>
      </c>
      <c r="R38" s="706" t="s">
        <v>14</v>
      </c>
      <c r="S38" s="707">
        <f t="shared" si="12"/>
        <v>100</v>
      </c>
      <c r="T38" s="706" t="s">
        <v>14</v>
      </c>
      <c r="U38" s="707">
        <f t="shared" si="13"/>
        <v>100</v>
      </c>
      <c r="V38" s="706" t="s">
        <v>14</v>
      </c>
      <c r="W38" s="707">
        <f t="shared" si="14"/>
        <v>100</v>
      </c>
      <c r="X38" s="708"/>
      <c r="Y38" s="366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63"/>
      <c r="Q39" s="1350">
        <f t="shared" si="11"/>
        <v>111</v>
      </c>
      <c r="R39" s="703" t="s">
        <v>14</v>
      </c>
      <c r="S39" s="704">
        <f t="shared" si="12"/>
        <v>100</v>
      </c>
      <c r="T39" s="703" t="s">
        <v>14</v>
      </c>
      <c r="U39" s="704">
        <f t="shared" si="13"/>
        <v>100</v>
      </c>
      <c r="V39" s="703" t="s">
        <v>14</v>
      </c>
      <c r="W39" s="704">
        <f t="shared" si="14"/>
        <v>100</v>
      </c>
      <c r="X39" s="1353"/>
      <c r="Y39" s="366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64"/>
      <c r="Q40" s="1350">
        <f t="shared" si="11"/>
        <v>111</v>
      </c>
      <c r="R40" s="703" t="s">
        <v>14</v>
      </c>
      <c r="S40" s="704">
        <f t="shared" si="12"/>
        <v>100</v>
      </c>
      <c r="T40" s="703" t="s">
        <v>14</v>
      </c>
      <c r="U40" s="704">
        <f t="shared" si="13"/>
        <v>100</v>
      </c>
      <c r="V40" s="703" t="s">
        <v>14</v>
      </c>
      <c r="W40" s="704">
        <f t="shared" si="14"/>
        <v>100</v>
      </c>
      <c r="X40" s="1353"/>
      <c r="Y40" s="366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51" t="str">
        <f>A41</f>
        <v>成交单价（元/平方米）</v>
      </c>
      <c r="Q41" s="3651"/>
      <c r="R41" s="3652">
        <f>E41</f>
        <v>0</v>
      </c>
      <c r="S41" s="3652"/>
      <c r="T41" s="3652">
        <f>G41</f>
        <v>0</v>
      </c>
      <c r="U41" s="3652"/>
      <c r="V41" s="3652">
        <f>I41</f>
        <v>0</v>
      </c>
      <c r="W41" s="3652"/>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51" t="str">
        <f>A42</f>
        <v>比较价值（元/平方米）</v>
      </c>
      <c r="Q42" s="3651"/>
      <c r="R42" s="3652" t="e">
        <f>IF(F1="售价",ROUND(PRODUCT(R41,AA7:AA40),0),ROUND(PRODUCT(R41,AA7:AA40),1))</f>
        <v>#DIV/0!</v>
      </c>
      <c r="S42" s="3652"/>
      <c r="T42" s="3652" t="e">
        <f>IF(F1="售价",ROUND(PRODUCT(T41,AB7:AB40),0),ROUND(PRODUCT(T41,AB7:AB40),1))</f>
        <v>#DIV/0!</v>
      </c>
      <c r="U42" s="3652"/>
      <c r="V42" s="3652" t="e">
        <f>IF(F1="售价",ROUND(PRODUCT(V41,AC7:AC40),0),ROUND(PRODUCT(V41,AC7:AC40),1))</f>
        <v>#DIV/0!</v>
      </c>
      <c r="W42" s="3652"/>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22" t="str">
        <f>A43</f>
        <v>估价对象XX用房的比较价值（楼面单价，元/平方米）</v>
      </c>
      <c r="Q43" s="3723"/>
      <c r="R43" s="3724" t="e">
        <f>IF(F1="售价",ROUND(IF(D42="简单平均",AVERAGE(R42:V42),R42*F42+T42*H42+V42*J42),0),ROUND(IF(D42="简单平均",AVERAGE(R42:V42),R42*F42+T42*H42+V42*J42),1))</f>
        <v>#DIV/0!</v>
      </c>
      <c r="S43" s="3724"/>
      <c r="T43" s="3724"/>
      <c r="U43" s="3724"/>
      <c r="V43" s="3724"/>
      <c r="W43" s="372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2024-7</v>
      </c>
      <c r="D52" s="1183">
        <f>EDATE(C52,-1)</f>
        <v>45444</v>
      </c>
      <c r="E52" s="1183">
        <f t="shared" ref="E52:O52" si="16">EDATE(D52,-1)</f>
        <v>45413</v>
      </c>
      <c r="F52" s="1183">
        <f t="shared" si="16"/>
        <v>45383</v>
      </c>
      <c r="G52" s="1183">
        <f t="shared" si="16"/>
        <v>45352</v>
      </c>
      <c r="H52" s="1183">
        <f t="shared" si="16"/>
        <v>45323</v>
      </c>
      <c r="I52" s="1183">
        <f t="shared" si="16"/>
        <v>45292</v>
      </c>
      <c r="J52" s="1183">
        <f t="shared" si="16"/>
        <v>45261</v>
      </c>
      <c r="K52" s="1183">
        <f t="shared" si="16"/>
        <v>45231</v>
      </c>
      <c r="L52" s="1183">
        <f t="shared" si="16"/>
        <v>45200</v>
      </c>
      <c r="M52" s="1183">
        <f t="shared" si="16"/>
        <v>45170</v>
      </c>
      <c r="N52" s="1183">
        <f t="shared" si="16"/>
        <v>45139</v>
      </c>
      <c r="O52" s="1183">
        <f t="shared" si="16"/>
        <v>45108</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45481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59"/>
      <c r="Q15" s="1350"/>
      <c r="R15" s="703"/>
      <c r="S15" s="704"/>
      <c r="T15" s="703"/>
      <c r="U15" s="704"/>
      <c r="V15" s="703"/>
      <c r="W15" s="704"/>
      <c r="X15" s="1353"/>
      <c r="Y15" s="365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59"/>
      <c r="Q17" s="1350"/>
      <c r="R17" s="703"/>
      <c r="S17" s="704"/>
      <c r="T17" s="703"/>
      <c r="U17" s="704"/>
      <c r="V17" s="703"/>
      <c r="W17" s="704"/>
      <c r="X17" s="1353"/>
      <c r="Y17" s="365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59"/>
      <c r="Q19" s="1350"/>
      <c r="R19" s="703"/>
      <c r="S19" s="704"/>
      <c r="T19" s="703"/>
      <c r="U19" s="704"/>
      <c r="V19" s="703"/>
      <c r="W19" s="704"/>
      <c r="X19" s="1353"/>
      <c r="Y19" s="365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59"/>
      <c r="Q21" s="1350"/>
      <c r="R21" s="703"/>
      <c r="S21" s="704"/>
      <c r="T21" s="703"/>
      <c r="U21" s="704"/>
      <c r="V21" s="703"/>
      <c r="W21" s="704"/>
      <c r="X21" s="1353"/>
      <c r="Y21" s="365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59"/>
      <c r="Q24" s="1350">
        <f t="shared" ref="Q24:Q36"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2"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6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63"/>
      <c r="Q27" s="705" t="str">
        <f t="shared" si="11"/>
        <v>项目停车位配比</v>
      </c>
      <c r="R27" s="706" t="s">
        <v>14</v>
      </c>
      <c r="S27" s="707">
        <f t="shared" si="12"/>
        <v>100</v>
      </c>
      <c r="T27" s="706" t="s">
        <v>14</v>
      </c>
      <c r="U27" s="707">
        <f t="shared" si="13"/>
        <v>100</v>
      </c>
      <c r="V27" s="706" t="s">
        <v>14</v>
      </c>
      <c r="W27" s="707">
        <f t="shared" si="14"/>
        <v>100</v>
      </c>
      <c r="X27" s="708"/>
      <c r="Y27" s="366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63"/>
      <c r="Q28" s="1350" t="str">
        <f t="shared" si="11"/>
        <v>公共部分装修</v>
      </c>
      <c r="R28" s="703" t="s">
        <v>14</v>
      </c>
      <c r="S28" s="704">
        <f t="shared" si="12"/>
        <v>100</v>
      </c>
      <c r="T28" s="703" t="s">
        <v>14</v>
      </c>
      <c r="U28" s="704">
        <f t="shared" si="13"/>
        <v>100</v>
      </c>
      <c r="V28" s="703" t="s">
        <v>14</v>
      </c>
      <c r="W28" s="704">
        <f t="shared" si="14"/>
        <v>100</v>
      </c>
      <c r="X28" s="1353"/>
      <c r="Y28" s="366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63"/>
      <c r="Q29" s="1350" t="str">
        <f t="shared" si="11"/>
        <v>成新率</v>
      </c>
      <c r="R29" s="703" t="s">
        <v>14</v>
      </c>
      <c r="S29" s="704" t="e">
        <f t="shared" si="12"/>
        <v>#N/A</v>
      </c>
      <c r="T29" s="703" t="s">
        <v>14</v>
      </c>
      <c r="U29" s="704" t="e">
        <f t="shared" si="13"/>
        <v>#N/A</v>
      </c>
      <c r="V29" s="703" t="s">
        <v>14</v>
      </c>
      <c r="W29" s="704" t="e">
        <f t="shared" si="14"/>
        <v>#N/A</v>
      </c>
      <c r="X29" s="1353"/>
      <c r="Y29" s="366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63"/>
      <c r="Q30" s="1350" t="str">
        <f t="shared" si="11"/>
        <v>物业等级</v>
      </c>
      <c r="R30" s="703" t="s">
        <v>14</v>
      </c>
      <c r="S30" s="704">
        <f t="shared" si="12"/>
        <v>100</v>
      </c>
      <c r="T30" s="703" t="s">
        <v>14</v>
      </c>
      <c r="U30" s="704">
        <f t="shared" si="13"/>
        <v>100</v>
      </c>
      <c r="V30" s="703" t="s">
        <v>14</v>
      </c>
      <c r="W30" s="704">
        <f t="shared" si="14"/>
        <v>100</v>
      </c>
      <c r="X30" s="1353"/>
      <c r="Y30" s="366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63"/>
      <c r="Q31" s="1341" t="str">
        <f t="shared" si="11"/>
        <v>停车位面积</v>
      </c>
      <c r="R31" s="699" t="s">
        <v>14</v>
      </c>
      <c r="S31" s="700" t="e">
        <f t="shared" si="12"/>
        <v>#N/A</v>
      </c>
      <c r="T31" s="699" t="s">
        <v>14</v>
      </c>
      <c r="U31" s="700" t="e">
        <f t="shared" si="13"/>
        <v>#N/A</v>
      </c>
      <c r="V31" s="699" t="s">
        <v>14</v>
      </c>
      <c r="W31" s="700" t="e">
        <f t="shared" si="14"/>
        <v>#N/A</v>
      </c>
      <c r="X31" s="701"/>
      <c r="Y31" s="366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63" t="s">
        <v>1696</v>
      </c>
      <c r="Q32" s="1350" t="str">
        <f t="shared" si="11"/>
        <v>车位类型</v>
      </c>
      <c r="R32" s="703" t="s">
        <v>14</v>
      </c>
      <c r="S32" s="704">
        <f t="shared" si="12"/>
        <v>100</v>
      </c>
      <c r="T32" s="703" t="s">
        <v>14</v>
      </c>
      <c r="U32" s="704">
        <f t="shared" si="13"/>
        <v>100</v>
      </c>
      <c r="V32" s="703" t="s">
        <v>14</v>
      </c>
      <c r="W32" s="704">
        <f t="shared" si="14"/>
        <v>100</v>
      </c>
      <c r="X32" s="1353"/>
      <c r="Y32" s="366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63"/>
      <c r="Q33" s="1350" t="str">
        <f t="shared" si="11"/>
        <v>是否直接入户</v>
      </c>
      <c r="R33" s="703" t="s">
        <v>14</v>
      </c>
      <c r="S33" s="704">
        <f t="shared" si="12"/>
        <v>100</v>
      </c>
      <c r="T33" s="703" t="s">
        <v>14</v>
      </c>
      <c r="U33" s="704">
        <f t="shared" si="13"/>
        <v>100</v>
      </c>
      <c r="V33" s="703" t="s">
        <v>14</v>
      </c>
      <c r="W33" s="704">
        <f t="shared" si="14"/>
        <v>100</v>
      </c>
      <c r="X33" s="1353"/>
      <c r="Y33" s="366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63"/>
      <c r="Q35" s="705">
        <f t="shared" si="11"/>
        <v>111</v>
      </c>
      <c r="R35" s="706" t="s">
        <v>14</v>
      </c>
      <c r="S35" s="707">
        <f t="shared" si="12"/>
        <v>100</v>
      </c>
      <c r="T35" s="706" t="s">
        <v>14</v>
      </c>
      <c r="U35" s="707">
        <f t="shared" si="13"/>
        <v>100</v>
      </c>
      <c r="V35" s="706" t="s">
        <v>14</v>
      </c>
      <c r="W35" s="707">
        <f t="shared" si="14"/>
        <v>100</v>
      </c>
      <c r="X35" s="708"/>
      <c r="Y35" s="366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63"/>
      <c r="Q36" s="1350">
        <f t="shared" si="11"/>
        <v>111</v>
      </c>
      <c r="R36" s="703" t="s">
        <v>14</v>
      </c>
      <c r="S36" s="704">
        <f t="shared" si="12"/>
        <v>100</v>
      </c>
      <c r="T36" s="703" t="s">
        <v>14</v>
      </c>
      <c r="U36" s="704">
        <f t="shared" si="13"/>
        <v>100</v>
      </c>
      <c r="V36" s="703" t="s">
        <v>14</v>
      </c>
      <c r="W36" s="704">
        <f t="shared" si="14"/>
        <v>100</v>
      </c>
      <c r="X36" s="1353"/>
      <c r="Y36" s="366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51" t="str">
        <f>A37</f>
        <v>成交单价</v>
      </c>
      <c r="Q37" s="3651"/>
      <c r="R37" s="3652">
        <f>E37</f>
        <v>0</v>
      </c>
      <c r="S37" s="3652"/>
      <c r="T37" s="3652">
        <f>G37</f>
        <v>0</v>
      </c>
      <c r="U37" s="3652"/>
      <c r="V37" s="3652">
        <f>I37</f>
        <v>0</v>
      </c>
      <c r="W37" s="3652"/>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51" t="str">
        <f>A38</f>
        <v>比较价值（元/平方米）</v>
      </c>
      <c r="Q38" s="3651"/>
      <c r="R38" s="3652" t="e">
        <f>IF(F1="售价",ROUND(PRODUCT(R37,AA7:AA36),0),ROUND(PRODUCT(R37,AA7:AA36),1))</f>
        <v>#DIV/0!</v>
      </c>
      <c r="S38" s="3652"/>
      <c r="T38" s="3652" t="e">
        <f>IF(F1="售价",ROUND(PRODUCT(T37,AB7:AB36),0),ROUND(PRODUCT(T37,AB7:AB36),1))</f>
        <v>#DIV/0!</v>
      </c>
      <c r="U38" s="3652"/>
      <c r="V38" s="3652" t="e">
        <f>IF(F1="售价",ROUND(PRODUCT(V37,AC7:AC36),0),ROUND(PRODUCT(V37,AC7:AC36),1))</f>
        <v>#DIV/0!</v>
      </c>
      <c r="W38" s="3652"/>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22" t="str">
        <f>A39</f>
        <v>估价对象XX用房的比较价值（楼面单价，元/平方米）</v>
      </c>
      <c r="Q39" s="3723"/>
      <c r="R39" s="3733" t="e">
        <f>IF(F1="售价",ROUND(IF(D38="简单平均",AVERAGE(R38:W38),R38*F38+T38*H38+V38*J38),0),ROUND(IF(D38="简单平均",AVERAGE(R38:V38),R38*F38+T38*H38+V38*J38),1))</f>
        <v>#DIV/0!</v>
      </c>
      <c r="S39" s="3733"/>
      <c r="T39" s="3733"/>
      <c r="U39" s="3733"/>
      <c r="V39" s="3733"/>
      <c r="W39" s="3733"/>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2024-7</v>
      </c>
      <c r="D48" s="1183">
        <f>EDATE(C48,-1)</f>
        <v>45444</v>
      </c>
      <c r="E48" s="1183">
        <f t="shared" ref="E48:O48" si="16">EDATE(D48,-1)</f>
        <v>45413</v>
      </c>
      <c r="F48" s="1183">
        <f t="shared" si="16"/>
        <v>45383</v>
      </c>
      <c r="G48" s="1183">
        <f t="shared" si="16"/>
        <v>45352</v>
      </c>
      <c r="H48" s="1183">
        <f t="shared" si="16"/>
        <v>45323</v>
      </c>
      <c r="I48" s="1183">
        <f t="shared" si="16"/>
        <v>45292</v>
      </c>
      <c r="J48" s="1183">
        <f t="shared" si="16"/>
        <v>45261</v>
      </c>
      <c r="K48" s="1183">
        <f t="shared" si="16"/>
        <v>45231</v>
      </c>
      <c r="L48" s="1183">
        <f t="shared" si="16"/>
        <v>45200</v>
      </c>
      <c r="M48" s="1183">
        <f t="shared" si="16"/>
        <v>45170</v>
      </c>
      <c r="N48" s="1183">
        <f t="shared" si="16"/>
        <v>45139</v>
      </c>
      <c r="O48" s="1183">
        <f t="shared" si="16"/>
        <v>45108</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45481</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92" t="s">
        <v>1680</v>
      </c>
      <c r="Q7" s="3693"/>
      <c r="R7" s="699" t="s">
        <v>14</v>
      </c>
      <c r="S7" s="700">
        <f t="shared" ref="S7:S14" si="0">F7</f>
        <v>0</v>
      </c>
      <c r="T7" s="699" t="s">
        <v>14</v>
      </c>
      <c r="U7" s="700">
        <f t="shared" ref="U7:U14" si="1">H7</f>
        <v>0</v>
      </c>
      <c r="V7" s="699" t="s">
        <v>14</v>
      </c>
      <c r="W7" s="700">
        <f t="shared" ref="W7:W14" si="2">J7</f>
        <v>0</v>
      </c>
      <c r="X7" s="701"/>
      <c r="Y7" s="3692" t="s">
        <v>1680</v>
      </c>
      <c r="Z7" s="3691"/>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2" t="s">
        <v>1683</v>
      </c>
      <c r="Q8" s="3691"/>
      <c r="R8" s="699" t="s">
        <v>14</v>
      </c>
      <c r="S8" s="700">
        <f t="shared" si="0"/>
        <v>100</v>
      </c>
      <c r="T8" s="699" t="s">
        <v>14</v>
      </c>
      <c r="U8" s="700">
        <f t="shared" si="1"/>
        <v>100</v>
      </c>
      <c r="V8" s="699" t="s">
        <v>14</v>
      </c>
      <c r="W8" s="700">
        <f t="shared" si="2"/>
        <v>100</v>
      </c>
      <c r="X8" s="701"/>
      <c r="Y8" s="3692" t="s">
        <v>1683</v>
      </c>
      <c r="Z8" s="3691"/>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51" t="s">
        <v>1686</v>
      </c>
      <c r="Q9" s="1341" t="str">
        <f t="shared" ref="Q9:Q14" si="6">B9</f>
        <v>用途</v>
      </c>
      <c r="R9" s="699" t="s">
        <v>14</v>
      </c>
      <c r="S9" s="700">
        <f t="shared" si="0"/>
        <v>100</v>
      </c>
      <c r="T9" s="699" t="s">
        <v>14</v>
      </c>
      <c r="U9" s="700">
        <f t="shared" si="1"/>
        <v>100</v>
      </c>
      <c r="V9" s="699" t="s">
        <v>14</v>
      </c>
      <c r="W9" s="700">
        <f t="shared" si="2"/>
        <v>100</v>
      </c>
      <c r="X9" s="701"/>
      <c r="Y9" s="354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51"/>
      <c r="Q10" s="1341" t="str">
        <f t="shared" si="6"/>
        <v>土地使用年限（年）</v>
      </c>
      <c r="R10" s="699" t="s">
        <v>14</v>
      </c>
      <c r="S10" s="700">
        <f t="shared" si="0"/>
        <v>100</v>
      </c>
      <c r="T10" s="699" t="s">
        <v>14</v>
      </c>
      <c r="U10" s="700">
        <f t="shared" si="1"/>
        <v>100</v>
      </c>
      <c r="V10" s="699" t="s">
        <v>14</v>
      </c>
      <c r="W10" s="700">
        <f t="shared" si="2"/>
        <v>100</v>
      </c>
      <c r="X10" s="701"/>
      <c r="Y10" s="354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51"/>
      <c r="Q11" s="1341">
        <f t="shared" si="6"/>
        <v>111</v>
      </c>
      <c r="R11" s="699" t="s">
        <v>14</v>
      </c>
      <c r="S11" s="700">
        <f t="shared" si="0"/>
        <v>100</v>
      </c>
      <c r="T11" s="699" t="s">
        <v>14</v>
      </c>
      <c r="U11" s="700">
        <f t="shared" si="1"/>
        <v>100</v>
      </c>
      <c r="V11" s="699" t="s">
        <v>14</v>
      </c>
      <c r="W11" s="700">
        <f t="shared" si="2"/>
        <v>100</v>
      </c>
      <c r="X11" s="701"/>
      <c r="Y11" s="354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58" t="s">
        <v>1691</v>
      </c>
      <c r="Q14" s="1350" t="str">
        <f t="shared" si="6"/>
        <v>交通便捷度</v>
      </c>
      <c r="R14" s="703" t="s">
        <v>14</v>
      </c>
      <c r="S14" s="704">
        <f t="shared" si="0"/>
        <v>100</v>
      </c>
      <c r="T14" s="703" t="s">
        <v>14</v>
      </c>
      <c r="U14" s="704">
        <f t="shared" si="1"/>
        <v>100</v>
      </c>
      <c r="V14" s="703" t="s">
        <v>14</v>
      </c>
      <c r="W14" s="704">
        <f t="shared" si="2"/>
        <v>100</v>
      </c>
      <c r="X14" s="1353"/>
      <c r="Y14" s="365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59"/>
      <c r="Q15" s="1350"/>
      <c r="R15" s="703"/>
      <c r="S15" s="704"/>
      <c r="T15" s="703"/>
      <c r="U15" s="704"/>
      <c r="V15" s="703"/>
      <c r="W15" s="704"/>
      <c r="X15" s="1353"/>
      <c r="Y15" s="365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59"/>
      <c r="Q16" s="1350" t="str">
        <f>B16</f>
        <v>公共配套设施</v>
      </c>
      <c r="R16" s="703" t="s">
        <v>14</v>
      </c>
      <c r="S16" s="704">
        <f>F16</f>
        <v>100</v>
      </c>
      <c r="T16" s="703" t="s">
        <v>14</v>
      </c>
      <c r="U16" s="704">
        <f>H16</f>
        <v>100</v>
      </c>
      <c r="V16" s="703" t="s">
        <v>14</v>
      </c>
      <c r="W16" s="704">
        <f>J16</f>
        <v>100</v>
      </c>
      <c r="X16" s="1353"/>
      <c r="Y16" s="365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59"/>
      <c r="Q17" s="1350"/>
      <c r="R17" s="703"/>
      <c r="S17" s="704"/>
      <c r="T17" s="703"/>
      <c r="U17" s="704"/>
      <c r="V17" s="703"/>
      <c r="W17" s="704"/>
      <c r="X17" s="1353"/>
      <c r="Y17" s="365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59"/>
      <c r="Q18" s="1350" t="str">
        <f>B18</f>
        <v>基础设施水平</v>
      </c>
      <c r="R18" s="703" t="s">
        <v>14</v>
      </c>
      <c r="S18" s="704">
        <f>F18</f>
        <v>100</v>
      </c>
      <c r="T18" s="703" t="s">
        <v>14</v>
      </c>
      <c r="U18" s="704">
        <f>H18</f>
        <v>100</v>
      </c>
      <c r="V18" s="703" t="s">
        <v>14</v>
      </c>
      <c r="W18" s="704">
        <f>J18</f>
        <v>100</v>
      </c>
      <c r="X18" s="1353"/>
      <c r="Y18" s="365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59"/>
      <c r="Q19" s="1350"/>
      <c r="R19" s="703"/>
      <c r="S19" s="704"/>
      <c r="T19" s="703"/>
      <c r="U19" s="704"/>
      <c r="V19" s="703"/>
      <c r="W19" s="704"/>
      <c r="X19" s="1353"/>
      <c r="Y19" s="365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59"/>
      <c r="Q20" s="1350" t="str">
        <f>B20</f>
        <v>自然及人文环境</v>
      </c>
      <c r="R20" s="703" t="s">
        <v>14</v>
      </c>
      <c r="S20" s="704">
        <f>F20</f>
        <v>100</v>
      </c>
      <c r="T20" s="703" t="s">
        <v>14</v>
      </c>
      <c r="U20" s="704">
        <f>H20</f>
        <v>100</v>
      </c>
      <c r="V20" s="703" t="s">
        <v>14</v>
      </c>
      <c r="W20" s="704">
        <f>J20</f>
        <v>100</v>
      </c>
      <c r="X20" s="1353"/>
      <c r="Y20" s="365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59"/>
      <c r="Q21" s="1350"/>
      <c r="R21" s="703"/>
      <c r="S21" s="704"/>
      <c r="T21" s="703"/>
      <c r="U21" s="704"/>
      <c r="V21" s="703"/>
      <c r="W21" s="704"/>
      <c r="X21" s="1353"/>
      <c r="Y21" s="365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59"/>
      <c r="Q22" s="1350" t="str">
        <f>B22</f>
        <v>楼层</v>
      </c>
      <c r="R22" s="703" t="s">
        <v>14</v>
      </c>
      <c r="S22" s="704">
        <f>F22</f>
        <v>100</v>
      </c>
      <c r="T22" s="703" t="s">
        <v>14</v>
      </c>
      <c r="U22" s="704">
        <f>H22</f>
        <v>100</v>
      </c>
      <c r="V22" s="703" t="s">
        <v>14</v>
      </c>
      <c r="W22" s="704">
        <f>J22</f>
        <v>100</v>
      </c>
      <c r="X22" s="1353"/>
      <c r="Y22" s="365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59"/>
      <c r="Q23" s="1350">
        <f>B23</f>
        <v>111</v>
      </c>
      <c r="R23" s="703" t="s">
        <v>14</v>
      </c>
      <c r="S23" s="704">
        <f>F23</f>
        <v>100</v>
      </c>
      <c r="T23" s="703" t="s">
        <v>14</v>
      </c>
      <c r="U23" s="704">
        <f>H23</f>
        <v>100</v>
      </c>
      <c r="V23" s="703" t="s">
        <v>14</v>
      </c>
      <c r="W23" s="704">
        <f>J23</f>
        <v>100</v>
      </c>
      <c r="X23" s="1353"/>
      <c r="Y23" s="365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59"/>
      <c r="Q24" s="1350">
        <f t="shared" ref="Q24:Q34" si="11">B24</f>
        <v>111</v>
      </c>
      <c r="R24" s="703" t="s">
        <v>14</v>
      </c>
      <c r="S24" s="704">
        <f>F24</f>
        <v>100</v>
      </c>
      <c r="T24" s="703" t="s">
        <v>14</v>
      </c>
      <c r="U24" s="704">
        <f>H24</f>
        <v>100</v>
      </c>
      <c r="V24" s="703" t="s">
        <v>14</v>
      </c>
      <c r="W24" s="704">
        <f>J24</f>
        <v>100</v>
      </c>
      <c r="X24" s="1353"/>
      <c r="Y24" s="365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59"/>
      <c r="Q25" s="1341">
        <f t="shared" si="11"/>
        <v>111</v>
      </c>
      <c r="R25" s="699" t="s">
        <v>14</v>
      </c>
      <c r="S25" s="700">
        <f>F25</f>
        <v>100</v>
      </c>
      <c r="T25" s="699" t="s">
        <v>14</v>
      </c>
      <c r="U25" s="700">
        <f>H25</f>
        <v>100</v>
      </c>
      <c r="V25" s="699" t="s">
        <v>14</v>
      </c>
      <c r="W25" s="700">
        <f>J25</f>
        <v>100</v>
      </c>
      <c r="X25" s="701"/>
      <c r="Y25" s="365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2"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6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63"/>
      <c r="Q27" s="705" t="str">
        <f t="shared" si="11"/>
        <v>成新率</v>
      </c>
      <c r="R27" s="706" t="s">
        <v>14</v>
      </c>
      <c r="S27" s="707" t="e">
        <f t="shared" si="12"/>
        <v>#N/A</v>
      </c>
      <c r="T27" s="706" t="s">
        <v>14</v>
      </c>
      <c r="U27" s="707" t="e">
        <f t="shared" si="13"/>
        <v>#N/A</v>
      </c>
      <c r="V27" s="706" t="s">
        <v>14</v>
      </c>
      <c r="W27" s="707" t="e">
        <f t="shared" si="14"/>
        <v>#N/A</v>
      </c>
      <c r="X27" s="708"/>
      <c r="Y27" s="366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63"/>
      <c r="Q28" s="1350" t="str">
        <f t="shared" si="11"/>
        <v>物业等级</v>
      </c>
      <c r="R28" s="703" t="s">
        <v>14</v>
      </c>
      <c r="S28" s="704">
        <f t="shared" si="12"/>
        <v>100</v>
      </c>
      <c r="T28" s="703" t="s">
        <v>14</v>
      </c>
      <c r="U28" s="704">
        <f t="shared" si="13"/>
        <v>100</v>
      </c>
      <c r="V28" s="703" t="s">
        <v>14</v>
      </c>
      <c r="W28" s="704">
        <f t="shared" si="14"/>
        <v>100</v>
      </c>
      <c r="X28" s="1353"/>
      <c r="Y28" s="366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63"/>
      <c r="Q29" s="1350" t="str">
        <f t="shared" si="11"/>
        <v>有无电梯</v>
      </c>
      <c r="R29" s="703" t="s">
        <v>14</v>
      </c>
      <c r="S29" s="704">
        <f t="shared" si="12"/>
        <v>100</v>
      </c>
      <c r="T29" s="703" t="s">
        <v>14</v>
      </c>
      <c r="U29" s="704">
        <f t="shared" si="13"/>
        <v>100</v>
      </c>
      <c r="V29" s="703" t="s">
        <v>14</v>
      </c>
      <c r="W29" s="704">
        <f t="shared" si="14"/>
        <v>100</v>
      </c>
      <c r="X29" s="1353"/>
      <c r="Y29" s="366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63"/>
      <c r="Q30" s="1350" t="str">
        <f t="shared" si="11"/>
        <v>建筑面积</v>
      </c>
      <c r="R30" s="703" t="s">
        <v>14</v>
      </c>
      <c r="S30" s="704" t="e">
        <f t="shared" si="12"/>
        <v>#N/A</v>
      </c>
      <c r="T30" s="703" t="s">
        <v>14</v>
      </c>
      <c r="U30" s="704" t="e">
        <f t="shared" si="13"/>
        <v>#N/A</v>
      </c>
      <c r="V30" s="703" t="s">
        <v>14</v>
      </c>
      <c r="W30" s="704" t="e">
        <f t="shared" si="14"/>
        <v>#N/A</v>
      </c>
      <c r="X30" s="1353"/>
      <c r="Y30" s="366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63"/>
      <c r="Q31" s="1341" t="str">
        <f t="shared" si="11"/>
        <v>是否封闭</v>
      </c>
      <c r="R31" s="699" t="s">
        <v>14</v>
      </c>
      <c r="S31" s="700">
        <f t="shared" si="12"/>
        <v>100</v>
      </c>
      <c r="T31" s="699" t="s">
        <v>14</v>
      </c>
      <c r="U31" s="700">
        <f t="shared" si="13"/>
        <v>100</v>
      </c>
      <c r="V31" s="699" t="s">
        <v>14</v>
      </c>
      <c r="W31" s="700">
        <f t="shared" si="14"/>
        <v>100</v>
      </c>
      <c r="X31" s="701"/>
      <c r="Y31" s="366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63" t="s">
        <v>1696</v>
      </c>
      <c r="Q32" s="1350">
        <f t="shared" si="11"/>
        <v>111</v>
      </c>
      <c r="R32" s="703" t="s">
        <v>14</v>
      </c>
      <c r="S32" s="704">
        <f t="shared" si="12"/>
        <v>100</v>
      </c>
      <c r="T32" s="703" t="s">
        <v>14</v>
      </c>
      <c r="U32" s="704">
        <f t="shared" si="13"/>
        <v>100</v>
      </c>
      <c r="V32" s="703" t="s">
        <v>14</v>
      </c>
      <c r="W32" s="704">
        <f t="shared" si="14"/>
        <v>100</v>
      </c>
      <c r="X32" s="1353"/>
      <c r="Y32" s="366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63"/>
      <c r="Q33" s="1350">
        <f t="shared" si="11"/>
        <v>111</v>
      </c>
      <c r="R33" s="703" t="s">
        <v>14</v>
      </c>
      <c r="S33" s="704">
        <f t="shared" si="12"/>
        <v>100</v>
      </c>
      <c r="T33" s="703" t="s">
        <v>14</v>
      </c>
      <c r="U33" s="704">
        <f t="shared" si="13"/>
        <v>100</v>
      </c>
      <c r="V33" s="703" t="s">
        <v>14</v>
      </c>
      <c r="W33" s="704">
        <f t="shared" si="14"/>
        <v>100</v>
      </c>
      <c r="X33" s="1353"/>
      <c r="Y33" s="366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63"/>
      <c r="Q34" s="1350">
        <f t="shared" si="11"/>
        <v>111</v>
      </c>
      <c r="R34" s="703" t="s">
        <v>14</v>
      </c>
      <c r="S34" s="704">
        <f t="shared" si="12"/>
        <v>100</v>
      </c>
      <c r="T34" s="703" t="s">
        <v>14</v>
      </c>
      <c r="U34" s="704">
        <f t="shared" si="13"/>
        <v>100</v>
      </c>
      <c r="V34" s="703" t="s">
        <v>14</v>
      </c>
      <c r="W34" s="704">
        <f t="shared" si="14"/>
        <v>100</v>
      </c>
      <c r="X34" s="1353"/>
      <c r="Y34" s="366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51" t="str">
        <f>A35</f>
        <v>成交单价（元/平方米）</v>
      </c>
      <c r="Q35" s="3651"/>
      <c r="R35" s="3652">
        <f>E35</f>
        <v>0</v>
      </c>
      <c r="S35" s="3652"/>
      <c r="T35" s="3652">
        <f>G35</f>
        <v>0</v>
      </c>
      <c r="U35" s="3652"/>
      <c r="V35" s="3652">
        <f>I35</f>
        <v>0</v>
      </c>
      <c r="W35" s="3652"/>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51" t="str">
        <f>A36</f>
        <v>比较价值（元/平方米）</v>
      </c>
      <c r="Q36" s="3651"/>
      <c r="R36" s="3652" t="e">
        <f>IF(F1="售价",ROUND(PRODUCT(R35,AA7:AA34),0),ROUND(PRODUCT(R35,AA7:AA34),1))</f>
        <v>#DIV/0!</v>
      </c>
      <c r="S36" s="3652"/>
      <c r="T36" s="3652" t="e">
        <f>IF(F1="售价",ROUND(PRODUCT(T35,AB7:AB34),0),ROUND(PRODUCT(T35,AB7:AB34),1))</f>
        <v>#DIV/0!</v>
      </c>
      <c r="U36" s="3652"/>
      <c r="V36" s="3652" t="e">
        <f>IF(F1="售价",ROUND(PRODUCT(V35,AC7:AC34),0),ROUND(PRODUCT(V35,AC7:AC34),1))</f>
        <v>#DIV/0!</v>
      </c>
      <c r="W36" s="3652"/>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22" t="str">
        <f>A37</f>
        <v>估价对象XX用房的比较价值（楼面单价，元/平方米）</v>
      </c>
      <c r="Q37" s="3723"/>
      <c r="R37" s="3733" t="e">
        <f>IF(F1="售价",ROUND(IF(D36="简单平均",AVERAGE(R36:W36),R36*F36+T36*H36+V36*J36),0),ROUND(IF(D36="简单平均",AVERAGE(R36:V36),R36*F36+T36*H36+V36*J36),1))</f>
        <v>#DIV/0!</v>
      </c>
      <c r="S37" s="3733"/>
      <c r="T37" s="3733"/>
      <c r="U37" s="3733"/>
      <c r="V37" s="3733"/>
      <c r="W37" s="3733"/>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2024-7</v>
      </c>
      <c r="D46" s="1183">
        <f>EDATE(C46,-1)</f>
        <v>45444</v>
      </c>
      <c r="E46" s="1183">
        <f t="shared" ref="E46:O46" si="16">EDATE(D46,-1)</f>
        <v>45413</v>
      </c>
      <c r="F46" s="1183">
        <f t="shared" si="16"/>
        <v>45383</v>
      </c>
      <c r="G46" s="1183">
        <f t="shared" si="16"/>
        <v>45352</v>
      </c>
      <c r="H46" s="1183">
        <f t="shared" si="16"/>
        <v>45323</v>
      </c>
      <c r="I46" s="1183">
        <f t="shared" si="16"/>
        <v>45292</v>
      </c>
      <c r="J46" s="1183">
        <f t="shared" si="16"/>
        <v>45261</v>
      </c>
      <c r="K46" s="1183">
        <f t="shared" si="16"/>
        <v>45231</v>
      </c>
      <c r="L46" s="1183">
        <f t="shared" si="16"/>
        <v>45200</v>
      </c>
      <c r="M46" s="1183">
        <f t="shared" si="16"/>
        <v>45170</v>
      </c>
      <c r="N46" s="1183">
        <f t="shared" si="16"/>
        <v>45139</v>
      </c>
      <c r="O46" s="1183">
        <f t="shared" si="16"/>
        <v>45108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30"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30" ht="15.75" thickBot="1">
      <c r="A6" s="360"/>
      <c r="B6" s="361"/>
      <c r="C6" s="3686" t="s">
        <v>1677</v>
      </c>
      <c r="D6" s="3687"/>
      <c r="E6" s="3694" t="s">
        <v>1677</v>
      </c>
      <c r="F6" s="3695"/>
      <c r="G6" s="3686" t="s">
        <v>1677</v>
      </c>
      <c r="H6" s="3687"/>
      <c r="I6" s="3686" t="s">
        <v>1677</v>
      </c>
      <c r="J6" s="3687"/>
      <c r="K6" s="559" t="s">
        <v>1678</v>
      </c>
      <c r="L6" s="2713"/>
      <c r="M6" s="2714"/>
      <c r="N6" s="2714"/>
      <c r="O6" s="2714"/>
      <c r="P6" s="3729"/>
      <c r="Q6" s="3677"/>
      <c r="R6" s="3680"/>
      <c r="S6" s="3681"/>
      <c r="T6" s="3682"/>
      <c r="U6" s="3683"/>
      <c r="V6" s="3685"/>
      <c r="W6" s="3685"/>
      <c r="X6" s="1353"/>
      <c r="Y6" s="3682"/>
      <c r="Z6" s="3683"/>
      <c r="AA6" s="3698"/>
      <c r="AB6" s="3698"/>
      <c r="AC6" s="3698"/>
    </row>
    <row r="7" spans="1:30" s="108" customFormat="1" ht="15.75" thickBot="1">
      <c r="A7" s="362" t="s">
        <v>1679</v>
      </c>
      <c r="B7" s="363"/>
      <c r="C7" s="364">
        <f>'数据-取费表'!B2</f>
        <v>45481</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132</v>
      </c>
      <c r="G10" s="414"/>
      <c r="H10" s="127">
        <f>ROUND(100/'数据-取费表'!G16,0)</f>
        <v>132</v>
      </c>
      <c r="I10" s="414"/>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51"/>
      <c r="Q12" s="1341" t="str">
        <f t="shared" si="6"/>
        <v>配建</v>
      </c>
      <c r="R12" s="699" t="s">
        <v>14</v>
      </c>
      <c r="S12" s="700">
        <f t="shared" si="0"/>
        <v>100</v>
      </c>
      <c r="T12" s="699" t="s">
        <v>14</v>
      </c>
      <c r="U12" s="700">
        <f t="shared" si="1"/>
        <v>100</v>
      </c>
      <c r="V12" s="699" t="s">
        <v>14</v>
      </c>
      <c r="W12" s="700">
        <f t="shared" si="2"/>
        <v>100</v>
      </c>
      <c r="X12" s="701"/>
      <c r="Y12" s="354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58" t="s">
        <v>1691</v>
      </c>
      <c r="Q15" s="1350" t="str">
        <f t="shared" si="6"/>
        <v>居住社区成熟度</v>
      </c>
      <c r="R15" s="703" t="s">
        <v>14</v>
      </c>
      <c r="S15" s="704">
        <f t="shared" si="0"/>
        <v>100</v>
      </c>
      <c r="T15" s="703" t="s">
        <v>14</v>
      </c>
      <c r="U15" s="704">
        <f t="shared" si="1"/>
        <v>100</v>
      </c>
      <c r="V15" s="703" t="s">
        <v>14</v>
      </c>
      <c r="W15" s="704">
        <f t="shared" si="2"/>
        <v>100</v>
      </c>
      <c r="X15" s="1353"/>
      <c r="Y15" s="365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59"/>
      <c r="Q17" s="1350" t="str">
        <f>B17</f>
        <v>商业繁华度</v>
      </c>
      <c r="R17" s="703" t="s">
        <v>14</v>
      </c>
      <c r="S17" s="704">
        <f>F17</f>
        <v>100</v>
      </c>
      <c r="T17" s="703" t="s">
        <v>14</v>
      </c>
      <c r="U17" s="704">
        <f>H17</f>
        <v>100</v>
      </c>
      <c r="V17" s="703" t="s">
        <v>14</v>
      </c>
      <c r="W17" s="704">
        <f>J17</f>
        <v>100</v>
      </c>
      <c r="X17" s="1353"/>
      <c r="Y17" s="365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59"/>
      <c r="Q19" s="1350" t="str">
        <f>B19</f>
        <v>办公集聚程度</v>
      </c>
      <c r="R19" s="703" t="s">
        <v>14</v>
      </c>
      <c r="S19" s="704">
        <f>F19</f>
        <v>100</v>
      </c>
      <c r="T19" s="703" t="s">
        <v>14</v>
      </c>
      <c r="U19" s="704">
        <f>H19</f>
        <v>100</v>
      </c>
      <c r="V19" s="703" t="s">
        <v>14</v>
      </c>
      <c r="W19" s="704">
        <f>J19</f>
        <v>100</v>
      </c>
      <c r="X19" s="1353"/>
      <c r="Y19" s="365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59"/>
      <c r="Q20" s="1350"/>
      <c r="R20" s="703"/>
      <c r="S20" s="704"/>
      <c r="T20" s="703"/>
      <c r="U20" s="704"/>
      <c r="V20" s="703"/>
      <c r="W20" s="704"/>
      <c r="X20" s="1353"/>
      <c r="Y20" s="365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59"/>
      <c r="Q21" s="1350" t="str">
        <f>B21</f>
        <v>交通便捷度</v>
      </c>
      <c r="R21" s="703" t="s">
        <v>14</v>
      </c>
      <c r="S21" s="704">
        <f>F21</f>
        <v>100</v>
      </c>
      <c r="T21" s="703" t="s">
        <v>14</v>
      </c>
      <c r="U21" s="704">
        <f>H21</f>
        <v>100</v>
      </c>
      <c r="V21" s="703" t="s">
        <v>14</v>
      </c>
      <c r="W21" s="704">
        <f>J21</f>
        <v>100</v>
      </c>
      <c r="X21" s="1353"/>
      <c r="Y21" s="365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59"/>
      <c r="Q23" s="1350" t="str">
        <f t="shared" ref="Q23:Q37" si="8">B23</f>
        <v>区域土地利用方向</v>
      </c>
      <c r="R23" s="703" t="s">
        <v>14</v>
      </c>
      <c r="S23" s="704">
        <f>F23</f>
        <v>100</v>
      </c>
      <c r="T23" s="703" t="s">
        <v>14</v>
      </c>
      <c r="U23" s="704">
        <f>H23</f>
        <v>100</v>
      </c>
      <c r="V23" s="703" t="s">
        <v>14</v>
      </c>
      <c r="W23" s="704">
        <f>J23</f>
        <v>100</v>
      </c>
      <c r="X23" s="1353"/>
      <c r="Y23" s="365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59"/>
      <c r="Q24" s="1350"/>
      <c r="R24" s="703"/>
      <c r="S24" s="704"/>
      <c r="T24" s="703"/>
      <c r="U24" s="704"/>
      <c r="V24" s="703"/>
      <c r="W24" s="704"/>
      <c r="X24" s="1353"/>
      <c r="Y24" s="365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59"/>
      <c r="Q25" s="1350" t="str">
        <f t="shared" si="8"/>
        <v>自然及人文环境状况</v>
      </c>
      <c r="R25" s="703" t="s">
        <v>14</v>
      </c>
      <c r="S25" s="704">
        <f>F25</f>
        <v>100</v>
      </c>
      <c r="T25" s="703" t="s">
        <v>14</v>
      </c>
      <c r="U25" s="704">
        <f>H25</f>
        <v>100</v>
      </c>
      <c r="V25" s="703" t="s">
        <v>14</v>
      </c>
      <c r="W25" s="704">
        <f>J25</f>
        <v>100</v>
      </c>
      <c r="X25" s="1353"/>
      <c r="Y25" s="365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59"/>
      <c r="Q26" s="1350"/>
      <c r="R26" s="703"/>
      <c r="S26" s="704"/>
      <c r="T26" s="703"/>
      <c r="U26" s="704"/>
      <c r="V26" s="703"/>
      <c r="W26" s="704"/>
      <c r="X26" s="1353"/>
      <c r="Y26" s="365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59"/>
      <c r="Q27" s="1341" t="str">
        <f t="shared" si="8"/>
        <v>公共配套设施</v>
      </c>
      <c r="R27" s="699" t="s">
        <v>14</v>
      </c>
      <c r="S27" s="700">
        <f>F27</f>
        <v>100</v>
      </c>
      <c r="T27" s="699" t="s">
        <v>14</v>
      </c>
      <c r="U27" s="700">
        <f>H27</f>
        <v>100</v>
      </c>
      <c r="V27" s="699" t="s">
        <v>14</v>
      </c>
      <c r="W27" s="700">
        <f>J27</f>
        <v>100</v>
      </c>
      <c r="X27" s="701"/>
      <c r="Y27" s="365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59"/>
      <c r="Q28" s="1341"/>
      <c r="R28" s="699"/>
      <c r="S28" s="700"/>
      <c r="T28" s="699"/>
      <c r="U28" s="700"/>
      <c r="V28" s="699"/>
      <c r="W28" s="700"/>
      <c r="X28" s="701"/>
      <c r="Y28" s="365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59"/>
      <c r="Q29" s="1341" t="str">
        <f t="shared" ref="Q29" si="9">B29</f>
        <v>基础设施水平</v>
      </c>
      <c r="R29" s="699" t="s">
        <v>14</v>
      </c>
      <c r="S29" s="700">
        <f>F29</f>
        <v>100</v>
      </c>
      <c r="T29" s="699" t="s">
        <v>14</v>
      </c>
      <c r="U29" s="700">
        <f>H29</f>
        <v>100</v>
      </c>
      <c r="V29" s="699" t="s">
        <v>14</v>
      </c>
      <c r="W29" s="700">
        <f>J29</f>
        <v>100</v>
      </c>
      <c r="X29" s="701"/>
      <c r="Y29" s="365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59"/>
      <c r="Q30" s="1341"/>
      <c r="R30" s="699"/>
      <c r="S30" s="700"/>
      <c r="T30" s="699"/>
      <c r="U30" s="700"/>
      <c r="V30" s="699"/>
      <c r="W30" s="700"/>
      <c r="X30" s="701"/>
      <c r="Y30" s="365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5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5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59"/>
      <c r="Q32" s="1350" t="str">
        <f t="shared" si="8"/>
        <v>毗邻道路的类型与等级</v>
      </c>
      <c r="R32" s="703" t="s">
        <v>14</v>
      </c>
      <c r="S32" s="704">
        <f t="shared" si="10"/>
        <v>100</v>
      </c>
      <c r="T32" s="703" t="s">
        <v>14</v>
      </c>
      <c r="U32" s="704">
        <f t="shared" si="11"/>
        <v>100</v>
      </c>
      <c r="V32" s="703" t="s">
        <v>14</v>
      </c>
      <c r="W32" s="704">
        <f t="shared" si="12"/>
        <v>100</v>
      </c>
      <c r="X32" s="1353"/>
      <c r="Y32" s="365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59"/>
      <c r="Q33" s="1350"/>
      <c r="R33" s="703"/>
      <c r="S33" s="704"/>
      <c r="T33" s="703"/>
      <c r="U33" s="704"/>
      <c r="V33" s="703"/>
      <c r="W33" s="704"/>
      <c r="X33" s="1353"/>
      <c r="Y33" s="365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59"/>
      <c r="Q34" s="1350" t="str">
        <f t="shared" si="8"/>
        <v>土地级别</v>
      </c>
      <c r="R34" s="703" t="s">
        <v>14</v>
      </c>
      <c r="S34" s="704">
        <f t="shared" si="10"/>
        <v>100</v>
      </c>
      <c r="T34" s="703" t="s">
        <v>14</v>
      </c>
      <c r="U34" s="704">
        <f t="shared" si="11"/>
        <v>100</v>
      </c>
      <c r="V34" s="703" t="s">
        <v>14</v>
      </c>
      <c r="W34" s="704">
        <f t="shared" si="12"/>
        <v>100</v>
      </c>
      <c r="X34" s="1353"/>
      <c r="Y34" s="365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59"/>
      <c r="Q35" s="1350">
        <f t="shared" si="8"/>
        <v>111</v>
      </c>
      <c r="R35" s="703" t="s">
        <v>14</v>
      </c>
      <c r="S35" s="704">
        <f t="shared" si="10"/>
        <v>100</v>
      </c>
      <c r="T35" s="703" t="s">
        <v>14</v>
      </c>
      <c r="U35" s="704">
        <f t="shared" si="11"/>
        <v>100</v>
      </c>
      <c r="V35" s="703" t="s">
        <v>14</v>
      </c>
      <c r="W35" s="704">
        <f t="shared" si="12"/>
        <v>100</v>
      </c>
      <c r="X35" s="1353"/>
      <c r="Y35" s="365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2" t="s">
        <v>1696</v>
      </c>
      <c r="Q36" s="1350">
        <f t="shared" si="8"/>
        <v>111</v>
      </c>
      <c r="R36" s="703" t="s">
        <v>14</v>
      </c>
      <c r="S36" s="704">
        <f t="shared" si="10"/>
        <v>100</v>
      </c>
      <c r="T36" s="703" t="s">
        <v>14</v>
      </c>
      <c r="U36" s="704">
        <f t="shared" si="11"/>
        <v>100</v>
      </c>
      <c r="V36" s="703" t="s">
        <v>14</v>
      </c>
      <c r="W36" s="704">
        <f t="shared" si="12"/>
        <v>100</v>
      </c>
      <c r="X36" s="1353"/>
      <c r="Y36" s="366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63"/>
      <c r="Q37" s="1350">
        <f t="shared" si="8"/>
        <v>111</v>
      </c>
      <c r="R37" s="706" t="s">
        <v>14</v>
      </c>
      <c r="S37" s="707">
        <f t="shared" si="10"/>
        <v>100</v>
      </c>
      <c r="T37" s="706" t="s">
        <v>14</v>
      </c>
      <c r="U37" s="707">
        <f t="shared" si="11"/>
        <v>100</v>
      </c>
      <c r="V37" s="706" t="s">
        <v>14</v>
      </c>
      <c r="W37" s="707">
        <f t="shared" si="12"/>
        <v>100</v>
      </c>
      <c r="X37" s="708"/>
      <c r="Y37" s="366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63"/>
      <c r="Q38" s="1350" t="str">
        <f>B38</f>
        <v>宗地面积</v>
      </c>
      <c r="R38" s="703" t="s">
        <v>14</v>
      </c>
      <c r="S38" s="704" t="e">
        <f t="shared" si="10"/>
        <v>#N/A</v>
      </c>
      <c r="T38" s="703" t="s">
        <v>14</v>
      </c>
      <c r="U38" s="704" t="e">
        <f t="shared" si="11"/>
        <v>#N/A</v>
      </c>
      <c r="V38" s="703" t="s">
        <v>14</v>
      </c>
      <c r="W38" s="704" t="e">
        <f t="shared" si="12"/>
        <v>#N/A</v>
      </c>
      <c r="X38" s="1353"/>
      <c r="Y38" s="366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63"/>
      <c r="Q39" s="1350" t="str">
        <f t="shared" ref="Q39:Q45" si="14">B39</f>
        <v>宗地形状</v>
      </c>
      <c r="R39" s="703" t="s">
        <v>14</v>
      </c>
      <c r="S39" s="704">
        <f t="shared" si="10"/>
        <v>100</v>
      </c>
      <c r="T39" s="703" t="s">
        <v>14</v>
      </c>
      <c r="U39" s="704">
        <f t="shared" si="11"/>
        <v>100</v>
      </c>
      <c r="V39" s="703" t="s">
        <v>14</v>
      </c>
      <c r="W39" s="704">
        <f t="shared" si="12"/>
        <v>100</v>
      </c>
      <c r="X39" s="1353"/>
      <c r="Y39" s="366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63"/>
      <c r="Q40" s="1350" t="str">
        <f t="shared" si="14"/>
        <v>临街宽度及深度</v>
      </c>
      <c r="R40" s="703" t="s">
        <v>14</v>
      </c>
      <c r="S40" s="704">
        <f t="shared" si="10"/>
        <v>100</v>
      </c>
      <c r="T40" s="703" t="s">
        <v>14</v>
      </c>
      <c r="U40" s="704">
        <f t="shared" si="11"/>
        <v>100</v>
      </c>
      <c r="V40" s="703" t="s">
        <v>14</v>
      </c>
      <c r="W40" s="704">
        <f t="shared" si="12"/>
        <v>100</v>
      </c>
      <c r="X40" s="1353"/>
      <c r="Y40" s="366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63"/>
      <c r="Q41" s="1350" t="str">
        <f t="shared" si="14"/>
        <v>宗地开发程度</v>
      </c>
      <c r="R41" s="699" t="s">
        <v>14</v>
      </c>
      <c r="S41" s="700">
        <f t="shared" si="10"/>
        <v>100</v>
      </c>
      <c r="T41" s="699" t="s">
        <v>14</v>
      </c>
      <c r="U41" s="700">
        <f t="shared" si="11"/>
        <v>100</v>
      </c>
      <c r="V41" s="699" t="s">
        <v>14</v>
      </c>
      <c r="W41" s="700">
        <f t="shared" si="12"/>
        <v>100</v>
      </c>
      <c r="X41" s="701"/>
      <c r="Y41" s="366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63" t="s">
        <v>1696</v>
      </c>
      <c r="Q42" s="1350" t="str">
        <f t="shared" si="14"/>
        <v>工程地质条件</v>
      </c>
      <c r="R42" s="703" t="s">
        <v>14</v>
      </c>
      <c r="S42" s="704">
        <f t="shared" si="10"/>
        <v>100</v>
      </c>
      <c r="T42" s="703" t="s">
        <v>14</v>
      </c>
      <c r="U42" s="704">
        <f t="shared" si="11"/>
        <v>100</v>
      </c>
      <c r="V42" s="703" t="s">
        <v>14</v>
      </c>
      <c r="W42" s="704">
        <f t="shared" si="12"/>
        <v>100</v>
      </c>
      <c r="X42" s="1353"/>
      <c r="Y42" s="366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63"/>
      <c r="Q43" s="1350">
        <f t="shared" si="14"/>
        <v>111</v>
      </c>
      <c r="R43" s="703" t="s">
        <v>14</v>
      </c>
      <c r="S43" s="704">
        <f t="shared" si="10"/>
        <v>100</v>
      </c>
      <c r="T43" s="703" t="s">
        <v>14</v>
      </c>
      <c r="U43" s="704">
        <f t="shared" si="11"/>
        <v>100</v>
      </c>
      <c r="V43" s="703" t="s">
        <v>14</v>
      </c>
      <c r="W43" s="704">
        <f t="shared" si="12"/>
        <v>100</v>
      </c>
      <c r="X43" s="1353"/>
      <c r="Y43" s="366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63"/>
      <c r="Q44" s="1350">
        <f t="shared" si="14"/>
        <v>111</v>
      </c>
      <c r="R44" s="703" t="s">
        <v>14</v>
      </c>
      <c r="S44" s="704">
        <f t="shared" si="10"/>
        <v>100</v>
      </c>
      <c r="T44" s="703" t="s">
        <v>14</v>
      </c>
      <c r="U44" s="704">
        <f t="shared" si="11"/>
        <v>100</v>
      </c>
      <c r="V44" s="703" t="s">
        <v>14</v>
      </c>
      <c r="W44" s="704">
        <f t="shared" si="12"/>
        <v>100</v>
      </c>
      <c r="X44" s="1353"/>
      <c r="Y44" s="366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63"/>
      <c r="Q45" s="1350">
        <f t="shared" si="14"/>
        <v>111</v>
      </c>
      <c r="R45" s="706" t="s">
        <v>14</v>
      </c>
      <c r="S45" s="707">
        <f t="shared" si="10"/>
        <v>100</v>
      </c>
      <c r="T45" s="706" t="s">
        <v>14</v>
      </c>
      <c r="U45" s="707">
        <f t="shared" si="11"/>
        <v>100</v>
      </c>
      <c r="V45" s="706" t="s">
        <v>14</v>
      </c>
      <c r="W45" s="707">
        <f t="shared" si="12"/>
        <v>100</v>
      </c>
      <c r="X45" s="708"/>
      <c r="Y45" s="366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51" t="str">
        <f>A46</f>
        <v>成交单价</v>
      </c>
      <c r="Q46" s="3651"/>
      <c r="R46" s="3685">
        <f>E46</f>
        <v>0</v>
      </c>
      <c r="S46" s="3685"/>
      <c r="T46" s="3685">
        <f>G46</f>
        <v>0</v>
      </c>
      <c r="U46" s="3685"/>
      <c r="V46" s="3685">
        <f>I46</f>
        <v>0</v>
      </c>
      <c r="W46" s="3685"/>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51" t="str">
        <f>A47</f>
        <v>比较价值（元/平方米）</v>
      </c>
      <c r="Q47" s="3651"/>
      <c r="R47" s="3734" t="e">
        <f>ROUND(PRODUCT(R46,AA7:AA45),0)</f>
        <v>#DIV/0!</v>
      </c>
      <c r="S47" s="3734"/>
      <c r="T47" s="3734" t="e">
        <f>ROUND(PRODUCT(T46,AB7:AB45),0)</f>
        <v>#DIV/0!</v>
      </c>
      <c r="U47" s="3734"/>
      <c r="V47" s="3734" t="e">
        <f>ROUND(PRODUCT(V46,AC7:AC45),0)</f>
        <v>#DIV/0!</v>
      </c>
      <c r="W47" s="3734"/>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22" t="str">
        <f>A48</f>
        <v>估价对象XX用房的比较价值（楼面单价，元/平方米）</v>
      </c>
      <c r="Q48" s="3723"/>
      <c r="R48" s="3735" t="e">
        <f>ROUND(IF(D47="简单平均",AVERAGE(R47:W47),R47*F47+T47*H47+V47*J47),0)</f>
        <v>#DIV/0!</v>
      </c>
      <c r="S48" s="3735"/>
      <c r="T48" s="3735"/>
      <c r="U48" s="3735"/>
      <c r="V48" s="3735"/>
      <c r="W48" s="3735"/>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68" t="s">
        <v>1887</v>
      </c>
      <c r="H55" s="3736"/>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892.35</v>
      </c>
      <c r="F56" s="884" t="e">
        <f t="shared" ref="F56:F64" si="15">ROUND(B56*E56/10000,0)</f>
        <v>#DIV/0!</v>
      </c>
      <c r="G56" s="3650"/>
      <c r="H56" s="3651"/>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892.35</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2024-7-1</v>
      </c>
      <c r="D67" s="690">
        <f>EDATE(C67,-3)</f>
        <v>45383</v>
      </c>
      <c r="E67" s="690">
        <f>EDATE(D67,-3)</f>
        <v>45292</v>
      </c>
      <c r="F67" s="690">
        <f t="shared" ref="F67:O67" si="18">EDATE(E67,-3)</f>
        <v>45200</v>
      </c>
      <c r="G67" s="690">
        <f t="shared" si="18"/>
        <v>45108</v>
      </c>
      <c r="H67" s="690">
        <f t="shared" si="18"/>
        <v>45017</v>
      </c>
      <c r="I67" s="690">
        <f t="shared" si="18"/>
        <v>44927</v>
      </c>
      <c r="J67" s="690">
        <f t="shared" si="18"/>
        <v>44835</v>
      </c>
      <c r="K67" s="690">
        <f t="shared" si="18"/>
        <v>44743</v>
      </c>
      <c r="L67" s="690">
        <f t="shared" si="18"/>
        <v>44652</v>
      </c>
      <c r="M67" s="690">
        <f t="shared" si="18"/>
        <v>44562</v>
      </c>
      <c r="N67" s="690">
        <f t="shared" si="18"/>
        <v>44470</v>
      </c>
      <c r="O67" s="690">
        <f t="shared" si="18"/>
        <v>44378</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68" t="s">
        <v>1770</v>
      </c>
      <c r="D4" s="3669"/>
      <c r="E4" s="3670" t="s">
        <v>1771</v>
      </c>
      <c r="F4" s="3671"/>
      <c r="G4" s="3668" t="s">
        <v>1772</v>
      </c>
      <c r="H4" s="3669"/>
      <c r="I4" s="3668" t="s">
        <v>1773</v>
      </c>
      <c r="J4" s="3669"/>
      <c r="K4" s="559" t="s">
        <v>1774</v>
      </c>
      <c r="L4" s="2713"/>
      <c r="M4" s="2714"/>
      <c r="N4" s="2714"/>
      <c r="O4" s="2714"/>
      <c r="P4" s="3726" t="s">
        <v>1775</v>
      </c>
      <c r="Q4" s="3727"/>
      <c r="R4" s="3730" t="s">
        <v>1771</v>
      </c>
      <c r="S4" s="3731"/>
      <c r="T4" s="3730" t="s">
        <v>1772</v>
      </c>
      <c r="U4" s="3731"/>
      <c r="V4" s="3685" t="s">
        <v>1773</v>
      </c>
      <c r="W4" s="3685"/>
      <c r="X4" s="1353"/>
      <c r="Y4" s="3730" t="s">
        <v>1775</v>
      </c>
      <c r="Z4" s="3731"/>
      <c r="AA4" s="3725" t="s">
        <v>1771</v>
      </c>
      <c r="AB4" s="3697" t="s">
        <v>1772</v>
      </c>
      <c r="AC4" s="3725" t="s">
        <v>1773</v>
      </c>
    </row>
    <row r="5" spans="1:29" ht="15">
      <c r="A5" s="358"/>
      <c r="B5" s="359"/>
      <c r="C5" s="3688" t="s">
        <v>1673</v>
      </c>
      <c r="D5" s="3689"/>
      <c r="E5" s="3699" t="s">
        <v>1674</v>
      </c>
      <c r="F5" s="3700"/>
      <c r="G5" s="3688" t="s">
        <v>1675</v>
      </c>
      <c r="H5" s="3689"/>
      <c r="I5" s="3688" t="s">
        <v>1676</v>
      </c>
      <c r="J5" s="3689"/>
      <c r="K5" s="559"/>
      <c r="L5" s="2713"/>
      <c r="M5" s="2714"/>
      <c r="N5" s="2714"/>
      <c r="O5" s="2714"/>
      <c r="P5" s="3728"/>
      <c r="Q5" s="3675"/>
      <c r="R5" s="3680"/>
      <c r="S5" s="3681"/>
      <c r="T5" s="3680"/>
      <c r="U5" s="3681"/>
      <c r="V5" s="3685"/>
      <c r="W5" s="3685"/>
      <c r="X5" s="1353"/>
      <c r="Y5" s="3680"/>
      <c r="Z5" s="3681"/>
      <c r="AA5" s="3697"/>
      <c r="AB5" s="3697"/>
      <c r="AC5" s="3697"/>
    </row>
    <row r="6" spans="1:29" ht="15.75" thickBot="1">
      <c r="A6" s="360"/>
      <c r="B6" s="361"/>
      <c r="C6" s="3737" t="s">
        <v>1919</v>
      </c>
      <c r="D6" s="3738"/>
      <c r="E6" s="3739" t="s">
        <v>1919</v>
      </c>
      <c r="F6" s="3740"/>
      <c r="G6" s="3737" t="s">
        <v>1919</v>
      </c>
      <c r="H6" s="3738"/>
      <c r="I6" s="3737" t="s">
        <v>1919</v>
      </c>
      <c r="J6" s="3738"/>
      <c r="K6" s="559" t="s">
        <v>1678</v>
      </c>
      <c r="L6" s="2713"/>
      <c r="M6" s="2714"/>
      <c r="N6" s="2714"/>
      <c r="O6" s="2714"/>
      <c r="P6" s="3729"/>
      <c r="Q6" s="3677"/>
      <c r="R6" s="3680"/>
      <c r="S6" s="3681"/>
      <c r="T6" s="3682"/>
      <c r="U6" s="3683"/>
      <c r="V6" s="3685"/>
      <c r="W6" s="3685"/>
      <c r="X6" s="1353"/>
      <c r="Y6" s="3682"/>
      <c r="Z6" s="3683"/>
      <c r="AA6" s="3698"/>
      <c r="AB6" s="3698"/>
      <c r="AC6" s="3698"/>
    </row>
    <row r="7" spans="1:29" s="108" customFormat="1" ht="15.75" thickBot="1">
      <c r="A7" s="362" t="s">
        <v>1679</v>
      </c>
      <c r="B7" s="363"/>
      <c r="C7" s="364">
        <f>'数据-取费表'!B2</f>
        <v>45481</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92" t="s">
        <v>1680</v>
      </c>
      <c r="Q7" s="3693"/>
      <c r="R7" s="699" t="s">
        <v>14</v>
      </c>
      <c r="S7" s="700">
        <f t="shared" ref="S7:S15" si="0">F7</f>
        <v>0</v>
      </c>
      <c r="T7" s="699" t="s">
        <v>14</v>
      </c>
      <c r="U7" s="700">
        <f t="shared" ref="U7:U15" si="1">H7</f>
        <v>0</v>
      </c>
      <c r="V7" s="699" t="s">
        <v>14</v>
      </c>
      <c r="W7" s="700">
        <f t="shared" ref="W7:W15" si="2">J7</f>
        <v>0</v>
      </c>
      <c r="X7" s="701"/>
      <c r="Y7" s="3692" t="s">
        <v>1680</v>
      </c>
      <c r="Z7" s="3691"/>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2" t="s">
        <v>1683</v>
      </c>
      <c r="Q8" s="3691"/>
      <c r="R8" s="699" t="s">
        <v>14</v>
      </c>
      <c r="S8" s="700">
        <f t="shared" si="0"/>
        <v>0</v>
      </c>
      <c r="T8" s="699" t="s">
        <v>14</v>
      </c>
      <c r="U8" s="700">
        <f t="shared" si="1"/>
        <v>0</v>
      </c>
      <c r="V8" s="699" t="s">
        <v>14</v>
      </c>
      <c r="W8" s="700">
        <f t="shared" si="2"/>
        <v>0</v>
      </c>
      <c r="X8" s="701"/>
      <c r="Y8" s="3692" t="s">
        <v>1683</v>
      </c>
      <c r="Z8" s="3691"/>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51" t="s">
        <v>1686</v>
      </c>
      <c r="Q9" s="1341" t="str">
        <f t="shared" ref="Q9:Q15" si="6">B9</f>
        <v>用途</v>
      </c>
      <c r="R9" s="699" t="s">
        <v>14</v>
      </c>
      <c r="S9" s="700">
        <f t="shared" si="0"/>
        <v>100</v>
      </c>
      <c r="T9" s="699" t="s">
        <v>14</v>
      </c>
      <c r="U9" s="700">
        <f t="shared" si="1"/>
        <v>100</v>
      </c>
      <c r="V9" s="699" t="s">
        <v>14</v>
      </c>
      <c r="W9" s="700">
        <f t="shared" si="2"/>
        <v>100</v>
      </c>
      <c r="X9" s="701"/>
      <c r="Y9" s="354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132</v>
      </c>
      <c r="G10" s="383"/>
      <c r="H10" s="127">
        <f>ROUND(100/'数据-取费表'!G16,0)</f>
        <v>132</v>
      </c>
      <c r="I10" s="383"/>
      <c r="J10" s="127">
        <f>ROUND(100/'数据-取费表'!G16,0)</f>
        <v>132</v>
      </c>
      <c r="K10" s="620"/>
      <c r="L10" s="2717"/>
      <c r="M10" s="2718"/>
      <c r="N10" s="2718"/>
      <c r="O10" s="2771"/>
      <c r="P10" s="3651"/>
      <c r="Q10" s="1341" t="str">
        <f t="shared" si="6"/>
        <v>土地使用年限（年）</v>
      </c>
      <c r="R10" s="699" t="s">
        <v>14</v>
      </c>
      <c r="S10" s="700">
        <f t="shared" si="0"/>
        <v>132</v>
      </c>
      <c r="T10" s="699" t="s">
        <v>14</v>
      </c>
      <c r="U10" s="700">
        <f t="shared" si="1"/>
        <v>132</v>
      </c>
      <c r="V10" s="699" t="s">
        <v>14</v>
      </c>
      <c r="W10" s="700">
        <f t="shared" si="2"/>
        <v>132</v>
      </c>
      <c r="X10" s="701"/>
      <c r="Y10" s="3549"/>
      <c r="Z10" s="52" t="str">
        <f t="shared" si="7"/>
        <v>土地使用年限（年）</v>
      </c>
      <c r="AA10" s="702">
        <f t="shared" si="3"/>
        <v>0.75757575757575757</v>
      </c>
      <c r="AB10" s="702">
        <f t="shared" si="4"/>
        <v>0.75757575757575757</v>
      </c>
      <c r="AC10" s="702">
        <f t="shared" si="5"/>
        <v>0.75757575757575757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51"/>
      <c r="Q11" s="1341" t="str">
        <f t="shared" si="6"/>
        <v>容积率</v>
      </c>
      <c r="R11" s="699" t="s">
        <v>14</v>
      </c>
      <c r="S11" s="700" t="e">
        <f t="shared" si="0"/>
        <v>#N/A</v>
      </c>
      <c r="T11" s="699" t="s">
        <v>14</v>
      </c>
      <c r="U11" s="700" t="e">
        <f t="shared" si="1"/>
        <v>#N/A</v>
      </c>
      <c r="V11" s="699" t="s">
        <v>14</v>
      </c>
      <c r="W11" s="700" t="e">
        <f t="shared" si="2"/>
        <v>#N/A</v>
      </c>
      <c r="X11" s="701"/>
      <c r="Y11" s="354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51"/>
      <c r="Q12" s="1341">
        <f t="shared" si="6"/>
        <v>111</v>
      </c>
      <c r="R12" s="699" t="s">
        <v>14</v>
      </c>
      <c r="S12" s="700">
        <f t="shared" si="0"/>
        <v>100</v>
      </c>
      <c r="T12" s="699" t="s">
        <v>14</v>
      </c>
      <c r="U12" s="700">
        <f t="shared" si="1"/>
        <v>100</v>
      </c>
      <c r="V12" s="699" t="s">
        <v>14</v>
      </c>
      <c r="W12" s="700">
        <f t="shared" si="2"/>
        <v>100</v>
      </c>
      <c r="X12" s="701"/>
      <c r="Y12" s="354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51"/>
      <c r="Q13" s="1341">
        <f t="shared" si="6"/>
        <v>111</v>
      </c>
      <c r="R13" s="699" t="s">
        <v>14</v>
      </c>
      <c r="S13" s="700">
        <f t="shared" si="0"/>
        <v>100</v>
      </c>
      <c r="T13" s="699" t="s">
        <v>14</v>
      </c>
      <c r="U13" s="700">
        <f t="shared" si="1"/>
        <v>100</v>
      </c>
      <c r="V13" s="699" t="s">
        <v>14</v>
      </c>
      <c r="W13" s="700">
        <f t="shared" si="2"/>
        <v>100</v>
      </c>
      <c r="X13" s="701"/>
      <c r="Y13" s="354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51"/>
      <c r="Q14" s="1341">
        <f t="shared" si="6"/>
        <v>111</v>
      </c>
      <c r="R14" s="699" t="s">
        <v>14</v>
      </c>
      <c r="S14" s="700">
        <f t="shared" si="0"/>
        <v>100</v>
      </c>
      <c r="T14" s="699" t="s">
        <v>14</v>
      </c>
      <c r="U14" s="700">
        <f t="shared" si="1"/>
        <v>100</v>
      </c>
      <c r="V14" s="699" t="s">
        <v>14</v>
      </c>
      <c r="W14" s="700">
        <f t="shared" si="2"/>
        <v>100</v>
      </c>
      <c r="X14" s="701"/>
      <c r="Y14" s="354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58" t="s">
        <v>1691</v>
      </c>
      <c r="Q15" s="1350" t="str">
        <f t="shared" si="6"/>
        <v>产业集聚程度</v>
      </c>
      <c r="R15" s="703" t="s">
        <v>14</v>
      </c>
      <c r="S15" s="704">
        <f t="shared" si="0"/>
        <v>100</v>
      </c>
      <c r="T15" s="703" t="s">
        <v>14</v>
      </c>
      <c r="U15" s="704">
        <f t="shared" si="1"/>
        <v>100</v>
      </c>
      <c r="V15" s="703" t="s">
        <v>14</v>
      </c>
      <c r="W15" s="704">
        <f t="shared" si="2"/>
        <v>100</v>
      </c>
      <c r="X15" s="1353"/>
      <c r="Y15" s="365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59"/>
      <c r="Q16" s="1350"/>
      <c r="R16" s="703"/>
      <c r="S16" s="704"/>
      <c r="T16" s="703"/>
      <c r="U16" s="704"/>
      <c r="V16" s="703"/>
      <c r="W16" s="704"/>
      <c r="X16" s="1353"/>
      <c r="Y16" s="365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59"/>
      <c r="Q17" s="1350" t="str">
        <f>B17</f>
        <v>交通便捷度</v>
      </c>
      <c r="R17" s="703" t="s">
        <v>14</v>
      </c>
      <c r="S17" s="704">
        <f>F17</f>
        <v>100</v>
      </c>
      <c r="T17" s="703" t="s">
        <v>14</v>
      </c>
      <c r="U17" s="704">
        <f>H17</f>
        <v>100</v>
      </c>
      <c r="V17" s="703" t="s">
        <v>14</v>
      </c>
      <c r="W17" s="704">
        <f>J17</f>
        <v>100</v>
      </c>
      <c r="X17" s="1353"/>
      <c r="Y17" s="365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59"/>
      <c r="Q18" s="1350"/>
      <c r="R18" s="703"/>
      <c r="S18" s="704"/>
      <c r="T18" s="703"/>
      <c r="U18" s="704"/>
      <c r="V18" s="703"/>
      <c r="W18" s="704"/>
      <c r="X18" s="1353"/>
      <c r="Y18" s="365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59"/>
      <c r="Q19" s="1350" t="str">
        <f t="shared" ref="Q19:Q33" si="8">B19</f>
        <v>区域土地利用方向</v>
      </c>
      <c r="R19" s="703" t="s">
        <v>14</v>
      </c>
      <c r="S19" s="704">
        <f>F19</f>
        <v>100</v>
      </c>
      <c r="T19" s="703" t="s">
        <v>14</v>
      </c>
      <c r="U19" s="704">
        <f>H19</f>
        <v>100</v>
      </c>
      <c r="V19" s="703" t="s">
        <v>14</v>
      </c>
      <c r="W19" s="704">
        <f>J19</f>
        <v>100</v>
      </c>
      <c r="X19" s="1353"/>
      <c r="Y19" s="365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59"/>
      <c r="Q20" s="1350"/>
      <c r="R20" s="703"/>
      <c r="S20" s="704"/>
      <c r="T20" s="703"/>
      <c r="U20" s="704"/>
      <c r="V20" s="703"/>
      <c r="W20" s="704"/>
      <c r="X20" s="1353"/>
      <c r="Y20" s="365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59"/>
      <c r="Q21" s="1350" t="str">
        <f t="shared" si="8"/>
        <v>环境状况</v>
      </c>
      <c r="R21" s="703" t="s">
        <v>14</v>
      </c>
      <c r="S21" s="704">
        <f>F21</f>
        <v>100</v>
      </c>
      <c r="T21" s="703" t="s">
        <v>14</v>
      </c>
      <c r="U21" s="704">
        <f>H21</f>
        <v>100</v>
      </c>
      <c r="V21" s="703" t="s">
        <v>14</v>
      </c>
      <c r="W21" s="704">
        <f>J21</f>
        <v>100</v>
      </c>
      <c r="X21" s="1353"/>
      <c r="Y21" s="365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59"/>
      <c r="Q22" s="1350"/>
      <c r="R22" s="703"/>
      <c r="S22" s="704"/>
      <c r="T22" s="703"/>
      <c r="U22" s="704"/>
      <c r="V22" s="703"/>
      <c r="W22" s="704"/>
      <c r="X22" s="1353"/>
      <c r="Y22" s="365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59"/>
      <c r="Q23" s="1341" t="str">
        <f t="shared" si="8"/>
        <v>公共配套设施</v>
      </c>
      <c r="R23" s="699" t="s">
        <v>14</v>
      </c>
      <c r="S23" s="700">
        <f>F23</f>
        <v>100</v>
      </c>
      <c r="T23" s="699" t="s">
        <v>14</v>
      </c>
      <c r="U23" s="700">
        <f>H23</f>
        <v>100</v>
      </c>
      <c r="V23" s="699" t="s">
        <v>14</v>
      </c>
      <c r="W23" s="700">
        <f>J23</f>
        <v>100</v>
      </c>
      <c r="X23" s="701"/>
      <c r="Y23" s="365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59"/>
      <c r="Q24" s="1341"/>
      <c r="R24" s="699"/>
      <c r="S24" s="700"/>
      <c r="T24" s="699"/>
      <c r="U24" s="700"/>
      <c r="V24" s="699"/>
      <c r="W24" s="700"/>
      <c r="X24" s="701"/>
      <c r="Y24" s="365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59"/>
      <c r="Q25" s="1341" t="str">
        <f t="shared" ref="Q25" si="9">B25</f>
        <v>基础设施水平</v>
      </c>
      <c r="R25" s="699" t="s">
        <v>14</v>
      </c>
      <c r="S25" s="700">
        <f>F25</f>
        <v>100</v>
      </c>
      <c r="T25" s="699" t="s">
        <v>14</v>
      </c>
      <c r="U25" s="700">
        <f>H25</f>
        <v>100</v>
      </c>
      <c r="V25" s="699" t="s">
        <v>14</v>
      </c>
      <c r="W25" s="700">
        <f>J25</f>
        <v>100</v>
      </c>
      <c r="X25" s="701"/>
      <c r="Y25" s="365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59"/>
      <c r="Q26" s="1341"/>
      <c r="R26" s="699"/>
      <c r="S26" s="700"/>
      <c r="T26" s="699"/>
      <c r="U26" s="700"/>
      <c r="V26" s="699"/>
      <c r="W26" s="700"/>
      <c r="X26" s="701"/>
      <c r="Y26" s="365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5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5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59"/>
      <c r="Q28" s="1350" t="str">
        <f t="shared" si="8"/>
        <v>毗邻道路的类型与等级</v>
      </c>
      <c r="R28" s="703" t="s">
        <v>14</v>
      </c>
      <c r="S28" s="704">
        <f t="shared" si="10"/>
        <v>100</v>
      </c>
      <c r="T28" s="703" t="s">
        <v>14</v>
      </c>
      <c r="U28" s="704">
        <f t="shared" si="11"/>
        <v>100</v>
      </c>
      <c r="V28" s="703" t="s">
        <v>14</v>
      </c>
      <c r="W28" s="704">
        <f t="shared" si="12"/>
        <v>100</v>
      </c>
      <c r="X28" s="1353"/>
      <c r="Y28" s="365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59"/>
      <c r="Q29" s="1350"/>
      <c r="R29" s="703"/>
      <c r="S29" s="704"/>
      <c r="T29" s="703"/>
      <c r="U29" s="704"/>
      <c r="V29" s="703"/>
      <c r="W29" s="704"/>
      <c r="X29" s="1353"/>
      <c r="Y29" s="365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59"/>
      <c r="Q30" s="1350" t="str">
        <f t="shared" si="8"/>
        <v>土地级别</v>
      </c>
      <c r="R30" s="703" t="s">
        <v>14</v>
      </c>
      <c r="S30" s="704">
        <f t="shared" si="10"/>
        <v>100</v>
      </c>
      <c r="T30" s="703" t="s">
        <v>14</v>
      </c>
      <c r="U30" s="704">
        <f t="shared" si="11"/>
        <v>100</v>
      </c>
      <c r="V30" s="703" t="s">
        <v>14</v>
      </c>
      <c r="W30" s="704">
        <f t="shared" si="12"/>
        <v>100</v>
      </c>
      <c r="X30" s="1353"/>
      <c r="Y30" s="365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59"/>
      <c r="Q31" s="1350">
        <f t="shared" si="8"/>
        <v>111</v>
      </c>
      <c r="R31" s="703" t="s">
        <v>14</v>
      </c>
      <c r="S31" s="704">
        <f t="shared" si="10"/>
        <v>100</v>
      </c>
      <c r="T31" s="703" t="s">
        <v>14</v>
      </c>
      <c r="U31" s="704">
        <f t="shared" si="11"/>
        <v>100</v>
      </c>
      <c r="V31" s="703" t="s">
        <v>14</v>
      </c>
      <c r="W31" s="704">
        <f t="shared" si="12"/>
        <v>100</v>
      </c>
      <c r="X31" s="1353"/>
      <c r="Y31" s="365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2" t="s">
        <v>1696</v>
      </c>
      <c r="Q32" s="1350">
        <f t="shared" si="8"/>
        <v>111</v>
      </c>
      <c r="R32" s="703" t="s">
        <v>14</v>
      </c>
      <c r="S32" s="704">
        <f t="shared" si="10"/>
        <v>100</v>
      </c>
      <c r="T32" s="703" t="s">
        <v>14</v>
      </c>
      <c r="U32" s="704">
        <f t="shared" si="11"/>
        <v>100</v>
      </c>
      <c r="V32" s="703" t="s">
        <v>14</v>
      </c>
      <c r="W32" s="704">
        <f t="shared" si="12"/>
        <v>100</v>
      </c>
      <c r="X32" s="1353"/>
      <c r="Y32" s="366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63"/>
      <c r="Q33" s="1350">
        <f t="shared" si="8"/>
        <v>111</v>
      </c>
      <c r="R33" s="706" t="s">
        <v>14</v>
      </c>
      <c r="S33" s="707">
        <f t="shared" si="10"/>
        <v>100</v>
      </c>
      <c r="T33" s="706" t="s">
        <v>14</v>
      </c>
      <c r="U33" s="707">
        <f t="shared" si="11"/>
        <v>100</v>
      </c>
      <c r="V33" s="706" t="s">
        <v>14</v>
      </c>
      <c r="W33" s="707">
        <f t="shared" si="12"/>
        <v>100</v>
      </c>
      <c r="X33" s="708"/>
      <c r="Y33" s="366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63"/>
      <c r="Q34" s="1350" t="str">
        <f>B34</f>
        <v>宗地面积</v>
      </c>
      <c r="R34" s="703" t="s">
        <v>14</v>
      </c>
      <c r="S34" s="704" t="e">
        <f t="shared" si="10"/>
        <v>#N/A</v>
      </c>
      <c r="T34" s="703" t="s">
        <v>14</v>
      </c>
      <c r="U34" s="704" t="e">
        <f t="shared" si="11"/>
        <v>#N/A</v>
      </c>
      <c r="V34" s="703" t="s">
        <v>14</v>
      </c>
      <c r="W34" s="704" t="e">
        <f t="shared" si="12"/>
        <v>#N/A</v>
      </c>
      <c r="X34" s="1353"/>
      <c r="Y34" s="366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63"/>
      <c r="Q35" s="1350" t="str">
        <f t="shared" ref="Q35:Q40" si="14">B35</f>
        <v>宗地形状</v>
      </c>
      <c r="R35" s="703" t="s">
        <v>14</v>
      </c>
      <c r="S35" s="704">
        <f t="shared" si="10"/>
        <v>100</v>
      </c>
      <c r="T35" s="703" t="s">
        <v>14</v>
      </c>
      <c r="U35" s="704">
        <f t="shared" si="11"/>
        <v>100</v>
      </c>
      <c r="V35" s="703" t="s">
        <v>14</v>
      </c>
      <c r="W35" s="704">
        <f t="shared" si="12"/>
        <v>100</v>
      </c>
      <c r="X35" s="1353"/>
      <c r="Y35" s="366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63"/>
      <c r="Q36" s="1350" t="str">
        <f t="shared" si="14"/>
        <v>宗地开发程度</v>
      </c>
      <c r="R36" s="699" t="s">
        <v>14</v>
      </c>
      <c r="S36" s="700">
        <f t="shared" si="10"/>
        <v>100</v>
      </c>
      <c r="T36" s="699" t="s">
        <v>14</v>
      </c>
      <c r="U36" s="700">
        <f t="shared" si="11"/>
        <v>100</v>
      </c>
      <c r="V36" s="699" t="s">
        <v>14</v>
      </c>
      <c r="W36" s="700">
        <f t="shared" si="12"/>
        <v>100</v>
      </c>
      <c r="X36" s="701"/>
      <c r="Y36" s="366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63" t="s">
        <v>1696</v>
      </c>
      <c r="Q37" s="1350" t="str">
        <f t="shared" si="14"/>
        <v>工程地质条件</v>
      </c>
      <c r="R37" s="703" t="s">
        <v>14</v>
      </c>
      <c r="S37" s="704">
        <f t="shared" si="10"/>
        <v>100</v>
      </c>
      <c r="T37" s="703" t="s">
        <v>14</v>
      </c>
      <c r="U37" s="704">
        <f t="shared" si="11"/>
        <v>100</v>
      </c>
      <c r="V37" s="703" t="s">
        <v>14</v>
      </c>
      <c r="W37" s="704">
        <f t="shared" si="12"/>
        <v>100</v>
      </c>
      <c r="X37" s="1353"/>
      <c r="Y37" s="366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63"/>
      <c r="Q38" s="1350">
        <f t="shared" si="14"/>
        <v>111</v>
      </c>
      <c r="R38" s="703" t="s">
        <v>14</v>
      </c>
      <c r="S38" s="704">
        <f t="shared" si="10"/>
        <v>100</v>
      </c>
      <c r="T38" s="703" t="s">
        <v>14</v>
      </c>
      <c r="U38" s="704">
        <f t="shared" si="11"/>
        <v>100</v>
      </c>
      <c r="V38" s="703" t="s">
        <v>14</v>
      </c>
      <c r="W38" s="704">
        <f t="shared" si="12"/>
        <v>100</v>
      </c>
      <c r="X38" s="1353"/>
      <c r="Y38" s="366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63"/>
      <c r="Q39" s="1350">
        <f t="shared" si="14"/>
        <v>111</v>
      </c>
      <c r="R39" s="703" t="s">
        <v>14</v>
      </c>
      <c r="S39" s="704">
        <f t="shared" si="10"/>
        <v>100</v>
      </c>
      <c r="T39" s="703" t="s">
        <v>14</v>
      </c>
      <c r="U39" s="704">
        <f t="shared" si="11"/>
        <v>100</v>
      </c>
      <c r="V39" s="703" t="s">
        <v>14</v>
      </c>
      <c r="W39" s="704">
        <f t="shared" si="12"/>
        <v>100</v>
      </c>
      <c r="X39" s="1353"/>
      <c r="Y39" s="366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63"/>
      <c r="Q40" s="1350">
        <f t="shared" si="14"/>
        <v>111</v>
      </c>
      <c r="R40" s="706" t="s">
        <v>14</v>
      </c>
      <c r="S40" s="707">
        <f t="shared" si="10"/>
        <v>100</v>
      </c>
      <c r="T40" s="706" t="s">
        <v>14</v>
      </c>
      <c r="U40" s="707">
        <f t="shared" si="11"/>
        <v>100</v>
      </c>
      <c r="V40" s="706" t="s">
        <v>14</v>
      </c>
      <c r="W40" s="707">
        <f t="shared" si="12"/>
        <v>100</v>
      </c>
      <c r="X40" s="708"/>
      <c r="Y40" s="366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51" t="str">
        <f>A41</f>
        <v>成交单价</v>
      </c>
      <c r="Q41" s="3651"/>
      <c r="R41" s="3685">
        <f>E41</f>
        <v>0</v>
      </c>
      <c r="S41" s="3685"/>
      <c r="T41" s="3685">
        <f>G41</f>
        <v>0</v>
      </c>
      <c r="U41" s="3685"/>
      <c r="V41" s="3685">
        <f>I41</f>
        <v>0</v>
      </c>
      <c r="W41" s="3685"/>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51" t="str">
        <f>A42</f>
        <v>比较价值（元/平方米）</v>
      </c>
      <c r="Q42" s="3651"/>
      <c r="R42" s="3734" t="e">
        <f>ROUND(PRODUCT(R41,AA7:AA40),0)</f>
        <v>#DIV/0!</v>
      </c>
      <c r="S42" s="3734"/>
      <c r="T42" s="3734" t="e">
        <f>ROUND(PRODUCT(T41,AB7:AB40),0)</f>
        <v>#DIV/0!</v>
      </c>
      <c r="U42" s="3734"/>
      <c r="V42" s="3734" t="e">
        <f>ROUND(PRODUCT(V41,AC7:AC40),0)</f>
        <v>#DIV/0!</v>
      </c>
      <c r="W42" s="3734"/>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22" t="str">
        <f>A43</f>
        <v>估价对象XX用房的比较价值（楼面单价，元/平方米）</v>
      </c>
      <c r="Q43" s="3723"/>
      <c r="R43" s="3735" t="e">
        <f>ROUND(IF(D42="简单平均",AVERAGE(R42:W42),R42*F42+T42*H42+V42*J42),0)</f>
        <v>#DIV/0!</v>
      </c>
      <c r="S43" s="3735"/>
      <c r="T43" s="3735"/>
      <c r="U43" s="3735"/>
      <c r="V43" s="3735"/>
      <c r="W43" s="3735"/>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68" t="s">
        <v>1887</v>
      </c>
      <c r="H50" s="3736"/>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892.35</v>
      </c>
      <c r="F51" s="639" t="e">
        <f t="shared" ref="F51:F60" si="15">ROUND(B51*E51/10000,0)</f>
        <v>#DIV/0!</v>
      </c>
      <c r="G51" s="3650"/>
      <c r="H51" s="3651"/>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2024-7-1</v>
      </c>
      <c r="D63" s="690">
        <f>EDATE(C63,-3)</f>
        <v>45383</v>
      </c>
      <c r="E63" s="690">
        <f>EDATE(D63,-3)</f>
        <v>45292</v>
      </c>
      <c r="F63" s="690">
        <f t="shared" ref="F63:O63" si="18">EDATE(E63,-3)</f>
        <v>45200</v>
      </c>
      <c r="G63" s="690">
        <f t="shared" si="18"/>
        <v>45108</v>
      </c>
      <c r="H63" s="690">
        <f t="shared" si="18"/>
        <v>45017</v>
      </c>
      <c r="I63" s="690">
        <f t="shared" si="18"/>
        <v>44927</v>
      </c>
      <c r="J63" s="690">
        <f t="shared" si="18"/>
        <v>44835</v>
      </c>
      <c r="K63" s="690">
        <f t="shared" si="18"/>
        <v>44743</v>
      </c>
      <c r="L63" s="690">
        <f t="shared" si="18"/>
        <v>44652</v>
      </c>
      <c r="M63" s="690">
        <f t="shared" si="18"/>
        <v>44562</v>
      </c>
      <c r="N63" s="690">
        <f t="shared" si="18"/>
        <v>44470</v>
      </c>
      <c r="O63" s="690">
        <f t="shared" si="18"/>
        <v>44378</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7" sqref="W27"/>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4" t="s">
        <v>2084</v>
      </c>
      <c r="D1" s="3745"/>
      <c r="E1" s="3745"/>
      <c r="F1" s="3745"/>
      <c r="G1" s="3745"/>
      <c r="H1" s="3745"/>
      <c r="I1" s="3745"/>
      <c r="J1" s="3745"/>
      <c r="K1" s="3745"/>
      <c r="L1" s="3745"/>
      <c r="M1" s="3745"/>
      <c r="N1" s="3745"/>
      <c r="O1" s="3745"/>
      <c r="P1" s="3745"/>
      <c r="Q1" s="3745"/>
      <c r="R1" s="3745"/>
      <c r="S1" s="3746"/>
      <c r="T1" s="981" t="s">
        <v>2085</v>
      </c>
    </row>
    <row r="2" spans="1:45" s="655" customFormat="1">
      <c r="A2" s="982"/>
      <c r="B2" s="651" t="s">
        <v>2086</v>
      </c>
      <c r="C2" s="652" t="str">
        <f t="shared" ref="C2:L2" si="0">C3&amp;"(含)"&amp;"-"&amp;D3</f>
        <v>0(含)-300</v>
      </c>
      <c r="D2" s="653" t="str">
        <f t="shared" si="0"/>
        <v>300(含)-500</v>
      </c>
      <c r="E2" s="653" t="str">
        <f t="shared" si="0"/>
        <v>500(含)-1000</v>
      </c>
      <c r="F2" s="653" t="str">
        <f t="shared" si="0"/>
        <v>1000(含)-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1000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98</v>
      </c>
      <c r="D4" s="485">
        <v>100</v>
      </c>
      <c r="E4" s="485">
        <v>98</v>
      </c>
      <c r="F4" s="485">
        <v>96</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#REF!</v>
      </c>
      <c r="C20" s="159"/>
      <c r="D20" s="2149"/>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892.35</v>
      </c>
      <c r="C22" s="3741" t="s">
        <v>27</v>
      </c>
      <c r="D22" s="3742"/>
      <c r="E22" s="3742"/>
      <c r="F22" s="3742"/>
      <c r="G22" s="3742"/>
      <c r="H22" s="3742"/>
      <c r="I22" s="3742"/>
      <c r="J22" s="3742"/>
      <c r="K22" s="3742"/>
      <c r="L22" s="3742"/>
      <c r="M22" s="3742"/>
      <c r="N22" s="3742"/>
      <c r="O22" s="3742"/>
      <c r="P22" s="3742"/>
      <c r="Q22" s="3743"/>
      <c r="R22" s="661">
        <f ca="1">ROUND(S22*10000/B22,0)</f>
        <v>30313</v>
      </c>
      <c r="S22" s="21">
        <f ca="1">SUM(S24:S10000)</f>
        <v>2705</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303</v>
      </c>
      <c r="B24" s="663">
        <v>320.41000000000003</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30450</v>
      </c>
      <c r="S24" s="664">
        <f t="shared" ref="S24:S54" ca="1" si="11">ROUND(R24*B24/10000,0)</f>
        <v>976</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54">
        <v>304</v>
      </c>
      <c r="B25" s="54">
        <v>359.27</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30450</v>
      </c>
      <c r="S25" s="316">
        <f t="shared" ca="1" si="11"/>
        <v>1094</v>
      </c>
    </row>
    <row r="26" spans="1:45">
      <c r="A26" s="54">
        <v>305</v>
      </c>
      <c r="B26" s="54">
        <v>145.79</v>
      </c>
      <c r="C26" s="21">
        <f t="shared" ref="C26:C89" si="12">IF(B26="",1,(LOOKUP(B26,$3:$3,$4:$4)-LOOKUP($B$24,$3:$3,$4:$4)+100)/100)</f>
        <v>0.98</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ca="1" si="20">IF(B26="",0,ROUND($R$24*C26*E26*G26*I26*K26*M26*O26*Q26,0))</f>
        <v>29841</v>
      </c>
      <c r="S26" s="316">
        <f t="shared" ca="1" si="11"/>
        <v>435</v>
      </c>
    </row>
    <row r="27" spans="1:45">
      <c r="A27" s="54">
        <v>306</v>
      </c>
      <c r="B27" s="54">
        <v>66.88</v>
      </c>
      <c r="C27" s="21">
        <f t="shared" si="12"/>
        <v>0.98</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ca="1" si="20"/>
        <v>29841</v>
      </c>
      <c r="S27" s="316">
        <f t="shared" ca="1" si="11"/>
        <v>200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F39" sqref="F39:F48"/>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4"/>
      <c r="B4" s="3755"/>
      <c r="C4" s="3755"/>
      <c r="D4" s="3756"/>
      <c r="E4" s="3756"/>
      <c r="F4" s="3756"/>
      <c r="G4" s="3756"/>
      <c r="H4" s="3756"/>
      <c r="I4" s="3756"/>
      <c r="J4" s="3757"/>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1" t="s">
        <v>1960</v>
      </c>
      <c r="X8" s="375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3"/>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8" t="s">
        <v>3257</v>
      </c>
      <c r="B20" s="167" t="s">
        <v>1994</v>
      </c>
      <c r="C20" s="3323" t="e">
        <f>ROUND(IF(F21="与级别开发程度一致",0,(G21-E21)/C21),0)</f>
        <v>#DIV/0!</v>
      </c>
      <c r="D20" s="3339" t="s">
        <v>1998</v>
      </c>
      <c r="E20" s="3340"/>
      <c r="F20" s="3764" t="s">
        <v>1995</v>
      </c>
      <c r="G20" s="3765"/>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9"/>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45481</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14</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2"/>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3"/>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3"/>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0" t="s">
        <v>3297</v>
      </c>
      <c r="B103" s="3760"/>
      <c r="C103" s="3760"/>
      <c r="D103" s="3760"/>
      <c r="E103" s="3760"/>
      <c r="F103" s="3760"/>
      <c r="G103" s="3760"/>
      <c r="H103" s="3760"/>
      <c r="I103" s="3760"/>
      <c r="J103" s="3760"/>
      <c r="K103" s="3388"/>
      <c r="L103" s="3388"/>
      <c r="M103" s="3388"/>
      <c r="N103" s="3388"/>
    </row>
    <row r="104" spans="1:14">
      <c r="A104" s="3761" t="s">
        <v>3298</v>
      </c>
      <c r="B104" s="3761" t="s">
        <v>3299</v>
      </c>
      <c r="C104" s="3389" t="s">
        <v>3300</v>
      </c>
      <c r="D104" s="3390"/>
      <c r="E104" s="3390"/>
      <c r="F104" s="3390"/>
      <c r="G104" s="3390"/>
      <c r="H104" s="3390"/>
      <c r="I104" s="3390"/>
      <c r="J104" s="3391"/>
      <c r="K104" s="3392"/>
      <c r="L104" s="3392"/>
      <c r="M104" s="3392"/>
      <c r="N104" s="3392"/>
    </row>
    <row r="105" spans="1:14">
      <c r="A105" s="3761"/>
      <c r="B105" s="3761"/>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47"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8"/>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9"/>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0" t="s">
        <v>3314</v>
      </c>
      <c r="B113" s="3750"/>
      <c r="C113" s="3750"/>
      <c r="D113" s="3750"/>
      <c r="E113" s="3750"/>
      <c r="F113" s="3750"/>
      <c r="G113" s="3750"/>
      <c r="H113" s="3750"/>
      <c r="I113" s="3750"/>
      <c r="J113" s="375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5" t="s">
        <v>2610</v>
      </c>
      <c r="B20" s="3770" t="s">
        <v>2631</v>
      </c>
      <c r="C20" s="3101" t="s">
        <v>2442</v>
      </c>
      <c r="D20" s="3102"/>
      <c r="E20" s="3103">
        <v>1</v>
      </c>
      <c r="F20" s="3104" t="s">
        <v>2443</v>
      </c>
      <c r="G20" s="3104"/>
    </row>
    <row r="21" spans="1:13" ht="19.5" customHeight="1">
      <c r="A21" s="3776"/>
      <c r="B21" s="3769"/>
      <c r="C21" s="3105" t="s">
        <v>2444</v>
      </c>
      <c r="D21" s="3106"/>
      <c r="E21" s="3107">
        <v>1</v>
      </c>
      <c r="F21" s="3104" t="s">
        <v>2445</v>
      </c>
      <c r="G21" s="3104"/>
    </row>
    <row r="22" spans="1:13" ht="19.5" customHeight="1">
      <c r="A22" s="3776"/>
      <c r="B22" s="3769"/>
      <c r="C22" s="3105" t="s">
        <v>2446</v>
      </c>
      <c r="D22" s="3106"/>
      <c r="E22" s="3107">
        <v>0.9</v>
      </c>
      <c r="F22" s="3104" t="s">
        <v>2447</v>
      </c>
      <c r="G22" s="3104"/>
    </row>
    <row r="23" spans="1:13" ht="19.5" customHeight="1">
      <c r="A23" s="3776"/>
      <c r="B23" s="3769"/>
      <c r="C23" s="3105" t="s">
        <v>2448</v>
      </c>
      <c r="D23" s="3106"/>
      <c r="E23" s="3107">
        <v>0.9</v>
      </c>
      <c r="F23" s="3104" t="s">
        <v>2449</v>
      </c>
      <c r="G23" s="3104"/>
    </row>
    <row r="24" spans="1:13" ht="19.5" customHeight="1">
      <c r="A24" s="3776"/>
      <c r="B24" s="3769"/>
      <c r="C24" s="3105" t="s">
        <v>2450</v>
      </c>
      <c r="D24" s="3106"/>
      <c r="E24" s="3107">
        <v>0.8</v>
      </c>
      <c r="F24" s="3104" t="s">
        <v>2451</v>
      </c>
      <c r="G24" s="3104"/>
    </row>
    <row r="25" spans="1:13" ht="19.5" customHeight="1" thickBot="1">
      <c r="A25" s="3777"/>
      <c r="B25" s="3771"/>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72" t="s">
        <v>2634</v>
      </c>
      <c r="B27" s="3770" t="s">
        <v>2615</v>
      </c>
      <c r="C27" s="3101" t="s">
        <v>2455</v>
      </c>
      <c r="D27" s="3102"/>
      <c r="E27" s="3103">
        <v>1</v>
      </c>
      <c r="F27" s="3104" t="s">
        <v>2456</v>
      </c>
      <c r="G27" s="3104"/>
    </row>
    <row r="28" spans="1:13" ht="19.5" customHeight="1">
      <c r="A28" s="3773"/>
      <c r="B28" s="3769"/>
      <c r="C28" s="3105" t="s">
        <v>2457</v>
      </c>
      <c r="D28" s="3106"/>
      <c r="E28" s="3107">
        <v>1</v>
      </c>
      <c r="F28" s="3104" t="s">
        <v>2458</v>
      </c>
      <c r="G28" s="3104"/>
    </row>
    <row r="29" spans="1:13" ht="19.5" customHeight="1">
      <c r="A29" s="3773"/>
      <c r="B29" s="3769"/>
      <c r="C29" s="3105" t="s">
        <v>2459</v>
      </c>
      <c r="D29" s="3106"/>
      <c r="E29" s="3107">
        <v>0.8</v>
      </c>
      <c r="F29" s="3104" t="s">
        <v>2460</v>
      </c>
      <c r="G29" s="3104"/>
    </row>
    <row r="30" spans="1:13" ht="19.5" customHeight="1">
      <c r="A30" s="3773"/>
      <c r="B30" s="3769"/>
      <c r="C30" s="3105" t="s">
        <v>2461</v>
      </c>
      <c r="D30" s="3106"/>
      <c r="E30" s="3107">
        <v>0.8</v>
      </c>
      <c r="F30" s="3104" t="s">
        <v>2462</v>
      </c>
      <c r="G30" s="3104"/>
    </row>
    <row r="31" spans="1:13" ht="19.5" customHeight="1">
      <c r="A31" s="3773"/>
      <c r="B31" s="3769"/>
      <c r="C31" s="3105" t="s">
        <v>2463</v>
      </c>
      <c r="D31" s="3106"/>
      <c r="E31" s="3107">
        <v>0.8</v>
      </c>
      <c r="F31" s="3104" t="s">
        <v>2464</v>
      </c>
      <c r="G31" s="3104"/>
    </row>
    <row r="32" spans="1:13" ht="19.5" customHeight="1">
      <c r="A32" s="3773"/>
      <c r="B32" s="3769"/>
      <c r="C32" s="3105" t="s">
        <v>2465</v>
      </c>
      <c r="D32" s="3106"/>
      <c r="E32" s="3107">
        <v>0.7</v>
      </c>
      <c r="F32" s="3104" t="s">
        <v>2466</v>
      </c>
      <c r="G32" s="3104"/>
    </row>
    <row r="33" spans="1:7" ht="19.5" customHeight="1">
      <c r="A33" s="3773"/>
      <c r="B33" s="3769"/>
      <c r="C33" s="3105" t="s">
        <v>2467</v>
      </c>
      <c r="D33" s="3106"/>
      <c r="E33" s="3107">
        <v>0.8</v>
      </c>
      <c r="F33" s="3104" t="s">
        <v>2468</v>
      </c>
      <c r="G33" s="3104"/>
    </row>
    <row r="34" spans="1:7" ht="19.5" customHeight="1">
      <c r="A34" s="3773"/>
      <c r="B34" s="3769"/>
      <c r="C34" s="3105" t="s">
        <v>2469</v>
      </c>
      <c r="D34" s="3106"/>
      <c r="E34" s="3107">
        <v>0.6</v>
      </c>
      <c r="F34" s="3104" t="s">
        <v>2470</v>
      </c>
      <c r="G34" s="3104"/>
    </row>
    <row r="35" spans="1:7" ht="19.5" customHeight="1">
      <c r="A35" s="3773"/>
      <c r="B35" s="3769"/>
      <c r="C35" s="3105" t="s">
        <v>2471</v>
      </c>
      <c r="D35" s="3106"/>
      <c r="E35" s="3107">
        <v>0.2</v>
      </c>
      <c r="F35" s="3104" t="s">
        <v>2472</v>
      </c>
      <c r="G35" s="3104"/>
    </row>
    <row r="36" spans="1:7" ht="19.5" customHeight="1">
      <c r="A36" s="3773"/>
      <c r="B36" s="3769"/>
      <c r="C36" s="3105" t="s">
        <v>2473</v>
      </c>
      <c r="D36" s="3106"/>
      <c r="E36" s="3107">
        <v>0.2</v>
      </c>
      <c r="F36" s="3104" t="s">
        <v>2474</v>
      </c>
      <c r="G36" s="3104"/>
    </row>
    <row r="37" spans="1:7" ht="19.5" customHeight="1">
      <c r="A37" s="3773"/>
      <c r="B37" s="3767" t="s">
        <v>2635</v>
      </c>
      <c r="C37" s="3105" t="s">
        <v>2475</v>
      </c>
      <c r="D37" s="3106"/>
      <c r="E37" s="3107">
        <v>0.6</v>
      </c>
      <c r="F37" s="3104" t="s">
        <v>2476</v>
      </c>
      <c r="G37" s="3104"/>
    </row>
    <row r="38" spans="1:7" ht="19.5" customHeight="1">
      <c r="A38" s="3773"/>
      <c r="B38" s="3769"/>
      <c r="C38" s="3105" t="s">
        <v>2477</v>
      </c>
      <c r="D38" s="3106"/>
      <c r="E38" s="3107">
        <v>0.6</v>
      </c>
      <c r="F38" s="3104" t="s">
        <v>2478</v>
      </c>
      <c r="G38" s="3104"/>
    </row>
    <row r="39" spans="1:7" ht="19.5" customHeight="1" thickBot="1">
      <c r="A39" s="3774"/>
      <c r="B39" s="3771"/>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5" t="s">
        <v>2613</v>
      </c>
      <c r="B41" s="3770" t="s">
        <v>2637</v>
      </c>
      <c r="C41" s="3101" t="s">
        <v>2482</v>
      </c>
      <c r="D41" s="3102"/>
      <c r="E41" s="3103">
        <v>1</v>
      </c>
      <c r="F41" s="3104" t="s">
        <v>2483</v>
      </c>
      <c r="G41" s="3104"/>
    </row>
    <row r="42" spans="1:7" ht="19.5" customHeight="1">
      <c r="A42" s="3776"/>
      <c r="B42" s="3769"/>
      <c r="C42" s="3105" t="s">
        <v>2484</v>
      </c>
      <c r="D42" s="3106"/>
      <c r="E42" s="3107">
        <v>1</v>
      </c>
      <c r="F42" s="3104" t="s">
        <v>2485</v>
      </c>
      <c r="G42" s="3104"/>
    </row>
    <row r="43" spans="1:7" ht="19.5" customHeight="1">
      <c r="A43" s="3776"/>
      <c r="B43" s="3768"/>
      <c r="C43" s="3105" t="s">
        <v>2486</v>
      </c>
      <c r="D43" s="3106"/>
      <c r="E43" s="3107">
        <v>1.5</v>
      </c>
      <c r="F43" s="3104" t="s">
        <v>2487</v>
      </c>
      <c r="G43" s="3104"/>
    </row>
    <row r="44" spans="1:7" ht="19.5" customHeight="1">
      <c r="A44" s="3776"/>
      <c r="B44" s="3116" t="s">
        <v>2638</v>
      </c>
      <c r="C44" s="3105" t="s">
        <v>2639</v>
      </c>
      <c r="D44" s="3106"/>
      <c r="E44" s="3107">
        <v>2</v>
      </c>
      <c r="F44" s="3104" t="s">
        <v>2488</v>
      </c>
      <c r="G44" s="3104"/>
    </row>
    <row r="45" spans="1:7" ht="19.5" customHeight="1">
      <c r="A45" s="3776"/>
      <c r="B45" s="3767" t="s">
        <v>2640</v>
      </c>
      <c r="C45" s="3105" t="s">
        <v>2489</v>
      </c>
      <c r="D45" s="3106"/>
      <c r="E45" s="3107">
        <v>1</v>
      </c>
      <c r="F45" s="3104" t="s">
        <v>2490</v>
      </c>
      <c r="G45" s="3104"/>
    </row>
    <row r="46" spans="1:7" ht="19.5" customHeight="1">
      <c r="A46" s="3776"/>
      <c r="B46" s="3769"/>
      <c r="C46" s="3105" t="s">
        <v>2491</v>
      </c>
      <c r="D46" s="3106"/>
      <c r="E46" s="3107">
        <v>1</v>
      </c>
      <c r="F46" s="3104" t="s">
        <v>2492</v>
      </c>
      <c r="G46" s="3104"/>
    </row>
    <row r="47" spans="1:7" ht="19.5" customHeight="1">
      <c r="A47" s="3776"/>
      <c r="B47" s="3769"/>
      <c r="C47" s="3105" t="s">
        <v>2493</v>
      </c>
      <c r="D47" s="3106"/>
      <c r="E47" s="3107">
        <v>1</v>
      </c>
      <c r="F47" s="3104" t="s">
        <v>2494</v>
      </c>
      <c r="G47" s="3104"/>
    </row>
    <row r="48" spans="1:7" ht="19.5" customHeight="1">
      <c r="A48" s="3776"/>
      <c r="B48" s="3769"/>
      <c r="C48" s="3105" t="s">
        <v>2495</v>
      </c>
      <c r="D48" s="3106"/>
      <c r="E48" s="3107">
        <v>1</v>
      </c>
      <c r="F48" s="3104" t="s">
        <v>2496</v>
      </c>
      <c r="G48" s="3104"/>
    </row>
    <row r="49" spans="1:7" ht="19.5" customHeight="1">
      <c r="A49" s="3776"/>
      <c r="B49" s="3769"/>
      <c r="C49" s="3105" t="s">
        <v>2497</v>
      </c>
      <c r="D49" s="3106"/>
      <c r="E49" s="3107">
        <v>1</v>
      </c>
      <c r="F49" s="3104" t="s">
        <v>2498</v>
      </c>
      <c r="G49" s="3104"/>
    </row>
    <row r="50" spans="1:7" ht="19.5" customHeight="1">
      <c r="A50" s="3776"/>
      <c r="B50" s="3769"/>
      <c r="C50" s="3105" t="s">
        <v>2499</v>
      </c>
      <c r="D50" s="3106"/>
      <c r="E50" s="3107">
        <v>1</v>
      </c>
      <c r="F50" s="3104" t="s">
        <v>2500</v>
      </c>
      <c r="G50" s="3104"/>
    </row>
    <row r="51" spans="1:7" ht="19.5" customHeight="1" thickBot="1">
      <c r="A51" s="3777"/>
      <c r="B51" s="3771"/>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7" t="s">
        <v>2654</v>
      </c>
      <c r="C73" s="3090" t="s">
        <v>2655</v>
      </c>
      <c r="D73" s="3090" t="s">
        <v>2656</v>
      </c>
      <c r="E73" s="3116">
        <v>0.2</v>
      </c>
      <c r="F73" s="3116">
        <v>25</v>
      </c>
    </row>
    <row r="74" spans="1:7" ht="24">
      <c r="A74" s="3116">
        <v>2</v>
      </c>
      <c r="B74" s="3769"/>
      <c r="C74" s="3090" t="s">
        <v>2657</v>
      </c>
      <c r="D74" s="3090" t="s">
        <v>2658</v>
      </c>
      <c r="E74" s="3116">
        <v>0.2</v>
      </c>
      <c r="F74" s="3116">
        <v>25</v>
      </c>
    </row>
    <row r="75" spans="1:7" ht="24">
      <c r="A75" s="3116">
        <v>3</v>
      </c>
      <c r="B75" s="3769"/>
      <c r="C75" s="3090" t="s">
        <v>2659</v>
      </c>
      <c r="D75" s="3090" t="s">
        <v>2660</v>
      </c>
      <c r="E75" s="3116">
        <v>0.2</v>
      </c>
      <c r="F75" s="3116">
        <v>25</v>
      </c>
    </row>
    <row r="76" spans="1:7" ht="13.5">
      <c r="A76" s="3116">
        <v>4</v>
      </c>
      <c r="B76" s="3769"/>
      <c r="C76" s="3090" t="s">
        <v>2661</v>
      </c>
      <c r="D76" s="3090" t="s">
        <v>2662</v>
      </c>
      <c r="E76" s="3116">
        <v>0.15</v>
      </c>
      <c r="F76" s="3116">
        <v>20</v>
      </c>
    </row>
    <row r="77" spans="1:7" ht="24">
      <c r="A77" s="3116">
        <v>5</v>
      </c>
      <c r="B77" s="3769"/>
      <c r="C77" s="3090" t="s">
        <v>2663</v>
      </c>
      <c r="D77" s="3090" t="s">
        <v>2664</v>
      </c>
      <c r="E77" s="3116">
        <v>0.15</v>
      </c>
      <c r="F77" s="3116">
        <v>20</v>
      </c>
    </row>
    <row r="78" spans="1:7" ht="24">
      <c r="A78" s="3116">
        <v>6</v>
      </c>
      <c r="B78" s="3769"/>
      <c r="C78" s="3090" t="s">
        <v>2665</v>
      </c>
      <c r="D78" s="3090" t="s">
        <v>2666</v>
      </c>
      <c r="E78" s="3116">
        <v>0.15</v>
      </c>
      <c r="F78" s="3116">
        <v>20</v>
      </c>
    </row>
    <row r="79" spans="1:7" ht="24">
      <c r="A79" s="3116">
        <v>7</v>
      </c>
      <c r="B79" s="3769"/>
      <c r="C79" s="3090" t="s">
        <v>2667</v>
      </c>
      <c r="D79" s="3090" t="s">
        <v>2668</v>
      </c>
      <c r="E79" s="3116">
        <v>0.15</v>
      </c>
      <c r="F79" s="3116">
        <v>20</v>
      </c>
    </row>
    <row r="80" spans="1:7" ht="24">
      <c r="A80" s="3116">
        <v>8</v>
      </c>
      <c r="B80" s="3769"/>
      <c r="C80" s="3090" t="s">
        <v>2669</v>
      </c>
      <c r="D80" s="3090" t="s">
        <v>2670</v>
      </c>
      <c r="E80" s="3116">
        <v>0.1</v>
      </c>
      <c r="F80" s="3116">
        <v>15</v>
      </c>
    </row>
    <row r="81" spans="1:6" ht="24">
      <c r="A81" s="3116">
        <v>9</v>
      </c>
      <c r="B81" s="3769"/>
      <c r="C81" s="3090" t="s">
        <v>2671</v>
      </c>
      <c r="D81" s="3090" t="s">
        <v>2672</v>
      </c>
      <c r="E81" s="3116">
        <v>0.1</v>
      </c>
      <c r="F81" s="3116">
        <v>15</v>
      </c>
    </row>
    <row r="82" spans="1:6" ht="24">
      <c r="A82" s="3116">
        <v>10</v>
      </c>
      <c r="B82" s="3769"/>
      <c r="C82" s="3090" t="s">
        <v>2673</v>
      </c>
      <c r="D82" s="3090" t="s">
        <v>2674</v>
      </c>
      <c r="E82" s="3116">
        <v>0.1</v>
      </c>
      <c r="F82" s="3116">
        <v>15</v>
      </c>
    </row>
    <row r="83" spans="1:6" ht="24">
      <c r="A83" s="3116">
        <v>11</v>
      </c>
      <c r="B83" s="3769"/>
      <c r="C83" s="3090" t="s">
        <v>2675</v>
      </c>
      <c r="D83" s="3090" t="s">
        <v>2676</v>
      </c>
      <c r="E83" s="3116">
        <v>0.1</v>
      </c>
      <c r="F83" s="3116">
        <v>15</v>
      </c>
    </row>
    <row r="84" spans="1:6" ht="24">
      <c r="A84" s="3116">
        <v>12</v>
      </c>
      <c r="B84" s="3769"/>
      <c r="C84" s="3090" t="s">
        <v>2677</v>
      </c>
      <c r="D84" s="3090" t="s">
        <v>2678</v>
      </c>
      <c r="E84" s="3116">
        <v>0.1</v>
      </c>
      <c r="F84" s="3116">
        <v>15</v>
      </c>
    </row>
    <row r="85" spans="1:6" ht="13.5">
      <c r="A85" s="3116">
        <v>13</v>
      </c>
      <c r="B85" s="3769"/>
      <c r="C85" s="3090" t="s">
        <v>2679</v>
      </c>
      <c r="D85" s="3090" t="s">
        <v>2680</v>
      </c>
      <c r="E85" s="3116">
        <v>0.1</v>
      </c>
      <c r="F85" s="3116">
        <v>15</v>
      </c>
    </row>
    <row r="86" spans="1:6" ht="13.5">
      <c r="A86" s="3116">
        <v>14</v>
      </c>
      <c r="B86" s="3769"/>
      <c r="C86" s="3090" t="s">
        <v>2681</v>
      </c>
      <c r="D86" s="3090" t="s">
        <v>2682</v>
      </c>
      <c r="E86" s="3116">
        <v>0.1</v>
      </c>
      <c r="F86" s="3116">
        <v>15</v>
      </c>
    </row>
    <row r="87" spans="1:6" ht="13.5">
      <c r="A87" s="3116">
        <v>15</v>
      </c>
      <c r="B87" s="3769"/>
      <c r="C87" s="3090" t="s">
        <v>2683</v>
      </c>
      <c r="D87" s="3090" t="s">
        <v>2684</v>
      </c>
      <c r="E87" s="3116">
        <v>0.1</v>
      </c>
      <c r="F87" s="3116">
        <v>15</v>
      </c>
    </row>
    <row r="88" spans="1:6" ht="24">
      <c r="A88" s="3116">
        <v>16</v>
      </c>
      <c r="B88" s="376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7" t="s">
        <v>2689</v>
      </c>
      <c r="C90" s="3090" t="s">
        <v>2690</v>
      </c>
      <c r="D90" s="3090" t="s">
        <v>2691</v>
      </c>
      <c r="E90" s="3116">
        <v>0.2</v>
      </c>
      <c r="F90" s="3116">
        <v>25</v>
      </c>
    </row>
    <row r="91" spans="1:6" ht="24">
      <c r="A91" s="3116">
        <v>19</v>
      </c>
      <c r="B91" s="3769"/>
      <c r="C91" s="3090" t="s">
        <v>2692</v>
      </c>
      <c r="D91" s="3090" t="s">
        <v>2693</v>
      </c>
      <c r="E91" s="3116">
        <v>0.2</v>
      </c>
      <c r="F91" s="3116">
        <v>25</v>
      </c>
    </row>
    <row r="92" spans="1:6" ht="13.5">
      <c r="A92" s="3116">
        <v>20</v>
      </c>
      <c r="B92" s="3769"/>
      <c r="C92" s="3090" t="s">
        <v>2694</v>
      </c>
      <c r="D92" s="3090" t="s">
        <v>2695</v>
      </c>
      <c r="E92" s="3116">
        <v>0.15</v>
      </c>
      <c r="F92" s="3116">
        <v>20</v>
      </c>
    </row>
    <row r="93" spans="1:6" ht="13.5">
      <c r="A93" s="3116">
        <v>21</v>
      </c>
      <c r="B93" s="3769"/>
      <c r="C93" s="3090" t="s">
        <v>2696</v>
      </c>
      <c r="D93" s="3090" t="s">
        <v>2697</v>
      </c>
      <c r="E93" s="3116">
        <v>0.15</v>
      </c>
      <c r="F93" s="3116">
        <v>20</v>
      </c>
    </row>
    <row r="94" spans="1:6" ht="13.5">
      <c r="A94" s="3116">
        <v>22</v>
      </c>
      <c r="B94" s="3769"/>
      <c r="C94" s="3090" t="s">
        <v>2698</v>
      </c>
      <c r="D94" s="3090" t="s">
        <v>2699</v>
      </c>
      <c r="E94" s="3116">
        <v>0.15</v>
      </c>
      <c r="F94" s="3116">
        <v>20</v>
      </c>
    </row>
    <row r="95" spans="1:6" ht="36">
      <c r="A95" s="3116">
        <v>23</v>
      </c>
      <c r="B95" s="3769"/>
      <c r="C95" s="3090" t="s">
        <v>2700</v>
      </c>
      <c r="D95" s="3090" t="s">
        <v>2701</v>
      </c>
      <c r="E95" s="3116">
        <v>0.15</v>
      </c>
      <c r="F95" s="3116">
        <v>20</v>
      </c>
    </row>
    <row r="96" spans="1:6" ht="13.5">
      <c r="A96" s="3116">
        <v>24</v>
      </c>
      <c r="B96" s="3769"/>
      <c r="C96" s="3090" t="s">
        <v>2702</v>
      </c>
      <c r="D96" s="3090" t="s">
        <v>2703</v>
      </c>
      <c r="E96" s="3116">
        <v>0.1</v>
      </c>
      <c r="F96" s="3116">
        <v>15</v>
      </c>
    </row>
    <row r="97" spans="1:6" ht="13.5">
      <c r="A97" s="3116">
        <v>25</v>
      </c>
      <c r="B97" s="3769"/>
      <c r="C97" s="3090" t="s">
        <v>2704</v>
      </c>
      <c r="D97" s="3090" t="s">
        <v>2705</v>
      </c>
      <c r="E97" s="3116">
        <v>0.1</v>
      </c>
      <c r="F97" s="3116">
        <v>15</v>
      </c>
    </row>
    <row r="98" spans="1:6" ht="24">
      <c r="A98" s="3116">
        <v>26</v>
      </c>
      <c r="B98" s="3769"/>
      <c r="C98" s="3090" t="s">
        <v>2706</v>
      </c>
      <c r="D98" s="3090" t="s">
        <v>2707</v>
      </c>
      <c r="E98" s="3116">
        <v>0.1</v>
      </c>
      <c r="F98" s="3116">
        <v>15</v>
      </c>
    </row>
    <row r="99" spans="1:6" ht="24">
      <c r="A99" s="3116">
        <v>27</v>
      </c>
      <c r="B99" s="3769"/>
      <c r="C99" s="3090" t="s">
        <v>2708</v>
      </c>
      <c r="D99" s="3090" t="s">
        <v>2709</v>
      </c>
      <c r="E99" s="3116">
        <v>0.1</v>
      </c>
      <c r="F99" s="3116">
        <v>15</v>
      </c>
    </row>
    <row r="100" spans="1:6" ht="13.5">
      <c r="A100" s="3116">
        <v>28</v>
      </c>
      <c r="B100" s="3769"/>
      <c r="C100" s="3090" t="s">
        <v>2710</v>
      </c>
      <c r="D100" s="3090" t="s">
        <v>2711</v>
      </c>
      <c r="E100" s="3116">
        <v>0.1</v>
      </c>
      <c r="F100" s="3116">
        <v>15</v>
      </c>
    </row>
    <row r="101" spans="1:6" ht="13.5">
      <c r="A101" s="3116">
        <v>29</v>
      </c>
      <c r="B101" s="3769"/>
      <c r="C101" s="3090" t="s">
        <v>2712</v>
      </c>
      <c r="D101" s="3090" t="s">
        <v>2713</v>
      </c>
      <c r="E101" s="3116">
        <v>0.1</v>
      </c>
      <c r="F101" s="3116">
        <v>15</v>
      </c>
    </row>
    <row r="102" spans="1:6" ht="13.5">
      <c r="A102" s="3116">
        <v>30</v>
      </c>
      <c r="B102" s="3769"/>
      <c r="C102" s="3090" t="s">
        <v>2714</v>
      </c>
      <c r="D102" s="3090" t="s">
        <v>2715</v>
      </c>
      <c r="E102" s="3116">
        <v>0.1</v>
      </c>
      <c r="F102" s="3116">
        <v>15</v>
      </c>
    </row>
    <row r="103" spans="1:6" ht="24">
      <c r="A103" s="3116">
        <v>31</v>
      </c>
      <c r="B103" s="3769"/>
      <c r="C103" s="3090" t="s">
        <v>2716</v>
      </c>
      <c r="D103" s="3090" t="s">
        <v>2717</v>
      </c>
      <c r="E103" s="3116">
        <v>0.1</v>
      </c>
      <c r="F103" s="3116">
        <v>15</v>
      </c>
    </row>
    <row r="104" spans="1:6" ht="24">
      <c r="A104" s="3116">
        <v>32</v>
      </c>
      <c r="B104" s="3769"/>
      <c r="C104" s="3090" t="s">
        <v>2718</v>
      </c>
      <c r="D104" s="3090" t="s">
        <v>2719</v>
      </c>
      <c r="E104" s="3116">
        <v>0.1</v>
      </c>
      <c r="F104" s="3116">
        <v>15</v>
      </c>
    </row>
    <row r="105" spans="1:6" ht="24">
      <c r="A105" s="3116">
        <v>33</v>
      </c>
      <c r="B105" s="376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7" t="s">
        <v>2724</v>
      </c>
      <c r="C107" s="3116" t="s">
        <v>2725</v>
      </c>
      <c r="D107" s="3090" t="s">
        <v>2726</v>
      </c>
      <c r="E107" s="3116">
        <v>0.15</v>
      </c>
      <c r="F107" s="3116">
        <v>20</v>
      </c>
    </row>
    <row r="108" spans="1:6" ht="13.5">
      <c r="A108" s="3116">
        <v>36</v>
      </c>
      <c r="B108" s="3769"/>
      <c r="C108" s="3116" t="s">
        <v>2727</v>
      </c>
      <c r="D108" s="3090" t="s">
        <v>2728</v>
      </c>
      <c r="E108" s="3116">
        <v>0.15</v>
      </c>
      <c r="F108" s="3116">
        <v>20</v>
      </c>
    </row>
    <row r="109" spans="1:6" ht="13.5">
      <c r="A109" s="3116">
        <v>37</v>
      </c>
      <c r="B109" s="3769"/>
      <c r="C109" s="3116" t="s">
        <v>2729</v>
      </c>
      <c r="D109" s="3090" t="s">
        <v>2730</v>
      </c>
      <c r="E109" s="3116">
        <v>0.15</v>
      </c>
      <c r="F109" s="3116">
        <v>20</v>
      </c>
    </row>
    <row r="110" spans="1:6" ht="13.5">
      <c r="A110" s="3116">
        <v>38</v>
      </c>
      <c r="B110" s="3769"/>
      <c r="C110" s="3116" t="s">
        <v>2731</v>
      </c>
      <c r="D110" s="3090" t="s">
        <v>2732</v>
      </c>
      <c r="E110" s="3116">
        <v>0.1</v>
      </c>
      <c r="F110" s="3116">
        <v>15</v>
      </c>
    </row>
    <row r="111" spans="1:6" ht="24">
      <c r="A111" s="3116">
        <v>39</v>
      </c>
      <c r="B111" s="376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6" t="s">
        <v>2737</v>
      </c>
      <c r="C113" s="3116" t="s">
        <v>2738</v>
      </c>
      <c r="D113" s="3090" t="s">
        <v>2739</v>
      </c>
      <c r="E113" s="3116">
        <v>0.1</v>
      </c>
      <c r="F113" s="3116">
        <v>15</v>
      </c>
    </row>
    <row r="114" spans="1:6" ht="13.5">
      <c r="A114" s="3116">
        <v>42</v>
      </c>
      <c r="B114" s="3766"/>
      <c r="C114" s="3116" t="s">
        <v>2740</v>
      </c>
      <c r="D114" s="3090" t="s">
        <v>2741</v>
      </c>
      <c r="E114" s="3116">
        <v>0.1</v>
      </c>
      <c r="F114" s="3116">
        <v>15</v>
      </c>
    </row>
    <row r="115" spans="1:6" ht="24">
      <c r="A115" s="3116">
        <v>43</v>
      </c>
      <c r="B115" s="3766"/>
      <c r="C115" s="3116" t="s">
        <v>2742</v>
      </c>
      <c r="D115" s="3090" t="s">
        <v>2743</v>
      </c>
      <c r="E115" s="3116">
        <v>0.1</v>
      </c>
      <c r="F115" s="3116">
        <v>15</v>
      </c>
    </row>
    <row r="116" spans="1:6" ht="13.5">
      <c r="A116" s="3116">
        <v>44</v>
      </c>
      <c r="B116" s="3767"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7"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7"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6" t="s">
        <v>2759</v>
      </c>
      <c r="C122" s="3116" t="s">
        <v>2760</v>
      </c>
      <c r="D122" s="3090" t="s">
        <v>2761</v>
      </c>
      <c r="E122" s="3116">
        <v>0.1</v>
      </c>
      <c r="F122" s="3116">
        <v>15</v>
      </c>
    </row>
    <row r="123" spans="1:6" ht="24">
      <c r="A123" s="3116">
        <v>51</v>
      </c>
      <c r="B123" s="3766"/>
      <c r="C123" s="3116" t="s">
        <v>2762</v>
      </c>
      <c r="D123" s="3090" t="s">
        <v>2763</v>
      </c>
      <c r="E123" s="3116">
        <v>0.1</v>
      </c>
      <c r="F123" s="3116">
        <v>15</v>
      </c>
    </row>
    <row r="124" spans="1:6" ht="24">
      <c r="A124" s="3116">
        <v>52</v>
      </c>
      <c r="B124" s="3766" t="s">
        <v>2764</v>
      </c>
      <c r="C124" s="3116" t="s">
        <v>2765</v>
      </c>
      <c r="D124" s="3090" t="s">
        <v>2766</v>
      </c>
      <c r="E124" s="3116">
        <v>0.1</v>
      </c>
      <c r="F124" s="3116">
        <v>15</v>
      </c>
    </row>
    <row r="125" spans="1:6" ht="24">
      <c r="A125" s="3116">
        <v>53</v>
      </c>
      <c r="B125" s="3766"/>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6" t="s">
        <v>2772</v>
      </c>
      <c r="C127" s="3116" t="s">
        <v>2773</v>
      </c>
      <c r="D127" s="3090" t="s">
        <v>2774</v>
      </c>
      <c r="E127" s="3116">
        <v>0.1</v>
      </c>
      <c r="F127" s="3116">
        <v>15</v>
      </c>
    </row>
    <row r="128" spans="1:6" ht="13.5">
      <c r="A128" s="3116">
        <v>56</v>
      </c>
      <c r="B128" s="3766"/>
      <c r="C128" s="3116" t="s">
        <v>2775</v>
      </c>
      <c r="D128" s="3090" t="s">
        <v>2776</v>
      </c>
      <c r="E128" s="3116">
        <v>0.1</v>
      </c>
      <c r="F128" s="3116">
        <v>15</v>
      </c>
    </row>
    <row r="129" spans="1:6" ht="24">
      <c r="A129" s="3116">
        <v>57</v>
      </c>
      <c r="B129" s="3766"/>
      <c r="C129" s="3116" t="s">
        <v>2777</v>
      </c>
      <c r="D129" s="3090" t="s">
        <v>2778</v>
      </c>
      <c r="E129" s="3116">
        <v>0.1</v>
      </c>
      <c r="F129" s="3116">
        <v>15</v>
      </c>
    </row>
    <row r="130" spans="1:6" ht="24">
      <c r="A130" s="3116">
        <v>58</v>
      </c>
      <c r="B130" s="3766" t="s">
        <v>2779</v>
      </c>
      <c r="C130" s="3116" t="s">
        <v>2780</v>
      </c>
      <c r="D130" s="3090" t="s">
        <v>2781</v>
      </c>
      <c r="E130" s="3116">
        <v>0.1</v>
      </c>
      <c r="F130" s="3116">
        <v>15</v>
      </c>
    </row>
    <row r="131" spans="1:6" ht="13.5">
      <c r="A131" s="3116">
        <v>59</v>
      </c>
      <c r="B131" s="3766"/>
      <c r="C131" s="3116" t="s">
        <v>2782</v>
      </c>
      <c r="D131" s="3090" t="s">
        <v>2783</v>
      </c>
      <c r="E131" s="3116">
        <v>0.1</v>
      </c>
      <c r="F131" s="3116">
        <v>15</v>
      </c>
    </row>
    <row r="132" spans="1:6" ht="13.5">
      <c r="A132" s="3116">
        <v>60</v>
      </c>
      <c r="B132" s="3767"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6" t="s">
        <v>2792</v>
      </c>
      <c r="C135" s="3116" t="s">
        <v>2793</v>
      </c>
      <c r="D135" s="3090" t="s">
        <v>2794</v>
      </c>
      <c r="E135" s="3116">
        <v>0.1</v>
      </c>
      <c r="F135" s="3116">
        <v>15</v>
      </c>
    </row>
    <row r="136" spans="1:6" ht="13.5">
      <c r="A136" s="3116">
        <v>64</v>
      </c>
      <c r="B136" s="3766"/>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估价结果一览表（市场价值不需“结果表-1”）</v>
      </c>
      <c r="B3" s="3465"/>
      <c r="C3" s="3465"/>
      <c r="D3" s="3465"/>
      <c r="E3" s="3465"/>
    </row>
    <row r="4" spans="1:5" ht="19.5" thickBot="1">
      <c r="A4" s="1491"/>
      <c r="B4" s="3463" t="s">
        <v>917</v>
      </c>
      <c r="C4" s="3463"/>
      <c r="D4" s="3463"/>
      <c r="E4" s="1491"/>
    </row>
    <row r="5" spans="1:5" ht="16.5" thickTop="1">
      <c r="A5" s="1489"/>
      <c r="B5" s="3461" t="s">
        <v>909</v>
      </c>
      <c r="C5" s="1492" t="s">
        <v>910</v>
      </c>
      <c r="D5" s="848">
        <f ca="1">结果表!H101</f>
        <v>2717</v>
      </c>
      <c r="E5" s="1489"/>
    </row>
    <row r="6" spans="1:5" ht="15.75">
      <c r="A6" s="1489"/>
      <c r="B6" s="3461"/>
      <c r="C6" s="1492" t="s">
        <v>911</v>
      </c>
      <c r="D6" s="848" t="str">
        <f ca="1">NUMBERSTRING(INT(D5*10000),2)&amp;"元整"</f>
        <v>贰仟柒佰壹拾柒万元整</v>
      </c>
      <c r="E6" s="1489"/>
    </row>
    <row r="7" spans="1:5" ht="15.75">
      <c r="A7" s="1489"/>
      <c r="B7" s="3466"/>
      <c r="C7" s="1493" t="s">
        <v>912</v>
      </c>
      <c r="D7" s="849">
        <f ca="1">结果表!H102</f>
        <v>30450</v>
      </c>
      <c r="E7" s="1489"/>
    </row>
    <row r="8" spans="1:5" ht="15.75">
      <c r="A8" s="1489"/>
      <c r="B8" s="3467" t="str">
        <f>结果表!E103</f>
        <v>2.估价师知悉的法定优先受偿款</v>
      </c>
      <c r="C8" s="1494" t="s">
        <v>913</v>
      </c>
      <c r="D8" s="849">
        <f>结果表!H103</f>
        <v>0</v>
      </c>
      <c r="E8" s="1489"/>
    </row>
    <row r="9" spans="1:5" ht="15.75">
      <c r="A9" s="1489"/>
      <c r="B9" s="3469"/>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0" t="str">
        <f>结果表!E107</f>
        <v>3.房地产抵押价值</v>
      </c>
      <c r="C13" s="1497" t="s">
        <v>910</v>
      </c>
      <c r="D13" s="851">
        <f ca="1">结果表!H107</f>
        <v>2717</v>
      </c>
      <c r="E13" s="1489"/>
    </row>
    <row r="14" spans="1:5" ht="15.75">
      <c r="A14" s="1489"/>
      <c r="B14" s="3461"/>
      <c r="C14" s="1492" t="s">
        <v>911</v>
      </c>
      <c r="D14" s="848" t="str">
        <f ca="1">NUMBERSTRING(INT(D13*10000),2)&amp;"元整"</f>
        <v>贰仟柒佰壹拾柒万元整</v>
      </c>
      <c r="E14" s="1489"/>
    </row>
    <row r="15" spans="1:5" ht="15">
      <c r="A15" s="1489"/>
      <c r="B15" s="3466"/>
      <c r="C15" s="1493" t="s">
        <v>921</v>
      </c>
      <c r="D15" s="857">
        <f ca="1">结果表!H108</f>
        <v>30450</v>
      </c>
      <c r="E15" s="1489"/>
    </row>
    <row r="16" spans="1:5" ht="15">
      <c r="A16" s="1489"/>
      <c r="B16" s="3467" t="str">
        <f>结果表!E109</f>
        <v>——</v>
      </c>
      <c r="C16" s="1497" t="s">
        <v>922</v>
      </c>
      <c r="D16" s="1498" t="str">
        <f>结果表!H109</f>
        <v>——</v>
      </c>
      <c r="E16" s="1489"/>
    </row>
    <row r="17" spans="1:5" ht="15.75">
      <c r="A17" s="1489"/>
      <c r="B17" s="3468"/>
      <c r="C17" s="1492" t="s">
        <v>923</v>
      </c>
      <c r="D17" s="848" t="e">
        <f>NUMBERSTRING(INT(D16*10000),2)&amp;"元整"</f>
        <v>#VALUE!</v>
      </c>
      <c r="E17" s="1489"/>
    </row>
    <row r="18" spans="1:5" ht="15">
      <c r="A18" s="1489"/>
      <c r="B18" s="3469"/>
      <c r="C18" s="1493" t="s">
        <v>912</v>
      </c>
      <c r="D18" s="857" t="str">
        <f>结果表!H110</f>
        <v>——</v>
      </c>
      <c r="E18" s="1489"/>
    </row>
    <row r="19" spans="1:5" ht="15.75">
      <c r="A19" s="1489"/>
      <c r="B19" s="3460" t="str">
        <f>结果表!E111</f>
        <v>——</v>
      </c>
      <c r="C19" s="1497" t="s">
        <v>910</v>
      </c>
      <c r="D19" s="849" t="str">
        <f>结果表!H111</f>
        <v>——</v>
      </c>
      <c r="E19" s="1489"/>
    </row>
    <row r="20" spans="1:5" ht="15.75">
      <c r="A20" s="1489"/>
      <c r="B20" s="3461"/>
      <c r="C20" s="1492" t="s">
        <v>923</v>
      </c>
      <c r="D20" s="848" t="e">
        <f>NUMBERSTRING(INT(D19*10000),2)&amp;"元整"</f>
        <v>#VALUE!</v>
      </c>
      <c r="E20" s="1489"/>
    </row>
    <row r="21" spans="1:5" ht="15.75" thickBot="1">
      <c r="A21" s="1489"/>
      <c r="B21" s="3462"/>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28238</v>
      </c>
      <c r="C2" s="2" t="s">
        <v>106</v>
      </c>
      <c r="D2" s="199"/>
      <c r="E2" s="199"/>
      <c r="F2" s="199"/>
      <c r="G2" s="199"/>
    </row>
    <row r="3" spans="1:7" s="200" customFormat="1" ht="18" customHeight="1" thickBot="1">
      <c r="A3" s="203" t="s">
        <v>58</v>
      </c>
      <c r="B3" s="204">
        <f ca="1">ROUND(B2*10000/'数据-汇总表'!E3,0)</f>
        <v>316445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18</v>
      </c>
      <c r="D10" s="843">
        <f>'数据-汇总表'!E6</f>
        <v>892.35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18</v>
      </c>
      <c r="D19" s="847">
        <f>'数据-汇总表'!E3</f>
        <v>892.35</v>
      </c>
      <c r="E19" s="211">
        <f>'数据-取费表'!B31</f>
        <v>200</v>
      </c>
      <c r="F19" s="231"/>
      <c r="G19" s="1" t="s">
        <v>436</v>
      </c>
    </row>
    <row r="20" spans="1:7" s="214" customFormat="1" ht="13.5" customHeight="1">
      <c r="A20" s="775" t="s">
        <v>419</v>
      </c>
      <c r="B20" s="210" t="s">
        <v>77</v>
      </c>
      <c r="C20" s="232">
        <f>ROUND((C5+C19)*F20,0)</f>
        <v>413</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1462</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1</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3156</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3156</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440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402</v>
      </c>
      <c r="D34" s="217"/>
      <c r="E34" s="220"/>
      <c r="F34" s="257">
        <f>IF('数据-取费表'!B24=0,1,'数据-取费表'!N16)</f>
        <v>1</v>
      </c>
      <c r="G34" s="219" t="s">
        <v>89</v>
      </c>
    </row>
    <row r="35" spans="1:7" ht="13.5" customHeight="1">
      <c r="A35" s="778" t="s">
        <v>351</v>
      </c>
      <c r="B35" s="215" t="s">
        <v>33</v>
      </c>
      <c r="C35" s="220">
        <f>ROUND(C34*F35,0)</f>
        <v>12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18</v>
      </c>
      <c r="D37" s="217">
        <f>'数据-汇总表'!E3</f>
        <v>892.35</v>
      </c>
      <c r="E37" s="249">
        <f>'数据-取费表'!B35</f>
        <v>200</v>
      </c>
      <c r="F37" s="259"/>
      <c r="G37" s="261" t="s">
        <v>92</v>
      </c>
    </row>
    <row r="38" spans="1:7" ht="13.5" customHeight="1">
      <c r="A38" s="778" t="s">
        <v>354</v>
      </c>
      <c r="B38" s="215" t="s">
        <v>36</v>
      </c>
      <c r="C38" s="220">
        <f>ROUND(C34*F38,0)</f>
        <v>8</v>
      </c>
      <c r="D38" s="220"/>
      <c r="E38" s="220"/>
      <c r="F38" s="259">
        <f>'数据-取费表'!B36</f>
        <v>0.02</v>
      </c>
      <c r="G38" s="219" t="s">
        <v>90</v>
      </c>
    </row>
    <row r="39" spans="1:7" s="214" customFormat="1" ht="13.5" customHeight="1">
      <c r="A39" s="775" t="s">
        <v>338</v>
      </c>
      <c r="B39" s="210" t="s">
        <v>77</v>
      </c>
      <c r="C39" s="232">
        <f>ROUND(C33*F20,0)</f>
        <v>9</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15</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15</v>
      </c>
      <c r="D42" s="238"/>
      <c r="E42" s="238"/>
      <c r="F42" s="239"/>
      <c r="G42" s="3642" t="s">
        <v>94</v>
      </c>
    </row>
    <row r="43" spans="1:7" ht="13.5" customHeight="1">
      <c r="A43" s="778" t="s">
        <v>347</v>
      </c>
      <c r="B43" s="215" t="s">
        <v>426</v>
      </c>
      <c r="C43" s="238">
        <f ca="1">ROUND(IF('数据-取费表'!B22&lt;=1,C39*F22*'数据-取费表'!B21/2,C39*(POWER((1+F22),'数据-取费表'!B21/2)-1)),0)</f>
        <v>0</v>
      </c>
      <c r="D43" s="238"/>
      <c r="E43" s="238"/>
      <c r="F43" s="239"/>
      <c r="G43" s="3643"/>
    </row>
    <row r="44" spans="1:7" ht="13.5" customHeight="1">
      <c r="A44" s="778"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5" t="s">
        <v>341</v>
      </c>
      <c r="B45" s="244" t="s">
        <v>85</v>
      </c>
      <c r="C45" s="245">
        <f>C46</f>
        <v>67</v>
      </c>
      <c r="D45" s="235">
        <f>C47</f>
        <v>3.0000000000000001E-3</v>
      </c>
      <c r="E45" s="236" t="s">
        <v>102</v>
      </c>
      <c r="F45" s="246"/>
      <c r="G45" s="247" t="s">
        <v>434</v>
      </c>
    </row>
    <row r="46" spans="1:7" s="214" customFormat="1" ht="13.5" customHeight="1">
      <c r="A46" s="778" t="s">
        <v>349</v>
      </c>
      <c r="B46" s="248" t="s">
        <v>427</v>
      </c>
      <c r="C46" s="249">
        <f>ROUND((C33+C39)*F27,0)</f>
        <v>67</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575</v>
      </c>
      <c r="D49" s="232"/>
      <c r="E49" s="232"/>
      <c r="F49" s="264"/>
      <c r="G49" s="234" t="s">
        <v>435</v>
      </c>
    </row>
    <row r="50" spans="1:7" s="258" customFormat="1" ht="24">
      <c r="A50" s="775" t="s">
        <v>344</v>
      </c>
      <c r="B50" s="210" t="s">
        <v>97</v>
      </c>
      <c r="C50" s="232"/>
      <c r="D50" s="232"/>
      <c r="E50" s="232"/>
      <c r="F50" s="264">
        <f>IF('数据-取费表'!B24=0,'数据-取费表'!N16,1)</f>
        <v>0.76</v>
      </c>
      <c r="G50" s="247" t="s">
        <v>98</v>
      </c>
    </row>
    <row r="51" spans="1:7" ht="16.5" customHeight="1">
      <c r="A51" s="775" t="s">
        <v>345</v>
      </c>
      <c r="B51" s="210" t="s">
        <v>105</v>
      </c>
      <c r="C51" s="232">
        <f ca="1">ROUND(C49*F50,0)</f>
        <v>437</v>
      </c>
      <c r="D51" s="232"/>
      <c r="E51" s="232"/>
      <c r="F51" s="264"/>
      <c r="G51" s="234" t="s">
        <v>37</v>
      </c>
    </row>
    <row r="52" spans="1:7" s="208" customFormat="1" ht="16.5" thickBot="1">
      <c r="A52" s="265" t="s">
        <v>38</v>
      </c>
      <c r="B52" s="266"/>
      <c r="C52" s="267">
        <f ca="1">C31+C51</f>
        <v>28238</v>
      </c>
      <c r="D52" s="266"/>
      <c r="E52" s="266"/>
      <c r="F52" s="266"/>
      <c r="G52" s="268"/>
    </row>
    <row r="55" spans="1:7" ht="15">
      <c r="B55" s="270" t="s">
        <v>39</v>
      </c>
      <c r="C55" s="271"/>
    </row>
    <row r="56" spans="1:7">
      <c r="B56" s="273" t="s">
        <v>40</v>
      </c>
      <c r="C56" s="274">
        <f ca="1">ROUND(C51/C52,3)</f>
        <v>1.4999999999999999E-2</v>
      </c>
    </row>
    <row r="57" spans="1:7">
      <c r="B57" s="273" t="s">
        <v>41</v>
      </c>
      <c r="C57" s="275">
        <f ca="1">1-C56</f>
        <v>0.98499999999999999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tabColor rgb="FF92D050"/>
    <pageSetUpPr fitToPage="1"/>
  </sheetPr>
  <dimension ref="A1:AC132"/>
  <sheetViews>
    <sheetView view="pageBreakPreview" topLeftCell="A19" zoomScale="85" zoomScaleNormal="70" zoomScaleSheetLayoutView="85" workbookViewId="0">
      <selection activeCell="K28" sqref="K2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3397</v>
      </c>
      <c r="F1" s="1877" t="s">
        <v>3437</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685</v>
      </c>
      <c r="B2" s="1162">
        <f>IF(E1="项目模式",IF(C2="——",ROUND(C50*D3/10000,0),ROUND(C50*D3/10000,0)-D2),IF(E1="单套模式",IF(C2="——",ROUND(C50*D3/10000,4),ROUND(C50*D3/10000,4)-D2)))</f>
        <v>0.4551</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686</v>
      </c>
      <c r="B3" s="558">
        <f>IF(C2="——",C50,ROUND(B2*10000/D3,0))</f>
        <v>5.0999999999999996</v>
      </c>
      <c r="C3" s="354" t="s">
        <v>1665</v>
      </c>
      <c r="D3" s="353">
        <f>IF(D1="",'数据-汇总表'!E3,SUMIF('数据-汇总表'!$C19:$C33,D1,'数据-汇总表'!$E19:$E33))</f>
        <v>892.35</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68" t="s">
        <v>1667</v>
      </c>
      <c r="D4" s="3669"/>
      <c r="E4" s="3670" t="s">
        <v>1668</v>
      </c>
      <c r="F4" s="3671"/>
      <c r="G4" s="3668" t="s">
        <v>1669</v>
      </c>
      <c r="H4" s="3669"/>
      <c r="I4" s="3668" t="s">
        <v>1670</v>
      </c>
      <c r="J4" s="3669"/>
      <c r="K4" s="559" t="s">
        <v>1671</v>
      </c>
      <c r="L4" s="2713"/>
      <c r="M4" s="2714"/>
      <c r="N4" s="2714"/>
      <c r="O4" s="2714"/>
      <c r="P4" s="3672" t="s">
        <v>1672</v>
      </c>
      <c r="Q4" s="3673"/>
      <c r="R4" s="3678" t="s">
        <v>1668</v>
      </c>
      <c r="S4" s="3679"/>
      <c r="T4" s="3678" t="s">
        <v>1669</v>
      </c>
      <c r="U4" s="3679"/>
      <c r="V4" s="3684" t="s">
        <v>1670</v>
      </c>
      <c r="W4" s="3684"/>
      <c r="X4" s="3454"/>
      <c r="Y4" s="3678" t="s">
        <v>1672</v>
      </c>
      <c r="Z4" s="3679"/>
      <c r="AA4" s="3696" t="s">
        <v>1668</v>
      </c>
      <c r="AB4" s="3696" t="s">
        <v>1669</v>
      </c>
      <c r="AC4" s="3665" t="s">
        <v>1670</v>
      </c>
    </row>
    <row r="5" spans="1:29" ht="15">
      <c r="A5" s="358"/>
      <c r="B5" s="359"/>
      <c r="C5" s="3688" t="s">
        <v>1673</v>
      </c>
      <c r="D5" s="3689"/>
      <c r="E5" s="3699" t="s">
        <v>1674</v>
      </c>
      <c r="F5" s="3700"/>
      <c r="G5" s="3688" t="s">
        <v>1675</v>
      </c>
      <c r="H5" s="3689"/>
      <c r="I5" s="3688" t="s">
        <v>1676</v>
      </c>
      <c r="J5" s="3689"/>
      <c r="K5" s="559"/>
      <c r="L5" s="2713"/>
      <c r="M5" s="2714"/>
      <c r="N5" s="2714"/>
      <c r="O5" s="2714"/>
      <c r="P5" s="3674"/>
      <c r="Q5" s="3675"/>
      <c r="R5" s="3680"/>
      <c r="S5" s="3681"/>
      <c r="T5" s="3680"/>
      <c r="U5" s="3681"/>
      <c r="V5" s="3685"/>
      <c r="W5" s="3685"/>
      <c r="X5" s="3452"/>
      <c r="Y5" s="3680"/>
      <c r="Z5" s="3681"/>
      <c r="AA5" s="3697"/>
      <c r="AB5" s="3697"/>
      <c r="AC5" s="3666"/>
    </row>
    <row r="6" spans="1:29" ht="15.75" thickBot="1">
      <c r="A6" s="360"/>
      <c r="B6" s="361"/>
      <c r="C6" s="3686" t="s">
        <v>1677</v>
      </c>
      <c r="D6" s="3687"/>
      <c r="E6" s="3694" t="s">
        <v>1677</v>
      </c>
      <c r="F6" s="3695"/>
      <c r="G6" s="3686" t="s">
        <v>1677</v>
      </c>
      <c r="H6" s="3687"/>
      <c r="I6" s="3686" t="s">
        <v>1677</v>
      </c>
      <c r="J6" s="3687"/>
      <c r="K6" s="559" t="s">
        <v>1678</v>
      </c>
      <c r="L6" s="2713"/>
      <c r="M6" s="2714"/>
      <c r="N6" s="2714"/>
      <c r="O6" s="2714"/>
      <c r="P6" s="3676"/>
      <c r="Q6" s="3677"/>
      <c r="R6" s="3680"/>
      <c r="S6" s="3681"/>
      <c r="T6" s="3682"/>
      <c r="U6" s="3683"/>
      <c r="V6" s="3685"/>
      <c r="W6" s="3685"/>
      <c r="X6" s="3452"/>
      <c r="Y6" s="3682"/>
      <c r="Z6" s="3683"/>
      <c r="AA6" s="3698"/>
      <c r="AB6" s="3698"/>
      <c r="AC6" s="3667"/>
    </row>
    <row r="7" spans="1:29" s="108" customFormat="1" ht="15.75" thickBot="1">
      <c r="A7" s="362" t="s">
        <v>1679</v>
      </c>
      <c r="B7" s="363"/>
      <c r="C7" s="364">
        <f>'数据-取费表'!B2</f>
        <v>45481</v>
      </c>
      <c r="D7" s="365">
        <v>100</v>
      </c>
      <c r="E7" s="366">
        <v>45474</v>
      </c>
      <c r="F7" s="367">
        <f>SUMIF(59:59,YEAR(E7)&amp;"-"&amp;MONTH(E7),60:60)</f>
        <v>100</v>
      </c>
      <c r="G7" s="366">
        <v>45474</v>
      </c>
      <c r="H7" s="365">
        <f>SUMIF(59:59,YEAR(G7)&amp;"-"&amp;MONTH(G7),60:60)</f>
        <v>100</v>
      </c>
      <c r="I7" s="366">
        <v>45474</v>
      </c>
      <c r="J7" s="365">
        <f>SUMIF(59:59,YEAR(I7)&amp;"-"&amp;MONTH(I7),60:60)</f>
        <v>100</v>
      </c>
      <c r="K7" s="560"/>
      <c r="L7" s="2715"/>
      <c r="M7" s="2716"/>
      <c r="N7" s="2716"/>
      <c r="O7" s="2716"/>
      <c r="P7" s="3690" t="s">
        <v>1680</v>
      </c>
      <c r="Q7" s="3693"/>
      <c r="R7" s="699" t="s">
        <v>14</v>
      </c>
      <c r="S7" s="700">
        <f t="shared" ref="S7:S15" si="0">F7</f>
        <v>100</v>
      </c>
      <c r="T7" s="699" t="s">
        <v>14</v>
      </c>
      <c r="U7" s="700">
        <f t="shared" ref="U7:U15" si="1">H7</f>
        <v>100</v>
      </c>
      <c r="V7" s="699" t="s">
        <v>14</v>
      </c>
      <c r="W7" s="700">
        <f t="shared" ref="W7:W15" si="2">J7</f>
        <v>100</v>
      </c>
      <c r="X7" s="701"/>
      <c r="Y7" s="3692" t="s">
        <v>1680</v>
      </c>
      <c r="Z7" s="3691"/>
      <c r="AA7" s="702">
        <f>D7/F7</f>
        <v>1</v>
      </c>
      <c r="AB7" s="702">
        <f>D7/H7</f>
        <v>1</v>
      </c>
      <c r="AC7" s="1957">
        <f>D7/J7</f>
        <v>1</v>
      </c>
    </row>
    <row r="8" spans="1:29" s="108" customFormat="1" ht="15.75" thickBot="1">
      <c r="A8" s="362" t="s">
        <v>1681</v>
      </c>
      <c r="B8" s="363"/>
      <c r="C8" s="368" t="s">
        <v>3398</v>
      </c>
      <c r="D8" s="365">
        <v>100</v>
      </c>
      <c r="E8" s="368" t="s">
        <v>3399</v>
      </c>
      <c r="F8" s="367">
        <f>SUMIF(62:62,E8,63:63)-SUMIF(62:62,C8,63:63)+100</f>
        <v>102</v>
      </c>
      <c r="G8" s="368" t="s">
        <v>3399</v>
      </c>
      <c r="H8" s="365">
        <f>SUMIF(62:62,G8,63:63)-SUMIF(62:62,C8,63:63)+100</f>
        <v>102</v>
      </c>
      <c r="I8" s="368" t="s">
        <v>3399</v>
      </c>
      <c r="J8" s="365">
        <f>SUMIF(62:62,I8,63:63)-SUMIF(62:62,C8,63:63)+100</f>
        <v>102</v>
      </c>
      <c r="K8" s="560"/>
      <c r="L8" s="2715"/>
      <c r="M8" s="2716"/>
      <c r="N8" s="2716"/>
      <c r="O8" s="2716"/>
      <c r="P8" s="3690" t="s">
        <v>1683</v>
      </c>
      <c r="Q8" s="3691"/>
      <c r="R8" s="699" t="s">
        <v>14</v>
      </c>
      <c r="S8" s="700">
        <f t="shared" si="0"/>
        <v>102</v>
      </c>
      <c r="T8" s="699" t="s">
        <v>14</v>
      </c>
      <c r="U8" s="700">
        <f t="shared" si="1"/>
        <v>102</v>
      </c>
      <c r="V8" s="699" t="s">
        <v>14</v>
      </c>
      <c r="W8" s="700">
        <f t="shared" si="2"/>
        <v>102</v>
      </c>
      <c r="X8" s="701"/>
      <c r="Y8" s="3692" t="s">
        <v>1683</v>
      </c>
      <c r="Z8" s="3691"/>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8" t="s">
        <v>3430</v>
      </c>
      <c r="D9" s="126">
        <v>100</v>
      </c>
      <c r="E9" s="373" t="s">
        <v>21</v>
      </c>
      <c r="F9" s="126">
        <f>SUMIF(64:64,E9,65:65)-SUMIF(64:64,C9,65:65)+100</f>
        <v>100</v>
      </c>
      <c r="G9" s="373" t="s">
        <v>21</v>
      </c>
      <c r="H9" s="126">
        <f>SUMIF(64:64,G9,65:65)-SUMIF(64:64,C9,65:65)+100</f>
        <v>100</v>
      </c>
      <c r="I9" s="373" t="s">
        <v>21</v>
      </c>
      <c r="J9" s="126">
        <f>SUMIF(64:64,I9,65:65)-SUMIF(64:64,C9,65:65)+100</f>
        <v>100</v>
      </c>
      <c r="K9" s="560"/>
      <c r="L9" s="2715"/>
      <c r="M9" s="2716"/>
      <c r="N9" s="2716"/>
      <c r="O9" s="2716"/>
      <c r="P9" s="3650" t="s">
        <v>1686</v>
      </c>
      <c r="Q9" s="3448" t="str">
        <f t="shared" ref="Q9:Q15" si="6">B9</f>
        <v>用途</v>
      </c>
      <c r="R9" s="699" t="s">
        <v>14</v>
      </c>
      <c r="S9" s="700">
        <f t="shared" si="0"/>
        <v>100</v>
      </c>
      <c r="T9" s="699" t="s">
        <v>14</v>
      </c>
      <c r="U9" s="700">
        <f t="shared" si="1"/>
        <v>100</v>
      </c>
      <c r="V9" s="699" t="s">
        <v>14</v>
      </c>
      <c r="W9" s="700">
        <f t="shared" si="2"/>
        <v>100</v>
      </c>
      <c r="X9" s="701"/>
      <c r="Y9" s="3549" t="s">
        <v>1687</v>
      </c>
      <c r="Z9" s="3447"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50"/>
      <c r="Q10" s="3448" t="str">
        <f t="shared" si="6"/>
        <v>土地使用年限（年）</v>
      </c>
      <c r="R10" s="699" t="s">
        <v>14</v>
      </c>
      <c r="S10" s="700">
        <f t="shared" si="0"/>
        <v>100</v>
      </c>
      <c r="T10" s="699" t="s">
        <v>14</v>
      </c>
      <c r="U10" s="700">
        <f t="shared" si="1"/>
        <v>100</v>
      </c>
      <c r="V10" s="699" t="s">
        <v>14</v>
      </c>
      <c r="W10" s="700">
        <f t="shared" si="2"/>
        <v>100</v>
      </c>
      <c r="X10" s="701"/>
      <c r="Y10" s="3549"/>
      <c r="Z10" s="3447"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50"/>
      <c r="Q11" s="3448" t="str">
        <f t="shared" si="6"/>
        <v>容积率</v>
      </c>
      <c r="R11" s="699" t="s">
        <v>14</v>
      </c>
      <c r="S11" s="700">
        <f t="shared" si="0"/>
        <v>100</v>
      </c>
      <c r="T11" s="699" t="s">
        <v>14</v>
      </c>
      <c r="U11" s="700">
        <f t="shared" si="1"/>
        <v>100</v>
      </c>
      <c r="V11" s="699" t="s">
        <v>14</v>
      </c>
      <c r="W11" s="700">
        <f t="shared" si="2"/>
        <v>100</v>
      </c>
      <c r="X11" s="701"/>
      <c r="Y11" s="3549"/>
      <c r="Z11" s="3447"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50"/>
      <c r="Q12" s="3448">
        <f t="shared" si="6"/>
        <v>111</v>
      </c>
      <c r="R12" s="699" t="s">
        <v>14</v>
      </c>
      <c r="S12" s="700">
        <f t="shared" si="0"/>
        <v>100</v>
      </c>
      <c r="T12" s="699" t="s">
        <v>14</v>
      </c>
      <c r="U12" s="700">
        <f t="shared" si="1"/>
        <v>100</v>
      </c>
      <c r="V12" s="699" t="s">
        <v>14</v>
      </c>
      <c r="W12" s="700">
        <f t="shared" si="2"/>
        <v>100</v>
      </c>
      <c r="X12" s="701"/>
      <c r="Y12" s="3549"/>
      <c r="Z12" s="3447">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50"/>
      <c r="Q13" s="3448">
        <f t="shared" si="6"/>
        <v>111</v>
      </c>
      <c r="R13" s="699" t="s">
        <v>14</v>
      </c>
      <c r="S13" s="700">
        <f t="shared" si="0"/>
        <v>100</v>
      </c>
      <c r="T13" s="699" t="s">
        <v>14</v>
      </c>
      <c r="U13" s="700">
        <f t="shared" si="1"/>
        <v>100</v>
      </c>
      <c r="V13" s="699" t="s">
        <v>14</v>
      </c>
      <c r="W13" s="700">
        <f t="shared" si="2"/>
        <v>100</v>
      </c>
      <c r="X13" s="701"/>
      <c r="Y13" s="3549"/>
      <c r="Z13" s="3447">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50"/>
      <c r="Q14" s="3448">
        <f t="shared" si="6"/>
        <v>111</v>
      </c>
      <c r="R14" s="699" t="s">
        <v>14</v>
      </c>
      <c r="S14" s="700">
        <f t="shared" si="0"/>
        <v>100</v>
      </c>
      <c r="T14" s="699" t="s">
        <v>14</v>
      </c>
      <c r="U14" s="700">
        <f t="shared" si="1"/>
        <v>100</v>
      </c>
      <c r="V14" s="699" t="s">
        <v>14</v>
      </c>
      <c r="W14" s="700">
        <f t="shared" si="2"/>
        <v>100</v>
      </c>
      <c r="X14" s="701"/>
      <c r="Y14" s="3549"/>
      <c r="Z14" s="3447">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56" t="s">
        <v>1691</v>
      </c>
      <c r="Q15" s="3450" t="str">
        <f t="shared" si="6"/>
        <v>办公集聚程度</v>
      </c>
      <c r="R15" s="703" t="s">
        <v>14</v>
      </c>
      <c r="S15" s="704">
        <f t="shared" si="0"/>
        <v>100</v>
      </c>
      <c r="T15" s="703" t="s">
        <v>14</v>
      </c>
      <c r="U15" s="704">
        <f t="shared" si="1"/>
        <v>100</v>
      </c>
      <c r="V15" s="703" t="s">
        <v>14</v>
      </c>
      <c r="W15" s="704">
        <f t="shared" si="2"/>
        <v>100</v>
      </c>
      <c r="X15" s="3452"/>
      <c r="Y15" s="3658" t="s">
        <v>1691</v>
      </c>
      <c r="Z15" s="3453" t="str">
        <f t="shared" si="7"/>
        <v>办公集聚程度</v>
      </c>
      <c r="AA15" s="3451">
        <f t="shared" si="3"/>
        <v>1</v>
      </c>
      <c r="AB15" s="3451">
        <f t="shared" si="4"/>
        <v>1</v>
      </c>
      <c r="AC15" s="1960">
        <f t="shared" si="5"/>
        <v>1</v>
      </c>
    </row>
    <row r="16" spans="1:29" ht="15">
      <c r="A16" s="379"/>
      <c r="B16" s="578"/>
      <c r="C16" s="1902" t="s">
        <v>3431</v>
      </c>
      <c r="D16" s="399"/>
      <c r="E16" s="1902" t="s">
        <v>3431</v>
      </c>
      <c r="F16" s="399"/>
      <c r="G16" s="1902" t="s">
        <v>3431</v>
      </c>
      <c r="H16" s="401"/>
      <c r="I16" s="1902" t="s">
        <v>3431</v>
      </c>
      <c r="J16" s="399"/>
      <c r="K16" s="564"/>
      <c r="L16" s="2720"/>
      <c r="M16" s="2714"/>
      <c r="N16" s="2714"/>
      <c r="O16" s="2714"/>
      <c r="P16" s="3657"/>
      <c r="Q16" s="3450"/>
      <c r="R16" s="703"/>
      <c r="S16" s="704"/>
      <c r="T16" s="703"/>
      <c r="U16" s="704"/>
      <c r="V16" s="703"/>
      <c r="W16" s="704"/>
      <c r="X16" s="3452"/>
      <c r="Y16" s="3659"/>
      <c r="Z16" s="3453"/>
      <c r="AA16" s="3451">
        <v>1</v>
      </c>
      <c r="AB16" s="34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57"/>
      <c r="Q17" s="3450" t="str">
        <f>B17</f>
        <v>交通便捷度</v>
      </c>
      <c r="R17" s="703" t="s">
        <v>14</v>
      </c>
      <c r="S17" s="704">
        <f>F17</f>
        <v>100</v>
      </c>
      <c r="T17" s="703" t="s">
        <v>14</v>
      </c>
      <c r="U17" s="704">
        <f>H17</f>
        <v>100</v>
      </c>
      <c r="V17" s="703" t="s">
        <v>14</v>
      </c>
      <c r="W17" s="704">
        <f>J17</f>
        <v>100</v>
      </c>
      <c r="X17" s="3452"/>
      <c r="Y17" s="3659"/>
      <c r="Z17" s="3453" t="str">
        <f>Q17</f>
        <v>交通便捷度</v>
      </c>
      <c r="AA17" s="3451">
        <f t="shared" si="3"/>
        <v>1</v>
      </c>
      <c r="AB17" s="3451">
        <f t="shared" si="4"/>
        <v>1</v>
      </c>
      <c r="AC17" s="1960">
        <f t="shared" si="5"/>
        <v>1</v>
      </c>
    </row>
    <row r="18" spans="1:29" ht="15">
      <c r="A18" s="379"/>
      <c r="B18" s="580"/>
      <c r="C18" s="1962" t="s">
        <v>3431</v>
      </c>
      <c r="D18" s="401"/>
      <c r="E18" s="1902" t="s">
        <v>3431</v>
      </c>
      <c r="F18" s="401"/>
      <c r="G18" s="1902" t="s">
        <v>3431</v>
      </c>
      <c r="H18" s="399"/>
      <c r="I18" s="1902" t="s">
        <v>3431</v>
      </c>
      <c r="J18" s="399"/>
      <c r="K18" s="564"/>
      <c r="L18" s="2720"/>
      <c r="M18" s="2714"/>
      <c r="N18" s="2714"/>
      <c r="O18" s="2714"/>
      <c r="P18" s="3657"/>
      <c r="Q18" s="3450"/>
      <c r="R18" s="703"/>
      <c r="S18" s="704"/>
      <c r="T18" s="703"/>
      <c r="U18" s="704"/>
      <c r="V18" s="703"/>
      <c r="W18" s="704"/>
      <c r="X18" s="3452"/>
      <c r="Y18" s="3659"/>
      <c r="Z18" s="3453"/>
      <c r="AA18" s="3451">
        <v>1</v>
      </c>
      <c r="AB18" s="34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57"/>
      <c r="Q19" s="3450" t="str">
        <f>B19</f>
        <v>公共配套设施</v>
      </c>
      <c r="R19" s="703" t="s">
        <v>14</v>
      </c>
      <c r="S19" s="704">
        <f>F19</f>
        <v>100</v>
      </c>
      <c r="T19" s="703" t="s">
        <v>14</v>
      </c>
      <c r="U19" s="704">
        <f>H19</f>
        <v>100</v>
      </c>
      <c r="V19" s="703" t="s">
        <v>14</v>
      </c>
      <c r="W19" s="704">
        <f>J19</f>
        <v>100</v>
      </c>
      <c r="X19" s="3452"/>
      <c r="Y19" s="3659"/>
      <c r="Z19" s="3453" t="str">
        <f>Q19</f>
        <v>公共配套设施</v>
      </c>
      <c r="AA19" s="3451">
        <f t="shared" si="3"/>
        <v>1</v>
      </c>
      <c r="AB19" s="3451">
        <f t="shared" si="4"/>
        <v>1</v>
      </c>
      <c r="AC19" s="1960">
        <f t="shared" si="5"/>
        <v>1</v>
      </c>
    </row>
    <row r="20" spans="1:29" ht="15">
      <c r="A20" s="379"/>
      <c r="B20" s="580"/>
      <c r="C20" s="1902" t="s">
        <v>3431</v>
      </c>
      <c r="D20" s="399"/>
      <c r="E20" s="1902" t="s">
        <v>3431</v>
      </c>
      <c r="F20" s="399"/>
      <c r="G20" s="1902" t="s">
        <v>3431</v>
      </c>
      <c r="H20" s="399"/>
      <c r="I20" s="1902" t="s">
        <v>3431</v>
      </c>
      <c r="J20" s="399"/>
      <c r="K20" s="564"/>
      <c r="L20" s="2720"/>
      <c r="M20" s="2714"/>
      <c r="N20" s="2714"/>
      <c r="O20" s="2714"/>
      <c r="P20" s="3657"/>
      <c r="Q20" s="3450"/>
      <c r="R20" s="703"/>
      <c r="S20" s="704"/>
      <c r="T20" s="703"/>
      <c r="U20" s="704"/>
      <c r="V20" s="703"/>
      <c r="W20" s="704"/>
      <c r="X20" s="3452"/>
      <c r="Y20" s="3659"/>
      <c r="Z20" s="3453"/>
      <c r="AA20" s="3451">
        <v>1</v>
      </c>
      <c r="AB20" s="34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57"/>
      <c r="Q21" s="3450" t="str">
        <f>B21</f>
        <v>基础设施水平</v>
      </c>
      <c r="R21" s="703" t="s">
        <v>14</v>
      </c>
      <c r="S21" s="704">
        <f>F21</f>
        <v>100</v>
      </c>
      <c r="T21" s="703" t="s">
        <v>14</v>
      </c>
      <c r="U21" s="704">
        <f>H21</f>
        <v>100</v>
      </c>
      <c r="V21" s="703" t="s">
        <v>14</v>
      </c>
      <c r="W21" s="704">
        <f>J21</f>
        <v>100</v>
      </c>
      <c r="X21" s="3452"/>
      <c r="Y21" s="3659"/>
      <c r="Z21" s="3453" t="str">
        <f>Q21</f>
        <v>基础设施水平</v>
      </c>
      <c r="AA21" s="3451">
        <f t="shared" ref="AA21" si="8">D21/F21</f>
        <v>1</v>
      </c>
      <c r="AB21" s="3451">
        <f t="shared" ref="AB21" si="9">D21/H21</f>
        <v>1</v>
      </c>
      <c r="AC21" s="1960">
        <f t="shared" ref="AC21" si="10">D21/J21</f>
        <v>1</v>
      </c>
    </row>
    <row r="22" spans="1:29" ht="15">
      <c r="A22" s="379"/>
      <c r="B22" s="581"/>
      <c r="C22" s="1962" t="s">
        <v>3422</v>
      </c>
      <c r="D22" s="399"/>
      <c r="E22" s="1962" t="s">
        <v>3422</v>
      </c>
      <c r="F22" s="399"/>
      <c r="G22" s="1962" t="s">
        <v>3422</v>
      </c>
      <c r="H22" s="399"/>
      <c r="I22" s="1962" t="s">
        <v>3422</v>
      </c>
      <c r="J22" s="399"/>
      <c r="K22" s="1128"/>
      <c r="L22" s="2720"/>
      <c r="M22" s="2714"/>
      <c r="N22" s="2714"/>
      <c r="O22" s="2714"/>
      <c r="P22" s="3657"/>
      <c r="Q22" s="3450"/>
      <c r="R22" s="703"/>
      <c r="S22" s="704"/>
      <c r="T22" s="703"/>
      <c r="U22" s="704"/>
      <c r="V22" s="703"/>
      <c r="W22" s="704"/>
      <c r="X22" s="3452"/>
      <c r="Y22" s="3659"/>
      <c r="Z22" s="3453"/>
      <c r="AA22" s="3451">
        <v>1</v>
      </c>
      <c r="AB22" s="34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57"/>
      <c r="Q23" s="3450" t="str">
        <f>B23</f>
        <v>环境质量</v>
      </c>
      <c r="R23" s="703" t="s">
        <v>14</v>
      </c>
      <c r="S23" s="704">
        <f>F23</f>
        <v>100</v>
      </c>
      <c r="T23" s="703" t="s">
        <v>14</v>
      </c>
      <c r="U23" s="704">
        <f>H23</f>
        <v>100</v>
      </c>
      <c r="V23" s="703" t="s">
        <v>14</v>
      </c>
      <c r="W23" s="704">
        <f>J23</f>
        <v>100</v>
      </c>
      <c r="X23" s="3452"/>
      <c r="Y23" s="3659"/>
      <c r="Z23" s="3453" t="str">
        <f>Q23</f>
        <v>环境质量</v>
      </c>
      <c r="AA23" s="3451">
        <f t="shared" si="3"/>
        <v>1</v>
      </c>
      <c r="AB23" s="3451">
        <f t="shared" si="4"/>
        <v>1</v>
      </c>
      <c r="AC23" s="1960">
        <f t="shared" si="5"/>
        <v>1</v>
      </c>
    </row>
    <row r="24" spans="1:29" ht="15">
      <c r="A24" s="379"/>
      <c r="B24" s="581"/>
      <c r="C24" s="1902" t="s">
        <v>3431</v>
      </c>
      <c r="D24" s="399"/>
      <c r="E24" s="1902" t="s">
        <v>3431</v>
      </c>
      <c r="F24" s="399"/>
      <c r="G24" s="1902" t="s">
        <v>3431</v>
      </c>
      <c r="H24" s="399"/>
      <c r="I24" s="1902" t="s">
        <v>3431</v>
      </c>
      <c r="J24" s="399"/>
      <c r="K24" s="564"/>
      <c r="L24" s="2720"/>
      <c r="M24" s="2714"/>
      <c r="N24" s="2714"/>
      <c r="O24" s="2714"/>
      <c r="P24" s="3657"/>
      <c r="Q24" s="3450"/>
      <c r="R24" s="703"/>
      <c r="S24" s="704"/>
      <c r="T24" s="703"/>
      <c r="U24" s="704"/>
      <c r="V24" s="703"/>
      <c r="W24" s="704"/>
      <c r="X24" s="3452"/>
      <c r="Y24" s="3659"/>
      <c r="Z24" s="3453"/>
      <c r="AA24" s="3451">
        <v>1</v>
      </c>
      <c r="AB24" s="34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v>2</v>
      </c>
      <c r="L25" s="2720"/>
      <c r="M25" s="2714"/>
      <c r="N25" s="2714"/>
      <c r="O25" s="2714"/>
      <c r="P25" s="3657"/>
      <c r="Q25" s="3450" t="str">
        <f>B25</f>
        <v>毗邻道路的类型与等级</v>
      </c>
      <c r="R25" s="703" t="s">
        <v>14</v>
      </c>
      <c r="S25" s="704">
        <f>F25</f>
        <v>100</v>
      </c>
      <c r="T25" s="703" t="s">
        <v>14</v>
      </c>
      <c r="U25" s="704">
        <f>H25</f>
        <v>100</v>
      </c>
      <c r="V25" s="703" t="s">
        <v>14</v>
      </c>
      <c r="W25" s="704">
        <f>J25</f>
        <v>100</v>
      </c>
      <c r="X25" s="3452"/>
      <c r="Y25" s="3659"/>
      <c r="Z25" s="3453" t="str">
        <f>Q25</f>
        <v>毗邻道路的类型与等级</v>
      </c>
      <c r="AA25" s="3451">
        <f t="shared" si="3"/>
        <v>1</v>
      </c>
      <c r="AB25" s="3451">
        <f t="shared" si="4"/>
        <v>1</v>
      </c>
      <c r="AC25" s="1960">
        <f t="shared" si="5"/>
        <v>1</v>
      </c>
    </row>
    <row r="26" spans="1:29" ht="15">
      <c r="A26" s="358"/>
      <c r="B26" s="580"/>
      <c r="C26" s="582" t="s">
        <v>3401</v>
      </c>
      <c r="D26" s="386"/>
      <c r="E26" s="565" t="s">
        <v>3401</v>
      </c>
      <c r="F26" s="386"/>
      <c r="G26" s="565" t="s">
        <v>3401</v>
      </c>
      <c r="H26" s="386"/>
      <c r="I26" s="565" t="s">
        <v>3401</v>
      </c>
      <c r="J26" s="386"/>
      <c r="K26" s="564"/>
      <c r="L26" s="2720"/>
      <c r="M26" s="2714"/>
      <c r="N26" s="2714"/>
      <c r="O26" s="2714"/>
      <c r="P26" s="3657"/>
      <c r="Q26" s="3450"/>
      <c r="R26" s="703"/>
      <c r="S26" s="704"/>
      <c r="T26" s="703"/>
      <c r="U26" s="704"/>
      <c r="V26" s="703"/>
      <c r="W26" s="704"/>
      <c r="X26" s="3452"/>
      <c r="Y26" s="3659"/>
      <c r="Z26" s="3453"/>
      <c r="AA26" s="3451">
        <v>1</v>
      </c>
      <c r="AB26" s="3451">
        <v>1</v>
      </c>
      <c r="AC26" s="1960">
        <v>1</v>
      </c>
    </row>
    <row r="27" spans="1:29" ht="15">
      <c r="A27" s="379"/>
      <c r="B27" s="580" t="s">
        <v>1783</v>
      </c>
      <c r="C27" s="582" t="s">
        <v>3411</v>
      </c>
      <c r="D27" s="386">
        <v>100</v>
      </c>
      <c r="E27" s="565" t="s">
        <v>3411</v>
      </c>
      <c r="F27" s="386">
        <f>SUMIF(89:89,E27,90:90)-SUMIF(89:89,C27,90:90)+100</f>
        <v>100</v>
      </c>
      <c r="G27" s="565" t="s">
        <v>3407</v>
      </c>
      <c r="H27" s="386">
        <f>SUMIF(89:89,G27,90:90)-SUMIF(89:89,C27,90:90)+100</f>
        <v>102</v>
      </c>
      <c r="I27" s="565" t="s">
        <v>3411</v>
      </c>
      <c r="J27" s="386">
        <f>SUMIF(89:89,I27,90:90)-SUMIF(89:89,C27,90:90)+100</f>
        <v>100</v>
      </c>
      <c r="K27" s="561">
        <v>1</v>
      </c>
      <c r="L27" s="2720"/>
      <c r="M27" s="2714"/>
      <c r="N27" s="2714"/>
      <c r="O27" s="2714"/>
      <c r="P27" s="3657"/>
      <c r="Q27" s="3450" t="str">
        <f t="shared" ref="Q27:Q47" si="11">B27</f>
        <v>楼层</v>
      </c>
      <c r="R27" s="703" t="s">
        <v>14</v>
      </c>
      <c r="S27" s="704">
        <f>F27</f>
        <v>100</v>
      </c>
      <c r="T27" s="703" t="s">
        <v>14</v>
      </c>
      <c r="U27" s="704">
        <f>H27</f>
        <v>102</v>
      </c>
      <c r="V27" s="703" t="s">
        <v>14</v>
      </c>
      <c r="W27" s="704">
        <f>J27</f>
        <v>100</v>
      </c>
      <c r="X27" s="3452"/>
      <c r="Y27" s="3659"/>
      <c r="Z27" s="3453" t="str">
        <f>Q27</f>
        <v>楼层</v>
      </c>
      <c r="AA27" s="3451">
        <f t="shared" si="3"/>
        <v>1</v>
      </c>
      <c r="AB27" s="3451">
        <f t="shared" si="4"/>
        <v>0.98039215686274506</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57"/>
      <c r="Q28" s="3448" t="str">
        <f t="shared" si="11"/>
        <v>朝向</v>
      </c>
      <c r="R28" s="699" t="s">
        <v>14</v>
      </c>
      <c r="S28" s="700">
        <f>F28</f>
        <v>100</v>
      </c>
      <c r="T28" s="699" t="s">
        <v>14</v>
      </c>
      <c r="U28" s="700">
        <f>H28</f>
        <v>100</v>
      </c>
      <c r="V28" s="699" t="s">
        <v>14</v>
      </c>
      <c r="W28" s="700">
        <f>J28</f>
        <v>100</v>
      </c>
      <c r="X28" s="701"/>
      <c r="Y28" s="3659"/>
      <c r="Z28" s="3447" t="str">
        <f>Q28</f>
        <v>朝向</v>
      </c>
      <c r="AA28" s="3451">
        <f>D28/F28</f>
        <v>1</v>
      </c>
      <c r="AB28" s="34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57"/>
      <c r="Q29" s="3450">
        <f t="shared" si="11"/>
        <v>111</v>
      </c>
      <c r="R29" s="703" t="s">
        <v>14</v>
      </c>
      <c r="S29" s="704">
        <f t="shared" ref="S29:S47" si="12">F29</f>
        <v>100</v>
      </c>
      <c r="T29" s="703" t="s">
        <v>14</v>
      </c>
      <c r="U29" s="704">
        <f t="shared" ref="U29:U47" si="13">H29</f>
        <v>100</v>
      </c>
      <c r="V29" s="703" t="s">
        <v>14</v>
      </c>
      <c r="W29" s="704">
        <f t="shared" ref="W29:W47" si="14">J29</f>
        <v>100</v>
      </c>
      <c r="X29" s="3452"/>
      <c r="Y29" s="3659"/>
      <c r="Z29" s="3453">
        <f t="shared" ref="Z29:Z47" si="15">Q29</f>
        <v>111</v>
      </c>
      <c r="AA29" s="3451">
        <f t="shared" si="3"/>
        <v>1</v>
      </c>
      <c r="AB29" s="34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57"/>
      <c r="Q30" s="3450">
        <f t="shared" si="11"/>
        <v>111</v>
      </c>
      <c r="R30" s="703" t="s">
        <v>14</v>
      </c>
      <c r="S30" s="704">
        <f t="shared" si="12"/>
        <v>100</v>
      </c>
      <c r="T30" s="703" t="s">
        <v>14</v>
      </c>
      <c r="U30" s="704">
        <f t="shared" si="13"/>
        <v>100</v>
      </c>
      <c r="V30" s="703" t="s">
        <v>14</v>
      </c>
      <c r="W30" s="704">
        <f t="shared" si="14"/>
        <v>100</v>
      </c>
      <c r="X30" s="3452"/>
      <c r="Y30" s="3659"/>
      <c r="Z30" s="3453">
        <f t="shared" si="15"/>
        <v>111</v>
      </c>
      <c r="AA30" s="3451">
        <f t="shared" si="3"/>
        <v>1</v>
      </c>
      <c r="AB30" s="34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57"/>
      <c r="Q31" s="3450">
        <f t="shared" si="11"/>
        <v>111</v>
      </c>
      <c r="R31" s="703" t="s">
        <v>14</v>
      </c>
      <c r="S31" s="704">
        <f t="shared" si="12"/>
        <v>100</v>
      </c>
      <c r="T31" s="703" t="s">
        <v>14</v>
      </c>
      <c r="U31" s="704">
        <f t="shared" si="13"/>
        <v>100</v>
      </c>
      <c r="V31" s="703" t="s">
        <v>14</v>
      </c>
      <c r="W31" s="704">
        <f t="shared" si="14"/>
        <v>100</v>
      </c>
      <c r="X31" s="3452"/>
      <c r="Y31" s="3659"/>
      <c r="Z31" s="3453">
        <f t="shared" si="15"/>
        <v>111</v>
      </c>
      <c r="AA31" s="3451">
        <f t="shared" si="3"/>
        <v>1</v>
      </c>
      <c r="AB31" s="34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57"/>
      <c r="Q32" s="3450">
        <f t="shared" si="11"/>
        <v>111</v>
      </c>
      <c r="R32" s="703" t="s">
        <v>14</v>
      </c>
      <c r="S32" s="704">
        <f t="shared" si="12"/>
        <v>100</v>
      </c>
      <c r="T32" s="703" t="s">
        <v>14</v>
      </c>
      <c r="U32" s="704">
        <f t="shared" si="13"/>
        <v>100</v>
      </c>
      <c r="V32" s="703" t="s">
        <v>14</v>
      </c>
      <c r="W32" s="704">
        <f t="shared" si="14"/>
        <v>100</v>
      </c>
      <c r="X32" s="3452"/>
      <c r="Y32" s="3659"/>
      <c r="Z32" s="3453">
        <f t="shared" si="15"/>
        <v>111</v>
      </c>
      <c r="AA32" s="3451">
        <f t="shared" si="3"/>
        <v>1</v>
      </c>
      <c r="AB32" s="3451">
        <f t="shared" si="4"/>
        <v>1</v>
      </c>
      <c r="AC32" s="1960">
        <f t="shared" si="5"/>
        <v>1</v>
      </c>
    </row>
    <row r="33" spans="1:29" ht="15">
      <c r="A33" s="391" t="s">
        <v>1694</v>
      </c>
      <c r="B33" s="63" t="s">
        <v>1817</v>
      </c>
      <c r="C33" s="1965" t="s">
        <v>3413</v>
      </c>
      <c r="D33" s="418">
        <v>100</v>
      </c>
      <c r="E33" s="1965" t="s">
        <v>3413</v>
      </c>
      <c r="F33" s="412">
        <f>SUMIF(101:101,E33,102:102)-SUMIF(101:101,C33,102:102)+100</f>
        <v>100</v>
      </c>
      <c r="G33" s="1965" t="s">
        <v>3413</v>
      </c>
      <c r="H33" s="386">
        <f>SUMIF(101:101,G33,102:102)-SUMIF(101:101,C33,102:102)+100</f>
        <v>100</v>
      </c>
      <c r="I33" s="1965" t="s">
        <v>3413</v>
      </c>
      <c r="J33" s="418">
        <f>SUMIF(101:101,I33,102:102)-SUMIF(101:101,C33,102:102)+100</f>
        <v>100</v>
      </c>
      <c r="K33" s="561">
        <v>1</v>
      </c>
      <c r="L33" s="2720"/>
      <c r="M33" s="2714"/>
      <c r="N33" s="2714"/>
      <c r="O33" s="2714"/>
      <c r="P33" s="3660" t="s">
        <v>1696</v>
      </c>
      <c r="Q33" s="3450" t="str">
        <f t="shared" si="11"/>
        <v>建筑类型</v>
      </c>
      <c r="R33" s="703" t="s">
        <v>14</v>
      </c>
      <c r="S33" s="704">
        <f t="shared" si="12"/>
        <v>100</v>
      </c>
      <c r="T33" s="703" t="s">
        <v>14</v>
      </c>
      <c r="U33" s="704">
        <f t="shared" si="13"/>
        <v>100</v>
      </c>
      <c r="V33" s="703" t="s">
        <v>14</v>
      </c>
      <c r="W33" s="704">
        <f t="shared" si="14"/>
        <v>100</v>
      </c>
      <c r="X33" s="3452"/>
      <c r="Y33" s="3663" t="s">
        <v>1696</v>
      </c>
      <c r="Z33" s="3453" t="str">
        <f t="shared" si="15"/>
        <v>建筑类型</v>
      </c>
      <c r="AA33" s="3451">
        <f t="shared" si="3"/>
        <v>1</v>
      </c>
      <c r="AB33" s="3451">
        <f t="shared" si="4"/>
        <v>1</v>
      </c>
      <c r="AC33" s="1960">
        <f t="shared" si="5"/>
        <v>1</v>
      </c>
    </row>
    <row r="34" spans="1:29" s="422" customFormat="1" ht="15">
      <c r="A34" s="419"/>
      <c r="B34" s="375" t="s">
        <v>1697</v>
      </c>
      <c r="C34" s="420">
        <f>'数据-汇总表'!F19</f>
        <v>892.35</v>
      </c>
      <c r="D34" s="127">
        <v>100</v>
      </c>
      <c r="E34" s="420">
        <v>222.83</v>
      </c>
      <c r="F34" s="376">
        <f>LOOKUP(E34,104:104,105:105)-LOOKUP(C34,104:104,105:105)+100</f>
        <v>100</v>
      </c>
      <c r="G34" s="420">
        <v>254.15</v>
      </c>
      <c r="H34" s="127">
        <f>LOOKUP(G34,104:104,105:105)-LOOKUP(C34,104:104,105:105)+100</f>
        <v>100</v>
      </c>
      <c r="I34" s="420">
        <v>361.84</v>
      </c>
      <c r="J34" s="127">
        <f>LOOKUP(I34,104:104,105:105)-LOOKUP(C34,104:104,105:105)+100</f>
        <v>102</v>
      </c>
      <c r="K34" s="562"/>
      <c r="L34" s="2719"/>
      <c r="M34" s="2721"/>
      <c r="N34" s="2721"/>
      <c r="O34" s="2721"/>
      <c r="P34" s="3661"/>
      <c r="Q34" s="705" t="str">
        <f t="shared" si="11"/>
        <v>项目建筑规模</v>
      </c>
      <c r="R34" s="706" t="s">
        <v>14</v>
      </c>
      <c r="S34" s="707">
        <f t="shared" si="12"/>
        <v>100</v>
      </c>
      <c r="T34" s="706" t="s">
        <v>14</v>
      </c>
      <c r="U34" s="707">
        <f t="shared" si="13"/>
        <v>100</v>
      </c>
      <c r="V34" s="706" t="s">
        <v>14</v>
      </c>
      <c r="W34" s="707">
        <f t="shared" si="14"/>
        <v>102</v>
      </c>
      <c r="X34" s="708"/>
      <c r="Y34" s="3663"/>
      <c r="Z34" s="709" t="str">
        <f t="shared" si="15"/>
        <v>项目建筑规模</v>
      </c>
      <c r="AA34" s="3451">
        <f t="shared" si="3"/>
        <v>1</v>
      </c>
      <c r="AB34" s="3451">
        <f t="shared" si="4"/>
        <v>1</v>
      </c>
      <c r="AC34" s="1960">
        <f t="shared" si="5"/>
        <v>0.98039215686274506</v>
      </c>
    </row>
    <row r="35" spans="1:29" ht="15">
      <c r="A35" s="423"/>
      <c r="B35" s="375" t="s">
        <v>1698</v>
      </c>
      <c r="C35" s="411" t="s">
        <v>3415</v>
      </c>
      <c r="D35" s="386">
        <v>100</v>
      </c>
      <c r="E35" s="411" t="s">
        <v>3415</v>
      </c>
      <c r="F35" s="412">
        <f>SUMIF(106:106,E35,107:107)-SUMIF(106:106,C35,107:107)+100</f>
        <v>100</v>
      </c>
      <c r="G35" s="411" t="s">
        <v>3415</v>
      </c>
      <c r="H35" s="386">
        <f>SUMIF(106:106,G35,107:107)-SUMIF(106:106,C35,107:107)+100</f>
        <v>100</v>
      </c>
      <c r="I35" s="411" t="s">
        <v>3415</v>
      </c>
      <c r="J35" s="386">
        <f>SUMIF(106:106,I35,107:107)-SUMIF(106:106,C35,107:107)+100</f>
        <v>100</v>
      </c>
      <c r="K35" s="561">
        <v>2</v>
      </c>
      <c r="L35" s="2720"/>
      <c r="M35" s="2714"/>
      <c r="N35" s="2714"/>
      <c r="O35" s="2714"/>
      <c r="P35" s="3661"/>
      <c r="Q35" s="3450" t="str">
        <f t="shared" si="11"/>
        <v>建筑结构</v>
      </c>
      <c r="R35" s="703" t="s">
        <v>14</v>
      </c>
      <c r="S35" s="704">
        <f t="shared" si="12"/>
        <v>100</v>
      </c>
      <c r="T35" s="703" t="s">
        <v>14</v>
      </c>
      <c r="U35" s="704">
        <f t="shared" si="13"/>
        <v>100</v>
      </c>
      <c r="V35" s="703" t="s">
        <v>14</v>
      </c>
      <c r="W35" s="704">
        <f t="shared" si="14"/>
        <v>100</v>
      </c>
      <c r="X35" s="3452"/>
      <c r="Y35" s="3663"/>
      <c r="Z35" s="3453" t="str">
        <f t="shared" si="15"/>
        <v>建筑结构</v>
      </c>
      <c r="AA35" s="3451">
        <f t="shared" si="3"/>
        <v>1</v>
      </c>
      <c r="AB35" s="3451">
        <f t="shared" si="4"/>
        <v>1</v>
      </c>
      <c r="AC35" s="1960">
        <f t="shared" si="5"/>
        <v>1</v>
      </c>
    </row>
    <row r="36" spans="1:29" ht="15">
      <c r="A36" s="423"/>
      <c r="B36" s="375" t="s">
        <v>1785</v>
      </c>
      <c r="C36" s="411" t="s">
        <v>3417</v>
      </c>
      <c r="D36" s="386">
        <v>100</v>
      </c>
      <c r="E36" s="411" t="s">
        <v>3417</v>
      </c>
      <c r="F36" s="412">
        <f>SUMIF(108:108,E36,109:109)-SUMIF(108:108,C36,109:109)+100</f>
        <v>100</v>
      </c>
      <c r="G36" s="411" t="s">
        <v>3417</v>
      </c>
      <c r="H36" s="386">
        <f>SUMIF(108:108,G36,109:109)-SUMIF(108:108,C36,109:109)+100</f>
        <v>100</v>
      </c>
      <c r="I36" s="411" t="s">
        <v>3417</v>
      </c>
      <c r="J36" s="386">
        <f>SUMIF(108:108,I36,109:109)-SUMIF(108:108,C36,109:109)+100</f>
        <v>100</v>
      </c>
      <c r="K36" s="561">
        <v>1</v>
      </c>
      <c r="L36" s="2720"/>
      <c r="M36" s="2714"/>
      <c r="N36" s="2714"/>
      <c r="O36" s="2714"/>
      <c r="P36" s="3661"/>
      <c r="Q36" s="3450" t="str">
        <f t="shared" si="11"/>
        <v>公共部分装修</v>
      </c>
      <c r="R36" s="703" t="s">
        <v>14</v>
      </c>
      <c r="S36" s="704">
        <f t="shared" si="12"/>
        <v>100</v>
      </c>
      <c r="T36" s="703" t="s">
        <v>14</v>
      </c>
      <c r="U36" s="704">
        <f t="shared" si="13"/>
        <v>100</v>
      </c>
      <c r="V36" s="703" t="s">
        <v>14</v>
      </c>
      <c r="W36" s="704">
        <f t="shared" si="14"/>
        <v>100</v>
      </c>
      <c r="X36" s="3452"/>
      <c r="Y36" s="3663"/>
      <c r="Z36" s="3453" t="str">
        <f t="shared" si="15"/>
        <v>公共部分装修</v>
      </c>
      <c r="AA36" s="3451">
        <f t="shared" si="3"/>
        <v>1</v>
      </c>
      <c r="AB36" s="3451">
        <f t="shared" si="4"/>
        <v>1</v>
      </c>
      <c r="AC36" s="1960">
        <f t="shared" si="5"/>
        <v>1</v>
      </c>
    </row>
    <row r="37" spans="1:29" ht="15">
      <c r="A37" s="423"/>
      <c r="B37" s="375" t="s">
        <v>1786</v>
      </c>
      <c r="C37" s="425">
        <f>'数据-取费表'!N6</f>
        <v>0.76</v>
      </c>
      <c r="D37" s="386">
        <v>100</v>
      </c>
      <c r="E37" s="425">
        <f>C37</f>
        <v>0.76</v>
      </c>
      <c r="F37" s="412">
        <f>LOOKUP(E37,111:111,112:112)-LOOKUP(C37,111:111,112:112)+100</f>
        <v>100</v>
      </c>
      <c r="G37" s="425">
        <f>E37</f>
        <v>0.76</v>
      </c>
      <c r="H37" s="412">
        <f>LOOKUP(G37,111:111,112:112)-LOOKUP(C37,111:111,112:112)+100</f>
        <v>100</v>
      </c>
      <c r="I37" s="425">
        <f>G37</f>
        <v>0.76</v>
      </c>
      <c r="J37" s="386">
        <f>LOOKUP(I37,111:111,112:112)-LOOKUP(C37,111:111,112:112)+100</f>
        <v>100</v>
      </c>
      <c r="K37" s="561">
        <v>2</v>
      </c>
      <c r="L37" s="2720"/>
      <c r="M37" s="2714"/>
      <c r="N37" s="2714"/>
      <c r="O37" s="2714"/>
      <c r="P37" s="3661"/>
      <c r="Q37" s="3450" t="str">
        <f t="shared" si="11"/>
        <v>成新度</v>
      </c>
      <c r="R37" s="703" t="s">
        <v>14</v>
      </c>
      <c r="S37" s="704">
        <f t="shared" si="12"/>
        <v>100</v>
      </c>
      <c r="T37" s="703" t="s">
        <v>14</v>
      </c>
      <c r="U37" s="704">
        <f t="shared" si="13"/>
        <v>100</v>
      </c>
      <c r="V37" s="703" t="s">
        <v>14</v>
      </c>
      <c r="W37" s="704">
        <f t="shared" si="14"/>
        <v>100</v>
      </c>
      <c r="X37" s="3452"/>
      <c r="Y37" s="3663"/>
      <c r="Z37" s="3453" t="str">
        <f t="shared" si="15"/>
        <v>成新度</v>
      </c>
      <c r="AA37" s="3451">
        <f t="shared" si="3"/>
        <v>1</v>
      </c>
      <c r="AB37" s="3451">
        <f t="shared" si="4"/>
        <v>1</v>
      </c>
      <c r="AC37" s="1960">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61"/>
      <c r="Q38" s="3448" t="str">
        <f t="shared" si="11"/>
        <v>写字楼等级</v>
      </c>
      <c r="R38" s="699" t="s">
        <v>14</v>
      </c>
      <c r="S38" s="700">
        <f t="shared" si="12"/>
        <v>100</v>
      </c>
      <c r="T38" s="699" t="s">
        <v>14</v>
      </c>
      <c r="U38" s="700">
        <f t="shared" si="13"/>
        <v>100</v>
      </c>
      <c r="V38" s="699" t="s">
        <v>14</v>
      </c>
      <c r="W38" s="700">
        <f t="shared" si="14"/>
        <v>100</v>
      </c>
      <c r="X38" s="701"/>
      <c r="Y38" s="3663"/>
      <c r="Z38" s="3447" t="str">
        <f t="shared" si="15"/>
        <v>写字楼等级</v>
      </c>
      <c r="AA38" s="702">
        <f t="shared" si="3"/>
        <v>1</v>
      </c>
      <c r="AB38" s="702">
        <f t="shared" si="4"/>
        <v>1</v>
      </c>
      <c r="AC38" s="1957">
        <f t="shared" si="5"/>
        <v>1</v>
      </c>
    </row>
    <row r="39" spans="1:29" ht="15">
      <c r="A39" s="423"/>
      <c r="B39" s="375" t="s">
        <v>1819</v>
      </c>
      <c r="C39" s="411" t="s">
        <v>3420</v>
      </c>
      <c r="D39" s="386">
        <v>100</v>
      </c>
      <c r="E39" s="411" t="s">
        <v>3420</v>
      </c>
      <c r="F39" s="412">
        <f>SUMIF(115:115,E39,116:116)-SUMIF(115:115,C39,116:116)+100</f>
        <v>100</v>
      </c>
      <c r="G39" s="411" t="s">
        <v>3420</v>
      </c>
      <c r="H39" s="386">
        <f>SUMIF(115:115,G39,116:116)-SUMIF(115:115,C39,116:116)+100</f>
        <v>100</v>
      </c>
      <c r="I39" s="411" t="s">
        <v>3420</v>
      </c>
      <c r="J39" s="386">
        <f>SUMIF(115:115,I39,116:116)-SUMIF(115:115,C39,116:116)+100</f>
        <v>100</v>
      </c>
      <c r="K39" s="561">
        <v>1</v>
      </c>
      <c r="L39" s="2720"/>
      <c r="M39" s="2714"/>
      <c r="N39" s="2714"/>
      <c r="O39" s="2714"/>
      <c r="P39" s="3661" t="s">
        <v>1696</v>
      </c>
      <c r="Q39" s="3450" t="str">
        <f t="shared" si="11"/>
        <v>物业管理</v>
      </c>
      <c r="R39" s="703" t="s">
        <v>14</v>
      </c>
      <c r="S39" s="704">
        <f t="shared" si="12"/>
        <v>100</v>
      </c>
      <c r="T39" s="703" t="s">
        <v>14</v>
      </c>
      <c r="U39" s="704">
        <f t="shared" si="13"/>
        <v>100</v>
      </c>
      <c r="V39" s="703" t="s">
        <v>14</v>
      </c>
      <c r="W39" s="704">
        <f t="shared" si="14"/>
        <v>100</v>
      </c>
      <c r="X39" s="3452"/>
      <c r="Y39" s="3663" t="s">
        <v>1696</v>
      </c>
      <c r="Z39" s="3453" t="str">
        <f t="shared" si="15"/>
        <v>物业管理</v>
      </c>
      <c r="AA39" s="3451">
        <f t="shared" si="3"/>
        <v>1</v>
      </c>
      <c r="AB39" s="3451">
        <f t="shared" si="4"/>
        <v>1</v>
      </c>
      <c r="AC39" s="1960">
        <f t="shared" si="5"/>
        <v>1</v>
      </c>
    </row>
    <row r="40" spans="1:29" ht="15">
      <c r="A40" s="423"/>
      <c r="B40" s="375" t="s">
        <v>1787</v>
      </c>
      <c r="C40" s="411" t="s">
        <v>3422</v>
      </c>
      <c r="D40" s="386">
        <v>100</v>
      </c>
      <c r="E40" s="411" t="s">
        <v>3422</v>
      </c>
      <c r="F40" s="412">
        <f>SUMIF(117:117,E40,118:118)-SUMIF(117:117,C40,118:118)+100</f>
        <v>100</v>
      </c>
      <c r="G40" s="411" t="s">
        <v>3422</v>
      </c>
      <c r="H40" s="386">
        <f>SUMIF(117:117,G40,118:118)-SUMIF(117:117,C40,118:118)+100</f>
        <v>100</v>
      </c>
      <c r="I40" s="411" t="s">
        <v>3422</v>
      </c>
      <c r="J40" s="386">
        <f>SUMIF(117:117,I40,118:118)-SUMIF(117:117,C40,118:118)+100</f>
        <v>100</v>
      </c>
      <c r="K40" s="561">
        <v>1</v>
      </c>
      <c r="L40" s="2720"/>
      <c r="M40" s="2714"/>
      <c r="N40" s="2714"/>
      <c r="O40" s="2714"/>
      <c r="P40" s="3661"/>
      <c r="Q40" s="3450" t="str">
        <f t="shared" si="11"/>
        <v>市政基础设施</v>
      </c>
      <c r="R40" s="703" t="s">
        <v>14</v>
      </c>
      <c r="S40" s="704">
        <f t="shared" si="12"/>
        <v>100</v>
      </c>
      <c r="T40" s="703" t="s">
        <v>14</v>
      </c>
      <c r="U40" s="704">
        <f t="shared" si="13"/>
        <v>100</v>
      </c>
      <c r="V40" s="703" t="s">
        <v>14</v>
      </c>
      <c r="W40" s="704">
        <f t="shared" si="14"/>
        <v>100</v>
      </c>
      <c r="X40" s="3452"/>
      <c r="Y40" s="3663"/>
      <c r="Z40" s="3453" t="str">
        <f t="shared" si="15"/>
        <v>市政基础设施</v>
      </c>
      <c r="AA40" s="3451">
        <f t="shared" si="3"/>
        <v>1</v>
      </c>
      <c r="AB40" s="34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61"/>
      <c r="Q41" s="3450" t="str">
        <f t="shared" si="11"/>
        <v>层高</v>
      </c>
      <c r="R41" s="703" t="s">
        <v>14</v>
      </c>
      <c r="S41" s="704">
        <f t="shared" si="12"/>
        <v>100</v>
      </c>
      <c r="T41" s="703" t="s">
        <v>14</v>
      </c>
      <c r="U41" s="704">
        <f t="shared" si="13"/>
        <v>100</v>
      </c>
      <c r="V41" s="703" t="s">
        <v>14</v>
      </c>
      <c r="W41" s="704">
        <f t="shared" si="14"/>
        <v>100</v>
      </c>
      <c r="X41" s="3452"/>
      <c r="Y41" s="3663"/>
      <c r="Z41" s="3453" t="str">
        <f t="shared" si="15"/>
        <v>层高</v>
      </c>
      <c r="AA41" s="3451">
        <f t="shared" si="3"/>
        <v>1</v>
      </c>
      <c r="AB41" s="3451">
        <f t="shared" si="4"/>
        <v>1</v>
      </c>
      <c r="AC41" s="1960">
        <f t="shared" si="5"/>
        <v>1</v>
      </c>
    </row>
    <row r="42" spans="1:29" s="422" customFormat="1" ht="15">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61"/>
      <c r="Q42" s="705" t="str">
        <f t="shared" si="11"/>
        <v>单套建筑面积</v>
      </c>
      <c r="R42" s="706" t="s">
        <v>14</v>
      </c>
      <c r="S42" s="707">
        <f t="shared" si="12"/>
        <v>100</v>
      </c>
      <c r="T42" s="706" t="s">
        <v>14</v>
      </c>
      <c r="U42" s="707">
        <f t="shared" si="13"/>
        <v>100</v>
      </c>
      <c r="V42" s="706" t="s">
        <v>14</v>
      </c>
      <c r="W42" s="707">
        <f t="shared" si="14"/>
        <v>100</v>
      </c>
      <c r="X42" s="708"/>
      <c r="Y42" s="3663"/>
      <c r="Z42" s="709" t="str">
        <f t="shared" si="15"/>
        <v>单套建筑面积</v>
      </c>
      <c r="AA42" s="3451">
        <f t="shared" si="3"/>
        <v>1</v>
      </c>
      <c r="AB42" s="3451">
        <f t="shared" si="4"/>
        <v>1</v>
      </c>
      <c r="AC42" s="1960">
        <f t="shared" si="5"/>
        <v>1</v>
      </c>
    </row>
    <row r="43" spans="1:29" ht="15">
      <c r="A43" s="423"/>
      <c r="B43" s="375" t="s">
        <v>1792</v>
      </c>
      <c r="C43" s="411" t="s">
        <v>3427</v>
      </c>
      <c r="D43" s="386">
        <v>100</v>
      </c>
      <c r="E43" s="411" t="s">
        <v>3427</v>
      </c>
      <c r="F43" s="412">
        <f>SUMIF(123:123,E43,124:124)-SUMIF(123:123,C43,124:124)+100</f>
        <v>100</v>
      </c>
      <c r="G43" s="411" t="s">
        <v>3427</v>
      </c>
      <c r="H43" s="386">
        <f>SUMIF(123:123,G43,124:124)-SUMIF(123:123,C43,124:124)+100</f>
        <v>100</v>
      </c>
      <c r="I43" s="411" t="s">
        <v>3427</v>
      </c>
      <c r="J43" s="386">
        <f>SUMIF(123:123,I43,124:124)-SUMIF(123:123,C43,124:124)+100</f>
        <v>100</v>
      </c>
      <c r="K43" s="561">
        <v>2</v>
      </c>
      <c r="L43" s="2720"/>
      <c r="M43" s="2714"/>
      <c r="N43" s="2714"/>
      <c r="O43" s="2714"/>
      <c r="P43" s="3661"/>
      <c r="Q43" s="3450" t="str">
        <f t="shared" si="11"/>
        <v>内部装修</v>
      </c>
      <c r="R43" s="703" t="s">
        <v>14</v>
      </c>
      <c r="S43" s="704">
        <f t="shared" si="12"/>
        <v>100</v>
      </c>
      <c r="T43" s="703" t="s">
        <v>14</v>
      </c>
      <c r="U43" s="704">
        <f t="shared" si="13"/>
        <v>100</v>
      </c>
      <c r="V43" s="703" t="s">
        <v>14</v>
      </c>
      <c r="W43" s="704">
        <f t="shared" si="14"/>
        <v>100</v>
      </c>
      <c r="X43" s="3452"/>
      <c r="Y43" s="3663"/>
      <c r="Z43" s="3453" t="str">
        <f t="shared" si="15"/>
        <v>内部装修</v>
      </c>
      <c r="AA43" s="3451">
        <f t="shared" si="3"/>
        <v>1</v>
      </c>
      <c r="AB43" s="3451">
        <f t="shared" si="4"/>
        <v>1</v>
      </c>
      <c r="AC43" s="1960">
        <f t="shared" si="5"/>
        <v>1</v>
      </c>
    </row>
    <row r="44" spans="1:29" ht="15">
      <c r="A44" s="423"/>
      <c r="B44" s="375" t="s">
        <v>1707</v>
      </c>
      <c r="C44" s="411" t="s">
        <v>3431</v>
      </c>
      <c r="D44" s="386">
        <v>100</v>
      </c>
      <c r="E44" s="411" t="s">
        <v>3431</v>
      </c>
      <c r="F44" s="412">
        <f>SUMIF(125:125,E44,126:126)-SUMIF(125:125,C44,126:126)+100</f>
        <v>100</v>
      </c>
      <c r="G44" s="411" t="s">
        <v>3431</v>
      </c>
      <c r="H44" s="386">
        <f>SUMIF(125:125,G44,126:126)-SUMIF(125:125,C44,126:126)+100</f>
        <v>100</v>
      </c>
      <c r="I44" s="411" t="s">
        <v>3431</v>
      </c>
      <c r="J44" s="386">
        <f>SUMIF(125:125,I44,126:126)-SUMIF(125:125,C44,126:126)+100</f>
        <v>100</v>
      </c>
      <c r="K44" s="561">
        <v>2</v>
      </c>
      <c r="L44" s="2720"/>
      <c r="M44" s="2714"/>
      <c r="N44" s="2714"/>
      <c r="O44" s="2714"/>
      <c r="P44" s="3661"/>
      <c r="Q44" s="3450" t="str">
        <f t="shared" si="11"/>
        <v>内部装修维护情况</v>
      </c>
      <c r="R44" s="703" t="s">
        <v>14</v>
      </c>
      <c r="S44" s="704">
        <f t="shared" si="12"/>
        <v>100</v>
      </c>
      <c r="T44" s="703" t="s">
        <v>14</v>
      </c>
      <c r="U44" s="704">
        <f t="shared" si="13"/>
        <v>100</v>
      </c>
      <c r="V44" s="703" t="s">
        <v>14</v>
      </c>
      <c r="W44" s="704">
        <f t="shared" si="14"/>
        <v>100</v>
      </c>
      <c r="X44" s="3452"/>
      <c r="Y44" s="3663"/>
      <c r="Z44" s="3453" t="str">
        <f t="shared" si="15"/>
        <v>内部装修维护情况</v>
      </c>
      <c r="AA44" s="3451">
        <f t="shared" si="3"/>
        <v>1</v>
      </c>
      <c r="AB44" s="34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61"/>
      <c r="Q45" s="3448">
        <f t="shared" si="11"/>
        <v>111</v>
      </c>
      <c r="R45" s="699" t="s">
        <v>14</v>
      </c>
      <c r="S45" s="700">
        <f t="shared" si="12"/>
        <v>100</v>
      </c>
      <c r="T45" s="699" t="s">
        <v>14</v>
      </c>
      <c r="U45" s="700">
        <f t="shared" si="13"/>
        <v>100</v>
      </c>
      <c r="V45" s="699" t="s">
        <v>14</v>
      </c>
      <c r="W45" s="700">
        <f t="shared" si="14"/>
        <v>100</v>
      </c>
      <c r="X45" s="701"/>
      <c r="Y45" s="3663"/>
      <c r="Z45" s="3447">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61"/>
      <c r="Q46" s="3450">
        <f t="shared" si="11"/>
        <v>111</v>
      </c>
      <c r="R46" s="703" t="s">
        <v>14</v>
      </c>
      <c r="S46" s="704">
        <f t="shared" si="12"/>
        <v>100</v>
      </c>
      <c r="T46" s="703" t="s">
        <v>14</v>
      </c>
      <c r="U46" s="704">
        <f t="shared" si="13"/>
        <v>100</v>
      </c>
      <c r="V46" s="703" t="s">
        <v>14</v>
      </c>
      <c r="W46" s="704">
        <f t="shared" si="14"/>
        <v>100</v>
      </c>
      <c r="X46" s="3452"/>
      <c r="Y46" s="3663"/>
      <c r="Z46" s="3453">
        <f t="shared" si="15"/>
        <v>111</v>
      </c>
      <c r="AA46" s="3451">
        <f t="shared" si="3"/>
        <v>1</v>
      </c>
      <c r="AB46" s="34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62"/>
      <c r="Q47" s="3450">
        <f t="shared" si="11"/>
        <v>111</v>
      </c>
      <c r="R47" s="703" t="s">
        <v>14</v>
      </c>
      <c r="S47" s="704">
        <f t="shared" si="12"/>
        <v>100</v>
      </c>
      <c r="T47" s="703" t="s">
        <v>14</v>
      </c>
      <c r="U47" s="704">
        <f t="shared" si="13"/>
        <v>100</v>
      </c>
      <c r="V47" s="703" t="s">
        <v>14</v>
      </c>
      <c r="W47" s="704">
        <f t="shared" si="14"/>
        <v>100</v>
      </c>
      <c r="X47" s="3452"/>
      <c r="Y47" s="3664"/>
      <c r="Z47" s="3453">
        <f t="shared" si="15"/>
        <v>111</v>
      </c>
      <c r="AA47" s="3451">
        <f t="shared" si="3"/>
        <v>1</v>
      </c>
      <c r="AB47" s="3451">
        <f t="shared" si="4"/>
        <v>1</v>
      </c>
      <c r="AC47" s="1960">
        <f t="shared" si="5"/>
        <v>1</v>
      </c>
    </row>
    <row r="48" spans="1:29" ht="15">
      <c r="A48" s="430" t="s">
        <v>1708</v>
      </c>
      <c r="B48" s="431"/>
      <c r="C48" s="1152" t="s">
        <v>0</v>
      </c>
      <c r="D48" s="1153"/>
      <c r="E48" s="1154">
        <v>5.5</v>
      </c>
      <c r="F48" s="1155"/>
      <c r="G48" s="1156">
        <v>5.5</v>
      </c>
      <c r="H48" s="1157"/>
      <c r="I48" s="1154">
        <v>4.9000000000000004</v>
      </c>
      <c r="J48" s="436"/>
      <c r="K48" s="712"/>
      <c r="L48" s="2722"/>
      <c r="M48" s="2714"/>
      <c r="N48" s="2714"/>
      <c r="O48" s="2714"/>
      <c r="P48" s="3650" t="str">
        <f>A48</f>
        <v>成交单价（元/平方米）</v>
      </c>
      <c r="Q48" s="3651"/>
      <c r="R48" s="3652">
        <f>E48</f>
        <v>5.5</v>
      </c>
      <c r="S48" s="3652"/>
      <c r="T48" s="3652">
        <f>G48</f>
        <v>5.5</v>
      </c>
      <c r="U48" s="3652"/>
      <c r="V48" s="3652">
        <f>I48</f>
        <v>4.9000000000000004</v>
      </c>
      <c r="W48" s="3652"/>
      <c r="X48" s="397"/>
      <c r="Y48" s="710"/>
      <c r="Z48" s="397"/>
      <c r="AA48" s="397"/>
      <c r="AB48" s="397"/>
      <c r="AC48" s="578"/>
    </row>
    <row r="49" spans="1:29" ht="15.75" thickBot="1">
      <c r="A49" s="437" t="s">
        <v>1709</v>
      </c>
      <c r="B49" s="438"/>
      <c r="C49" s="1158">
        <f>R50</f>
        <v>5.0999999999999996</v>
      </c>
      <c r="D49" s="2315" t="s">
        <v>2137</v>
      </c>
      <c r="E49" s="1159">
        <f>R49</f>
        <v>5.4</v>
      </c>
      <c r="F49" s="2316"/>
      <c r="G49" s="1158">
        <f>T49</f>
        <v>5.3</v>
      </c>
      <c r="H49" s="2316"/>
      <c r="I49" s="1159">
        <f>V49</f>
        <v>4.7</v>
      </c>
      <c r="J49" s="2316"/>
      <c r="K49" s="2318">
        <f>F49+H49+J49</f>
        <v>0</v>
      </c>
      <c r="L49" s="2722"/>
      <c r="M49" s="2714"/>
      <c r="N49" s="2714"/>
      <c r="O49" s="2714"/>
      <c r="P49" s="3650" t="str">
        <f>A49</f>
        <v>比较价值（元/平方米）</v>
      </c>
      <c r="Q49" s="3651"/>
      <c r="R49" s="3652">
        <f>IF(F1="售价",ROUND(PRODUCT(R48,AA7:AA47),0),ROUND(PRODUCT(R48,AA7:AA47),1))</f>
        <v>5.4</v>
      </c>
      <c r="S49" s="3652"/>
      <c r="T49" s="3652">
        <f>IF(F1="售价",ROUND(PRODUCT(T48,AB7:AB47),0),ROUND(PRODUCT(T48,AB7:AB47),1))</f>
        <v>5.3</v>
      </c>
      <c r="U49" s="3652"/>
      <c r="V49" s="3652">
        <f>IF(F1="售价",ROUND(PRODUCT(V48,AC7:AC47),0),ROUND(PRODUCT(V48,AC7:AC47),1))</f>
        <v>4.7</v>
      </c>
      <c r="W49" s="3652"/>
      <c r="X49" s="397"/>
      <c r="Y49" s="397"/>
      <c r="Z49" s="397"/>
      <c r="AA49" s="397"/>
      <c r="AB49" s="397"/>
      <c r="AC49" s="578"/>
    </row>
    <row r="50" spans="1:29" ht="15.75" thickBot="1">
      <c r="A50" s="441" t="s">
        <v>1710</v>
      </c>
      <c r="B50" s="442"/>
      <c r="C50" s="1161">
        <f>R50</f>
        <v>5.0999999999999996</v>
      </c>
      <c r="D50" s="1161"/>
      <c r="E50" s="1161"/>
      <c r="F50" s="1161"/>
      <c r="G50" s="1161"/>
      <c r="H50" s="1161"/>
      <c r="I50" s="1161"/>
      <c r="J50" s="443"/>
      <c r="K50" s="713"/>
      <c r="L50" s="2722"/>
      <c r="M50" s="2714"/>
      <c r="N50" s="2714"/>
      <c r="O50" s="2714"/>
      <c r="P50" s="3653" t="str">
        <f>A50</f>
        <v>估价对象XX用房的比较价值（楼面单价，元/平方米）</v>
      </c>
      <c r="Q50" s="3654"/>
      <c r="R50" s="3655">
        <f>IF(F1="售价",ROUND(IF(D49="简单平均",AVERAGE(R49:V49),R49*F49+T49*H49+V49*J49),0),ROUND(IF(D49="简单平均",AVERAGE(R49:V49),R49*F49+T49*H49+V49*J49),1))</f>
        <v>5.0999999999999996</v>
      </c>
      <c r="S50" s="3655"/>
      <c r="T50" s="3655"/>
      <c r="U50" s="3655"/>
      <c r="V50" s="3655"/>
      <c r="W50" s="365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1.8518518518518379E-2</v>
      </c>
      <c r="F53" s="449" t="str">
        <f>IF(OR(E53&gt;=0.3,E53&lt;=-0.3),"超过30%","")</f>
        <v/>
      </c>
      <c r="G53" s="448">
        <f>IF(G48&lt;G49,G49/G48-1,G48/G49-1)</f>
        <v>3.7735849056603765E-2</v>
      </c>
      <c r="H53" s="449" t="str">
        <f>IF(OR(G53&gt;=0.3,G53&lt;=-0.3),"超过30%","")</f>
        <v/>
      </c>
      <c r="I53" s="448">
        <f>IF(I48&lt;I49,I49/I48-1,I48/I49-1)</f>
        <v>4.2553191489361764E-2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1.8867924528301883E-2</v>
      </c>
      <c r="F54" s="449" t="str">
        <f>IF(OR(E54&gt;=0.2,E54&lt;=-0.2),"超过20%","")</f>
        <v/>
      </c>
      <c r="G54" s="448">
        <f>IF(G49&lt;I49,I49/G49-1,G49/I49-1)</f>
        <v>0.12765957446808507</v>
      </c>
      <c r="H54" s="449" t="str">
        <f>IF(OR(G54&gt;=0.2,G54&lt;=-0.2),"超过20%","")</f>
        <v/>
      </c>
      <c r="I54" s="448">
        <f>IF(I49&lt;E49,E49/I49-1,I49/E49-1)</f>
        <v>0.14893617021276606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0</v>
      </c>
      <c r="F55" s="449" t="str">
        <f>IF(OR(E55&gt;=0.3,E55&lt;=-0.3),"超过30%","")</f>
        <v/>
      </c>
      <c r="G55" s="448">
        <f>IF(G48&lt;I48,I48/G48-1,G48/I48-1)</f>
        <v>0.12244897959183665</v>
      </c>
      <c r="H55" s="449" t="str">
        <f>IF(OR(G55&gt;=0.3,G55&lt;=-0.3),"超过30%","")</f>
        <v/>
      </c>
      <c r="I55" s="448">
        <f>IF(I48&lt;E48,E48/I48-1,I48/E48-1)</f>
        <v>0.12244897959183665</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2024-7</v>
      </c>
      <c r="D59" s="1183">
        <f>EDATE(C59,-1)</f>
        <v>45444</v>
      </c>
      <c r="E59" s="1183">
        <f>EDATE(D59,-1)</f>
        <v>45413</v>
      </c>
      <c r="F59" s="1183">
        <f t="shared" ref="F59:O59" si="16">EDATE(E59,-1)</f>
        <v>45383</v>
      </c>
      <c r="G59" s="1183">
        <f t="shared" si="16"/>
        <v>45352</v>
      </c>
      <c r="H59" s="1183">
        <f t="shared" si="16"/>
        <v>45323</v>
      </c>
      <c r="I59" s="1183">
        <f t="shared" si="16"/>
        <v>45292</v>
      </c>
      <c r="J59" s="1183">
        <f t="shared" si="16"/>
        <v>45261</v>
      </c>
      <c r="K59" s="1183">
        <f t="shared" si="16"/>
        <v>45231</v>
      </c>
      <c r="L59" s="1183">
        <f t="shared" si="16"/>
        <v>45200</v>
      </c>
      <c r="M59" s="1183">
        <f t="shared" si="16"/>
        <v>45170</v>
      </c>
      <c r="N59" s="1183">
        <f t="shared" si="16"/>
        <v>45139</v>
      </c>
      <c r="O59" s="1183">
        <f t="shared" si="16"/>
        <v>45108</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5" t="s">
        <v>3400</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56" t="s">
        <v>3402</v>
      </c>
      <c r="D87" s="3456" t="s">
        <v>3403</v>
      </c>
      <c r="E87" s="3456" t="s">
        <v>3404</v>
      </c>
      <c r="F87" s="3456" t="s">
        <v>3405</v>
      </c>
      <c r="G87" s="3456" t="s">
        <v>3406</v>
      </c>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6" t="s">
        <v>3408</v>
      </c>
      <c r="D89" s="3456" t="s">
        <v>3410</v>
      </c>
      <c r="E89" s="3456" t="s">
        <v>3412</v>
      </c>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99</v>
      </c>
      <c r="E90" s="493">
        <f t="shared" ref="E90:M90" si="20">D90-$K27</f>
        <v>98</v>
      </c>
      <c r="F90" s="493">
        <f t="shared" si="20"/>
        <v>97</v>
      </c>
      <c r="G90" s="493">
        <f t="shared" si="20"/>
        <v>96</v>
      </c>
      <c r="H90" s="493">
        <f t="shared" si="20"/>
        <v>95</v>
      </c>
      <c r="I90" s="493">
        <f t="shared" si="20"/>
        <v>94</v>
      </c>
      <c r="J90" s="493">
        <f t="shared" si="20"/>
        <v>93</v>
      </c>
      <c r="K90" s="493">
        <f t="shared" si="20"/>
        <v>92</v>
      </c>
      <c r="L90" s="493">
        <f t="shared" si="20"/>
        <v>91</v>
      </c>
      <c r="M90" s="493">
        <f t="shared" si="20"/>
        <v>90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7" t="s">
        <v>3414</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500(含)-1000</v>
      </c>
      <c r="F103" s="527" t="str">
        <f t="shared" si="23"/>
        <v>1000(含)-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1000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6" t="s">
        <v>3416</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6" t="s">
        <v>3418</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6">D112+$K37</f>
        <v>104</v>
      </c>
      <c r="F112" s="493">
        <f t="shared" si="26"/>
        <v>106</v>
      </c>
      <c r="G112" s="493">
        <f t="shared" si="26"/>
        <v>108</v>
      </c>
      <c r="H112" s="493">
        <f t="shared" si="26"/>
        <v>110</v>
      </c>
      <c r="I112" s="493">
        <f t="shared" si="26"/>
        <v>112</v>
      </c>
      <c r="J112" s="493">
        <f t="shared" si="26"/>
        <v>114</v>
      </c>
      <c r="K112" s="493">
        <f t="shared" si="26"/>
        <v>116</v>
      </c>
      <c r="L112" s="493">
        <f t="shared" si="26"/>
        <v>118</v>
      </c>
      <c r="M112" s="493">
        <f t="shared" si="26"/>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6" t="s">
        <v>3419</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6" t="s">
        <v>3421</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t="s">
        <v>3422</v>
      </c>
      <c r="D117" s="503" t="s">
        <v>3423</v>
      </c>
      <c r="E117" s="503" t="s">
        <v>3424</v>
      </c>
      <c r="F117" s="503" t="s">
        <v>3425</v>
      </c>
      <c r="G117" s="503" t="s">
        <v>3426</v>
      </c>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6" t="s">
        <v>3418</v>
      </c>
      <c r="D123" s="3456" t="s">
        <v>3428</v>
      </c>
      <c r="E123" s="3456" t="s">
        <v>3429</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0" t="s">
        <v>2842</v>
      </c>
      <c r="B1" s="3780"/>
      <c r="C1" s="3780"/>
      <c r="D1" s="3780"/>
      <c r="E1" s="3780"/>
      <c r="F1" s="3780"/>
      <c r="G1" s="3781"/>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8"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9"/>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2" t="s">
        <v>3184</v>
      </c>
      <c r="B1" s="3782"/>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83" t="s">
        <v>3235</v>
      </c>
      <c r="B1" s="3783"/>
      <c r="C1" s="3783"/>
      <c r="D1" s="3783"/>
      <c r="E1" s="3783"/>
      <c r="F1" s="3784"/>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19">
        <f>基准地价修正!G23</f>
        <v>45481</v>
      </c>
      <c r="B1" s="3208" t="s">
        <v>3374</v>
      </c>
      <c r="C1" s="3209"/>
      <c r="D1" s="3209"/>
      <c r="E1" s="3209"/>
      <c r="F1" s="3209"/>
      <c r="G1" s="3209"/>
      <c r="H1" s="3209"/>
      <c r="I1" s="3209"/>
      <c r="J1" s="3163"/>
      <c r="K1" s="3209" t="s">
        <v>454</v>
      </c>
      <c r="L1" s="3209"/>
      <c r="M1" s="3209"/>
      <c r="N1" s="3209"/>
      <c r="O1" s="3209"/>
      <c r="P1" s="3209"/>
      <c r="Q1" s="3163"/>
      <c r="R1" s="3785" t="s">
        <v>456</v>
      </c>
      <c r="S1" s="3786"/>
      <c r="T1" s="3786"/>
      <c r="U1" s="3786"/>
      <c r="V1" s="3786"/>
      <c r="W1" s="3786"/>
      <c r="X1" s="3163"/>
      <c r="Y1" s="3785" t="s">
        <v>457</v>
      </c>
      <c r="Z1" s="3786"/>
      <c r="AA1" s="3786"/>
      <c r="AB1" s="3786"/>
      <c r="AC1" s="3786"/>
      <c r="AD1" s="3786"/>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0.68</v>
      </c>
      <c r="E3" s="3149">
        <f t="shared" ref="E3:H3" si="0">ROUND(AVERAGEIF(E4:E19,"&lt;&gt;0"),2)</f>
        <v>0.4</v>
      </c>
      <c r="F3" s="3149">
        <f t="shared" si="0"/>
        <v>0.17</v>
      </c>
      <c r="G3" s="3149">
        <f t="shared" si="0"/>
        <v>0.74</v>
      </c>
      <c r="H3" s="3149">
        <f t="shared" si="0"/>
        <v>0.62</v>
      </c>
      <c r="I3" s="3149">
        <f>F3</f>
        <v>0.17</v>
      </c>
      <c r="J3" s="3150"/>
      <c r="K3" s="3151">
        <f>ROUND(AVERAGEIF(K4:K19,"&lt;&gt;0"),4)</f>
        <v>6.7999999999999996E-3</v>
      </c>
      <c r="L3" s="3152">
        <f t="shared" ref="L3:O3" si="1">ROUND(AVERAGEIF(L4:L19,"&lt;&gt;0"),4)</f>
        <v>4.0000000000000001E-3</v>
      </c>
      <c r="M3" s="3152">
        <f t="shared" si="1"/>
        <v>1.6999999999999999E-3</v>
      </c>
      <c r="N3" s="3152">
        <f t="shared" si="1"/>
        <v>7.4000000000000003E-3</v>
      </c>
      <c r="O3" s="3152">
        <f t="shared" si="1"/>
        <v>6.1999999999999998E-3</v>
      </c>
      <c r="P3" s="3152">
        <f>M3</f>
        <v>1.6999999999999999E-3</v>
      </c>
      <c r="Q3" s="3150"/>
      <c r="R3" s="3153">
        <f>ROUND(SUMPRODUCT(PRODUCT(1+K4:K19)),4)</f>
        <v>1.0916999999999999</v>
      </c>
      <c r="S3" s="3154">
        <f t="shared" ref="S3:V3" si="2">ROUND(SUMPRODUCT(PRODUCT(1+L4:L19)),4)</f>
        <v>1.0537000000000001</v>
      </c>
      <c r="T3" s="3154">
        <f t="shared" si="2"/>
        <v>1.0224</v>
      </c>
      <c r="U3" s="3154">
        <f t="shared" si="2"/>
        <v>1.1008</v>
      </c>
      <c r="V3" s="3154">
        <f t="shared" si="2"/>
        <v>1.0843</v>
      </c>
      <c r="W3" s="3153">
        <f>T3</f>
        <v>1.0224</v>
      </c>
      <c r="X3" s="3150"/>
      <c r="Y3" s="3155">
        <f>ROUND(AVERAGEIF(Y6:Y19,"&lt;&gt;0"),4)</f>
        <v>8.6999999999999994E-3</v>
      </c>
      <c r="Z3" s="3156">
        <f t="shared" ref="Z3:AC3" si="3">ROUND(AVERAGEIF(Z6:Z19,"&lt;&gt;0"),4)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1.0811999999999999</v>
      </c>
      <c r="S5" s="3181">
        <f>ROUND(IF(项目基本情况!$B$8="出让",SUMPRODUCT(PRODUCT(1+L5:$L$19)),SUMPRODUCT(PRODUCT(1+L5:$L$18))),4)</f>
        <v>1.052</v>
      </c>
      <c r="T5" s="3181">
        <f>ROUND(IF(项目基本情况!$B$8="出让",SUMPRODUCT(PRODUCT(1+M5:$M$19)),SUMPRODUCT(PRODUCT(1+M5:$M$18))),4)</f>
        <v>1.0249999999999999</v>
      </c>
      <c r="U5" s="3181">
        <f>ROUND(IF(项目基本情况!$B$8="出让",SUMPRODUCT(PRODUCT(1+N5:$N$19)),SUMPRODUCT(PRODUCT(1+N5:$N$18))),4)</f>
        <v>1.0888</v>
      </c>
      <c r="V5" s="3181">
        <f>ROUND(IF(项目基本情况!$B$8="出让",SUMPRODUCT(PRODUCT(1+O5:$O$19)),SUMPRODUCT(PRODUCT(1+O5:$O$18))),4)</f>
        <v>1.0804</v>
      </c>
      <c r="W5" s="3181">
        <f>T5</f>
        <v>1.0249999999999999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83" customFormat="1" ht="12.75">
      <c r="A6" s="2203" t="s">
        <v>3377</v>
      </c>
      <c r="B6" s="3175">
        <v>2024</v>
      </c>
      <c r="C6" s="3176">
        <v>2</v>
      </c>
      <c r="D6" s="3177">
        <v>0</v>
      </c>
      <c r="E6" s="3177">
        <v>0</v>
      </c>
      <c r="F6" s="3177">
        <v>0</v>
      </c>
      <c r="G6" s="3177">
        <v>0</v>
      </c>
      <c r="H6" s="3177">
        <v>0</v>
      </c>
      <c r="I6" s="3178">
        <f t="shared" ref="I6:I19" si="15">F6</f>
        <v>0</v>
      </c>
      <c r="J6" s="3179"/>
      <c r="K6" s="3180">
        <f t="shared" ref="K6:O19" si="16">D6/100</f>
        <v>0</v>
      </c>
      <c r="L6" s="3170">
        <f t="shared" si="16"/>
        <v>0</v>
      </c>
      <c r="M6" s="3170">
        <f t="shared" si="16"/>
        <v>0</v>
      </c>
      <c r="N6" s="3170">
        <f t="shared" si="16"/>
        <v>0</v>
      </c>
      <c r="O6" s="3170">
        <f t="shared" si="16"/>
        <v>0</v>
      </c>
      <c r="P6" s="3170">
        <f>M6</f>
        <v>0</v>
      </c>
      <c r="Q6" s="3179"/>
      <c r="R6" s="3181">
        <f>ROUND(IF(项目基本情况!$B$8="出让",SUMPRODUCT(PRODUCT(1+K6:$K$19)),SUMPRODUCT(PRODUCT(1+K6:$K$18))),4)</f>
        <v>1.0811999999999999</v>
      </c>
      <c r="S6" s="3181">
        <f>ROUND(IF(项目基本情况!$B$8="出让",SUMPRODUCT(PRODUCT(1+L6:$L$19)),SUMPRODUCT(PRODUCT(1+L6:$L$18))),4)</f>
        <v>1.052</v>
      </c>
      <c r="T6" s="3181">
        <f>ROUND(IF(项目基本情况!$B$8="出让",SUMPRODUCT(PRODUCT(1+M6:$M$19)),SUMPRODUCT(PRODUCT(1+M6:$M$18))),4)</f>
        <v>1.0249999999999999</v>
      </c>
      <c r="U6" s="3181">
        <f>ROUND(IF(项目基本情况!$B$8="出让",SUMPRODUCT(PRODUCT(1+N6:$N$19)),SUMPRODUCT(PRODUCT(1+N6:$N$18))),4)</f>
        <v>1.0888</v>
      </c>
      <c r="V6" s="3181">
        <f>ROUND(IF(项目基本情况!$B$8="出让",SUMPRODUCT(PRODUCT(1+O6:$O$19)),SUMPRODUCT(PRODUCT(1+O6:$O$18))),4)</f>
        <v>1.0804</v>
      </c>
      <c r="W6" s="3181">
        <f>T6</f>
        <v>1.0249999999999999</v>
      </c>
      <c r="X6" s="3179"/>
      <c r="Y6" s="3182">
        <f>IF(D6=0,0,ROUND(AVERAGE(D6:D19)/100,4))</f>
        <v>0</v>
      </c>
      <c r="Z6" s="3182">
        <f t="shared" ref="Z6:AC6" si="17">IF(E6=0,0,ROUND(AVERAGE(E6:E19)/100,4))</f>
        <v>0</v>
      </c>
      <c r="AA6" s="3182">
        <f t="shared" si="17"/>
        <v>0</v>
      </c>
      <c r="AB6" s="3182">
        <f t="shared" si="17"/>
        <v>0</v>
      </c>
      <c r="AC6" s="3182">
        <f t="shared" si="17"/>
        <v>0</v>
      </c>
      <c r="AD6" s="3182">
        <f t="shared" ref="AD6:AD18" si="18">AA6</f>
        <v>0</v>
      </c>
    </row>
    <row r="7" spans="1:30" s="3193" customFormat="1" ht="12.75">
      <c r="A7" s="3184" t="s">
        <v>3379</v>
      </c>
      <c r="B7" s="3185">
        <v>2024</v>
      </c>
      <c r="C7" s="3186">
        <v>1</v>
      </c>
      <c r="D7" s="3187">
        <v>0.08</v>
      </c>
      <c r="E7" s="3187">
        <v>0.46</v>
      </c>
      <c r="F7" s="3187">
        <v>-0.16</v>
      </c>
      <c r="G7" s="3187">
        <v>0.26</v>
      </c>
      <c r="H7" s="3188">
        <v>0.59</v>
      </c>
      <c r="I7" s="3189">
        <v>0</v>
      </c>
      <c r="J7" s="3190"/>
      <c r="K7" s="3191">
        <f t="shared" ref="K7" si="19">D7/100</f>
        <v>8.0000000000000004E-4</v>
      </c>
      <c r="L7" s="3192">
        <f t="shared" ref="L7" si="20">E7/100</f>
        <v>4.5999999999999999E-3</v>
      </c>
      <c r="M7" s="3192">
        <f t="shared" ref="M7" si="21">F7/100</f>
        <v>-1.6000000000000001E-3</v>
      </c>
      <c r="N7" s="3192">
        <f t="shared" ref="N7" si="22">G7/100</f>
        <v>2.5999999999999999E-3</v>
      </c>
      <c r="O7" s="3192">
        <f t="shared" ref="O7" si="23">H7/100</f>
        <v>5.8999999999999999E-3</v>
      </c>
      <c r="P7" s="3192">
        <f t="shared" ref="P7" si="24">M7</f>
        <v>-1.6000000000000001E-3</v>
      </c>
      <c r="Q7" s="3190"/>
      <c r="R7" s="3190">
        <f>ROUND(IF(项目基本情况!$B$8="出让",SUMPRODUCT(PRODUCT(1+K7:$K$19)),SUMPRODUCT(PRODUCT(1+K7:$K$18))),4)</f>
        <v>1.0811999999999999</v>
      </c>
      <c r="S7" s="3190">
        <f>ROUND(IF(项目基本情况!$B$8="出让",SUMPRODUCT(PRODUCT(1+L7:$L$19)),SUMPRODUCT(PRODUCT(1+L7:$L$18))),4)</f>
        <v>1.052</v>
      </c>
      <c r="T7" s="3190">
        <f>ROUND(IF(项目基本情况!$B$8="出让",SUMPRODUCT(PRODUCT(1+M7:$M$19)),SUMPRODUCT(PRODUCT(1+M7:$M$18))),4)</f>
        <v>1.0249999999999999</v>
      </c>
      <c r="U7" s="3190">
        <f>ROUND(IF(项目基本情况!$B$8="出让",SUMPRODUCT(PRODUCT(1+N7:$N$19)),SUMPRODUCT(PRODUCT(1+N7:$N$18))),4)</f>
        <v>1.0888</v>
      </c>
      <c r="V7" s="3190">
        <f>ROUND(IF(项目基本情况!$B$8="出让",SUMPRODUCT(PRODUCT(1+O7:$O$19)),SUMPRODUCT(PRODUCT(1+O7:$O$18))),4)</f>
        <v>1.0804</v>
      </c>
      <c r="W7" s="3190">
        <f t="shared" ref="W7" si="25">T7</f>
        <v>1.0249999999999999</v>
      </c>
      <c r="X7" s="3190"/>
      <c r="Y7" s="3192"/>
      <c r="Z7" s="3192"/>
      <c r="AA7" s="3192"/>
      <c r="AB7" s="3192"/>
      <c r="AC7" s="3192"/>
      <c r="AD7" s="3192"/>
    </row>
    <row r="8" spans="1:30" s="3183" customFormat="1" ht="12.75">
      <c r="A8" s="3174" t="s">
        <v>3380</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3378</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85" t="s">
        <v>2830</v>
      </c>
      <c r="S24" s="3786"/>
      <c r="T24" s="3786"/>
      <c r="U24" s="3786"/>
      <c r="V24" s="3786"/>
      <c r="W24" s="3786"/>
      <c r="X24" s="3163"/>
      <c r="Y24" s="3785" t="s">
        <v>2831</v>
      </c>
      <c r="Z24" s="3786"/>
      <c r="AA24" s="3786"/>
      <c r="AB24" s="3786"/>
      <c r="AC24" s="3786"/>
      <c r="AD24" s="3786"/>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0.38</v>
      </c>
      <c r="F26" s="3149">
        <f t="shared" si="43"/>
        <v>0.28999999999999998</v>
      </c>
      <c r="G26" s="3149">
        <f t="shared" si="43"/>
        <v>0.56999999999999995</v>
      </c>
      <c r="H26" s="3149"/>
      <c r="I26" s="3149">
        <f>F26</f>
        <v>0.28999999999999998</v>
      </c>
      <c r="J26" s="3150"/>
      <c r="K26" s="3151"/>
      <c r="L26" s="3152">
        <f t="shared" ref="L26:N26" si="44">ROUND(AVERAGEIF(L27:L42,"&lt;&gt;0"),4)</f>
        <v>3.8E-3</v>
      </c>
      <c r="M26" s="3152">
        <f t="shared" si="44"/>
        <v>2.8999999999999998E-3</v>
      </c>
      <c r="N26" s="3152">
        <f t="shared" si="44"/>
        <v>5.7000000000000002E-3</v>
      </c>
      <c r="O26" s="3152"/>
      <c r="P26" s="3152">
        <f>M26</f>
        <v>2.8999999999999998E-3</v>
      </c>
      <c r="Q26" s="3150"/>
      <c r="R26" s="3153"/>
      <c r="S26" s="3154">
        <f>ROUND(SUMPRODUCT(PRODUCT(1+L27:L42)),4)</f>
        <v>1.0502</v>
      </c>
      <c r="T26" s="3154">
        <f t="shared" ref="T26:U26" si="45">ROUND(SUMPRODUCT(PRODUCT(1+M27:M42)),4)</f>
        <v>1.0387999999999999</v>
      </c>
      <c r="U26" s="3154">
        <f t="shared" si="45"/>
        <v>1.0763</v>
      </c>
      <c r="V26" s="3154"/>
      <c r="W26" s="3153">
        <f>T26</f>
        <v>1.0387999999999999</v>
      </c>
      <c r="X26" s="3150"/>
      <c r="Y26" s="3155"/>
      <c r="Z26" s="3156">
        <f t="shared" ref="Z26:AB26" si="46">ROUND(AVERAGEIF(Z27:Z42,"&lt;&gt;0"),4)</f>
        <v>4.3E-3</v>
      </c>
      <c r="AA26" s="3157">
        <f t="shared" si="46"/>
        <v>3.5999999999999999E-3</v>
      </c>
      <c r="AB26" s="3155">
        <f t="shared" si="46"/>
        <v>8.8999999999999999E-3</v>
      </c>
      <c r="AC26" s="3158"/>
      <c r="AD26" s="3155">
        <f>AA26</f>
        <v>3.5999999999999999E-3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3382</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1.0465</v>
      </c>
      <c r="T28" s="3181">
        <f>ROUND(IF(项目基本情况!$B$8="出让",SUMPRODUCT(PRODUCT(1+M28:M$42)),SUMPRODUCT(PRODUCT(1+M28:M$41))),4)</f>
        <v>1.0338000000000001</v>
      </c>
      <c r="U28" s="3181">
        <f>ROUND(IF(项目基本情况!$B$8="出让",SUMPRODUCT(PRODUCT(1+N28:N$42)),SUMPRODUCT(PRODUCT(1+N28:N$41))),4)</f>
        <v>1.0659000000000001</v>
      </c>
      <c r="V28" s="3181"/>
      <c r="W28" s="3181">
        <f>T28</f>
        <v>1.0338000000000001</v>
      </c>
      <c r="X28" s="3179"/>
      <c r="Y28" s="3182"/>
      <c r="Z28" s="3210">
        <f t="shared" ref="Z28:AB29" si="51">IF(E28=0,0,ROUND(AVERAGE(E28:E41)/100,4))</f>
        <v>0</v>
      </c>
      <c r="AA28" s="3210">
        <f t="shared" si="51"/>
        <v>0</v>
      </c>
      <c r="AB28" s="3210">
        <f t="shared" si="51"/>
        <v>0</v>
      </c>
      <c r="AC28" s="3211"/>
      <c r="AD28" s="3182">
        <f>IF(I28=0,0,ROUND(AVERAGE(I28:I41)/100,4))</f>
        <v>0</v>
      </c>
    </row>
    <row r="29" spans="1:30" s="3183" customFormat="1" ht="12.75">
      <c r="A29" s="2203" t="s">
        <v>3377</v>
      </c>
      <c r="B29" s="3175">
        <v>2024</v>
      </c>
      <c r="C29" s="3176">
        <v>2</v>
      </c>
      <c r="D29" s="3177"/>
      <c r="E29" s="3177">
        <v>0</v>
      </c>
      <c r="F29" s="3177">
        <v>0</v>
      </c>
      <c r="G29" s="3177">
        <v>0</v>
      </c>
      <c r="H29" s="3177"/>
      <c r="I29" s="3178">
        <f t="shared" ref="I29:I42" si="52">F29</f>
        <v>0</v>
      </c>
      <c r="J29" s="3179"/>
      <c r="K29" s="3180"/>
      <c r="L29" s="3170">
        <f t="shared" ref="L29:N42" si="53">E29/100</f>
        <v>0</v>
      </c>
      <c r="M29" s="3170">
        <f t="shared" si="53"/>
        <v>0</v>
      </c>
      <c r="N29" s="3170">
        <f t="shared" si="53"/>
        <v>0</v>
      </c>
      <c r="O29" s="3170"/>
      <c r="P29" s="3170">
        <f>M29</f>
        <v>0</v>
      </c>
      <c r="Q29" s="3179"/>
      <c r="R29" s="3181"/>
      <c r="S29" s="3181">
        <f>ROUND(IF(项目基本情况!$B$8="出让",SUMPRODUCT(PRODUCT(1+L29:L$42)),SUMPRODUCT(PRODUCT(1+L29:L$41))),4)</f>
        <v>1.0465</v>
      </c>
      <c r="T29" s="3181">
        <f>ROUND(IF(项目基本情况!$B$8="出让",SUMPRODUCT(PRODUCT(1+M29:M$42)),SUMPRODUCT(PRODUCT(1+M29:M$41))),4)</f>
        <v>1.0338000000000001</v>
      </c>
      <c r="U29" s="3181">
        <f>ROUND(IF(项目基本情况!$B$8="出让",SUMPRODUCT(PRODUCT(1+N29:N$42)),SUMPRODUCT(PRODUCT(1+N29:N$41))),4)</f>
        <v>1.0659000000000001</v>
      </c>
      <c r="V29" s="3181"/>
      <c r="W29" s="3181">
        <f>T29</f>
        <v>1.0338000000000001</v>
      </c>
      <c r="X29" s="3179"/>
      <c r="Y29" s="3182"/>
      <c r="Z29" s="3210">
        <f t="shared" si="51"/>
        <v>0</v>
      </c>
      <c r="AA29" s="3210">
        <f t="shared" si="51"/>
        <v>0</v>
      </c>
      <c r="AB29" s="3210">
        <f t="shared" si="51"/>
        <v>0</v>
      </c>
      <c r="AC29" s="3211"/>
      <c r="AD29" s="3182">
        <f>IF(I29=0,0,ROUND(AVERAGE(I29:I42)/100,4))</f>
        <v>0</v>
      </c>
    </row>
    <row r="30" spans="1:30" s="3193" customFormat="1" ht="12.75">
      <c r="A30" s="3184" t="s">
        <v>3379</v>
      </c>
      <c r="B30" s="3185">
        <v>2024</v>
      </c>
      <c r="C30" s="3186">
        <v>1</v>
      </c>
      <c r="D30" s="3187"/>
      <c r="E30" s="3187">
        <v>0.25</v>
      </c>
      <c r="F30" s="3187">
        <v>0.4</v>
      </c>
      <c r="G30" s="3187">
        <v>-0.63</v>
      </c>
      <c r="H30" s="3188"/>
      <c r="I30" s="3189">
        <f t="shared" ref="I30:I31" si="54">F30</f>
        <v>0.4</v>
      </c>
      <c r="J30" s="3190"/>
      <c r="K30" s="3191"/>
      <c r="L30" s="3192">
        <f t="shared" ref="L30" si="55">E30/100</f>
        <v>2.5000000000000001E-3</v>
      </c>
      <c r="M30" s="3192">
        <f t="shared" ref="M30" si="56">F30/100</f>
        <v>4.0000000000000001E-3</v>
      </c>
      <c r="N30" s="3192">
        <f t="shared" ref="N30" si="57">G30/100</f>
        <v>-6.3E-3</v>
      </c>
      <c r="O30" s="3192"/>
      <c r="P30" s="3192">
        <f t="shared" ref="P30" si="58">M30</f>
        <v>4.0000000000000001E-3</v>
      </c>
      <c r="Q30" s="3190"/>
      <c r="R30" s="3190"/>
      <c r="S30" s="3190">
        <f>ROUND(IF(项目基本情况!$B$8="出让",SUMPRODUCT(PRODUCT(1+L30:L$42)),SUMPRODUCT(PRODUCT(1+L30:L$41))),4)</f>
        <v>1.0465</v>
      </c>
      <c r="T30" s="3190">
        <f>ROUND(IF(项目基本情况!$B$8="出让",SUMPRODUCT(PRODUCT(1+M30:M$42)),SUMPRODUCT(PRODUCT(1+M30:M$41))),4)</f>
        <v>1.0338000000000001</v>
      </c>
      <c r="U30" s="3190">
        <f>ROUND(IF(项目基本情况!$B$8="出让",SUMPRODUCT(PRODUCT(1+N30:N$42)),SUMPRODUCT(PRODUCT(1+N30:N$41))),4)</f>
        <v>1.0659000000000001</v>
      </c>
      <c r="V30" s="3190"/>
      <c r="W30" s="3190">
        <f t="shared" ref="W30" si="59">T30</f>
        <v>1.0338000000000001</v>
      </c>
      <c r="X30" s="3190"/>
      <c r="Y30" s="3192"/>
      <c r="Z30" s="3213"/>
      <c r="AA30" s="3214"/>
      <c r="AB30" s="3192"/>
      <c r="AC30" s="3215"/>
      <c r="AD30" s="3192"/>
    </row>
    <row r="31" spans="1:30" s="3183" customFormat="1" ht="12.75">
      <c r="A31" s="3174" t="s">
        <v>3381</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3378</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2" t="s">
        <v>452</v>
      </c>
      <c r="C1" s="3792"/>
      <c r="D1" s="3792"/>
      <c r="E1" s="3792"/>
      <c r="F1" s="3792"/>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45481</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7" t="str">
        <f>IF(项目基本情况!B9="房地产市场价值","估价结果一览表","结果表-2")</f>
        <v>估价结果一览表</v>
      </c>
      <c r="B1" s="3477"/>
      <c r="C1" s="3477"/>
      <c r="D1" s="3477"/>
      <c r="E1" s="3477"/>
      <c r="F1" s="3477"/>
      <c r="G1" s="3477"/>
      <c r="H1" s="3477"/>
      <c r="I1" s="3477"/>
    </row>
    <row r="2" spans="1:9" ht="30" customHeight="1" thickTop="1">
      <c r="A2" s="3478" t="s">
        <v>928</v>
      </c>
      <c r="B2" s="3478" t="s">
        <v>929</v>
      </c>
      <c r="C2" s="3478" t="s">
        <v>930</v>
      </c>
      <c r="D2" s="3478" t="str">
        <f>结果表!D116</f>
        <v>出让国有建设用地使用权价值</v>
      </c>
      <c r="E2" s="3478"/>
      <c r="F2" s="3478" t="str">
        <f>结果表!F116</f>
        <v>在建建筑物价值</v>
      </c>
      <c r="G2" s="3478"/>
      <c r="H2" s="3478" t="str">
        <f>IF(项目基本情况!B9="房地产市场价值","房地产市场价值","房地产价值")</f>
        <v>房地产市场价值</v>
      </c>
      <c r="I2" s="3478"/>
    </row>
    <row r="3" spans="1:9" ht="15">
      <c r="A3" s="3473"/>
      <c r="B3" s="3473"/>
      <c r="C3" s="3473"/>
      <c r="D3" s="852" t="s">
        <v>925</v>
      </c>
      <c r="E3" s="852" t="s">
        <v>931</v>
      </c>
      <c r="F3" s="852" t="s">
        <v>925</v>
      </c>
      <c r="G3" s="852" t="s">
        <v>926</v>
      </c>
      <c r="H3" s="852" t="s">
        <v>925</v>
      </c>
      <c r="I3" s="852" t="s">
        <v>926</v>
      </c>
    </row>
    <row r="4" spans="1:9" ht="15">
      <c r="A4" s="1503" t="str">
        <f>项目基本情况!S2</f>
        <v>北京市房地产</v>
      </c>
      <c r="B4" s="852">
        <f>项目基本情况!C17</f>
        <v>892.35</v>
      </c>
      <c r="C4" s="852">
        <f>项目基本情况!C18</f>
        <v>0</v>
      </c>
      <c r="D4" s="852">
        <f ca="1">结果表!D118</f>
        <v>2013</v>
      </c>
      <c r="E4" s="852">
        <f ca="1">结果表!E118</f>
        <v>22563</v>
      </c>
      <c r="F4" s="852">
        <f ca="1">结果表!F118</f>
        <v>704</v>
      </c>
      <c r="G4" s="852">
        <f ca="1">结果表!G118</f>
        <v>7887</v>
      </c>
      <c r="H4" s="852">
        <f ca="1">结果表!H118</f>
        <v>2717</v>
      </c>
      <c r="I4" s="852">
        <f ca="1">结果表!I118</f>
        <v>30450</v>
      </c>
    </row>
    <row r="5" spans="1:9" ht="30" customHeight="1">
      <c r="A5" s="3473" t="s">
        <v>927</v>
      </c>
      <c r="B5" s="3473"/>
      <c r="C5" s="3473"/>
      <c r="D5" s="3473" t="str">
        <f ca="1">结果表!D119</f>
        <v>贰仟零壹拾叁万元整</v>
      </c>
      <c r="E5" s="3473"/>
      <c r="F5" s="3473" t="str">
        <f ca="1">结果表!F119</f>
        <v>柒佰零肆万元整</v>
      </c>
      <c r="G5" s="3473"/>
      <c r="H5" s="3473" t="str">
        <f ca="1">结果表!H119</f>
        <v>贰仟柒佰壹拾柒万元整</v>
      </c>
      <c r="I5" s="3473"/>
    </row>
    <row r="6" spans="1:9" ht="15.75">
      <c r="A6" s="3472" t="str">
        <f>结果表!A120</f>
        <v/>
      </c>
      <c r="B6" s="3472"/>
      <c r="C6" s="3472"/>
      <c r="D6" s="3472">
        <f>结果表!D120</f>
        <v>0</v>
      </c>
      <c r="E6" s="3472"/>
      <c r="F6" s="3472"/>
      <c r="G6" s="3472"/>
      <c r="H6" s="3472"/>
      <c r="I6" s="3472"/>
    </row>
    <row r="7" spans="1:9" ht="15">
      <c r="A7" s="3473" t="s">
        <v>927</v>
      </c>
      <c r="B7" s="3473"/>
      <c r="C7" s="3473"/>
      <c r="D7" s="3474" t="str">
        <f>结果表!D121</f>
        <v>零元整</v>
      </c>
      <c r="E7" s="3475"/>
      <c r="F7" s="3475"/>
      <c r="G7" s="3475"/>
      <c r="H7" s="3475"/>
      <c r="I7" s="3476"/>
    </row>
    <row r="8" spans="1:9" ht="15.75">
      <c r="A8" s="3472" t="str">
        <f>结果表!A122</f>
        <v/>
      </c>
      <c r="B8" s="3472"/>
      <c r="C8" s="3472"/>
      <c r="D8" s="3472">
        <f ca="1">结果表!D122</f>
        <v>2717</v>
      </c>
      <c r="E8" s="3472"/>
      <c r="F8" s="3472"/>
      <c r="G8" s="3472"/>
      <c r="H8" s="3472"/>
      <c r="I8" s="3472"/>
    </row>
    <row r="9" spans="1:9" ht="15">
      <c r="A9" s="3473" t="s">
        <v>927</v>
      </c>
      <c r="B9" s="3473"/>
      <c r="C9" s="3473"/>
      <c r="D9" s="3473" t="str">
        <f ca="1">结果表!D123</f>
        <v>贰仟柒佰壹拾柒万元整</v>
      </c>
      <c r="E9" s="3473"/>
      <c r="F9" s="3473"/>
      <c r="G9" s="3473"/>
      <c r="H9" s="3473"/>
      <c r="I9" s="3473"/>
    </row>
    <row r="10" spans="1:9" ht="15.75">
      <c r="A10" s="3472" t="str">
        <f>结果表!A124</f>
        <v/>
      </c>
      <c r="B10" s="3472"/>
      <c r="C10" s="3472"/>
      <c r="D10" s="3472" t="str">
        <f>结果表!D124</f>
        <v>——</v>
      </c>
      <c r="E10" s="3472"/>
      <c r="F10" s="3472"/>
      <c r="G10" s="3472"/>
      <c r="H10" s="3472"/>
      <c r="I10" s="3472"/>
    </row>
    <row r="11" spans="1:9" ht="15">
      <c r="A11" s="3473" t="s">
        <v>927</v>
      </c>
      <c r="B11" s="3473"/>
      <c r="C11" s="3473"/>
      <c r="D11" s="3473" t="e">
        <f>结果表!D125</f>
        <v>#VALUE!</v>
      </c>
      <c r="E11" s="3473"/>
      <c r="F11" s="3473"/>
      <c r="G11" s="3473"/>
      <c r="H11" s="3473"/>
      <c r="I11" s="3473"/>
    </row>
    <row r="12" spans="1:9" ht="15.75">
      <c r="A12" s="3472" t="str">
        <f>结果表!A126</f>
        <v/>
      </c>
      <c r="B12" s="3472"/>
      <c r="C12" s="3472"/>
      <c r="D12" s="3472" t="str">
        <f>结果表!D126</f>
        <v>——</v>
      </c>
      <c r="E12" s="3472"/>
      <c r="F12" s="3472"/>
      <c r="G12" s="3472"/>
      <c r="H12" s="3472"/>
      <c r="I12" s="3472"/>
    </row>
    <row r="13" spans="1:9" ht="15.75" thickBot="1">
      <c r="A13" s="3470" t="s">
        <v>927</v>
      </c>
      <c r="B13" s="3470"/>
      <c r="C13" s="3470"/>
      <c r="D13" s="3470" t="e">
        <f>结果表!D127</f>
        <v>#VALUE!</v>
      </c>
      <c r="E13" s="3470"/>
      <c r="F13" s="3470"/>
      <c r="G13" s="3470"/>
      <c r="H13" s="3470"/>
      <c r="I13" s="3470"/>
    </row>
    <row r="14" spans="1:9" ht="15" thickTop="1">
      <c r="A14" s="3471" t="s">
        <v>932</v>
      </c>
      <c r="B14" s="3471"/>
      <c r="C14" s="3471"/>
      <c r="D14" s="3471"/>
      <c r="E14" s="3471"/>
      <c r="F14" s="3471"/>
      <c r="G14" s="3471"/>
      <c r="H14" s="3471"/>
      <c r="I14" s="3471"/>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5" t="s">
        <v>949</v>
      </c>
      <c r="B1" s="3485"/>
      <c r="C1" s="3485"/>
      <c r="D1" s="3485"/>
    </row>
    <row r="2" spans="1:4" ht="18">
      <c r="A2" s="3486" t="s">
        <v>933</v>
      </c>
      <c r="B2" s="3486"/>
      <c r="C2" s="3486"/>
      <c r="D2" s="3486"/>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6" t="s">
        <v>939</v>
      </c>
      <c r="B6" s="3486"/>
      <c r="C6" s="3486"/>
      <c r="D6" s="3486"/>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7" t="s">
        <v>942</v>
      </c>
      <c r="B11" s="3479"/>
      <c r="C11" s="3479"/>
      <c r="D11" s="3479"/>
    </row>
    <row r="12" spans="1:4" ht="15.75">
      <c r="A12" s="347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79" t="str">
        <f>IF(项目基本情况!B8="抵押","3.抵押双方在办理抵押登记手续时，应使用本公司出具的正式《房地产评估报告》，特提醒报告使用者注意。","——")</f>
        <v>——</v>
      </c>
      <c r="B13" s="3484"/>
      <c r="C13" s="3484"/>
      <c r="D13" s="3484"/>
    </row>
    <row r="14" spans="1:4" ht="15.75" customHeight="1">
      <c r="A14" s="3479" t="str">
        <f>IF(项目基本情况!B8="抵押","4.本次评估估价师所知悉的法定优先受偿款情况说明如下：","——")</f>
        <v>——</v>
      </c>
      <c r="B14" s="3484"/>
      <c r="C14" s="3484"/>
      <c r="D14" s="3484"/>
    </row>
    <row r="15" spans="1:4" ht="42" customHeight="1">
      <c r="A15" s="3479" t="str">
        <f>IF(项目基本情况!B8="抵押","（1）"&amp;CONCATENATE(项目基本情况!L20,项目基本情况!L21,项目基本情况!L22),"——")</f>
        <v>——</v>
      </c>
      <c r="B15" s="3479"/>
      <c r="C15" s="3479"/>
      <c r="D15" s="3479"/>
    </row>
    <row r="16" spans="1:4" ht="30" customHeight="1">
      <c r="A16" s="3481" t="s">
        <v>943</v>
      </c>
      <c r="B16" s="3481"/>
      <c r="C16" s="3481"/>
      <c r="D16" s="3481"/>
    </row>
    <row r="17" spans="1:4" ht="144" customHeight="1">
      <c r="A17" s="3481" t="s">
        <v>944</v>
      </c>
      <c r="B17" s="3481"/>
      <c r="C17" s="3481"/>
      <c r="D17" s="3481"/>
    </row>
    <row r="18" spans="1:4" ht="15.75" customHeight="1">
      <c r="A18" s="3479" t="str">
        <f>IF(项目基本情况!B8="抵押",结果表!K120,"——")</f>
        <v>——</v>
      </c>
      <c r="B18" s="3479"/>
      <c r="C18" s="3479"/>
      <c r="D18" s="3479"/>
    </row>
    <row r="19" spans="1:4" ht="46.5" customHeight="1">
      <c r="A19" s="347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9"/>
      <c r="C19" s="3479"/>
      <c r="D19" s="3479"/>
    </row>
    <row r="20" spans="1:4" ht="57.75" customHeight="1">
      <c r="A20" s="347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9"/>
      <c r="C20" s="3479"/>
      <c r="D20" s="3479"/>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3" t="s">
        <v>956</v>
      </c>
      <c r="B15" s="3488" t="s">
        <v>109</v>
      </c>
      <c r="C15" s="3489"/>
    </row>
    <row r="16" spans="1:7" ht="13.5">
      <c r="A16" s="3494"/>
      <c r="B16" s="3488" t="s">
        <v>42</v>
      </c>
      <c r="C16" s="3489"/>
    </row>
    <row r="17" spans="1:3" ht="13.5">
      <c r="A17" s="3494"/>
      <c r="B17" s="3491" t="s">
        <v>957</v>
      </c>
      <c r="C17" s="1530" t="s">
        <v>956</v>
      </c>
    </row>
    <row r="18" spans="1:3" ht="13.5">
      <c r="A18" s="3494"/>
      <c r="B18" s="3491"/>
      <c r="C18" s="1530" t="s">
        <v>958</v>
      </c>
    </row>
    <row r="19" spans="1:3" ht="13.5">
      <c r="A19" s="3494"/>
      <c r="B19" s="3491"/>
      <c r="C19" s="1530" t="s">
        <v>959</v>
      </c>
    </row>
    <row r="20" spans="1:3" ht="13.5">
      <c r="A20" s="3495"/>
      <c r="B20" s="3490" t="s">
        <v>960</v>
      </c>
      <c r="C20" s="3489"/>
    </row>
    <row r="21" spans="1:3" ht="13.5">
      <c r="A21" s="1531" t="s">
        <v>961</v>
      </c>
      <c r="B21" s="1532"/>
      <c r="C21" s="1533"/>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0" t="s">
        <v>967</v>
      </c>
    </row>
    <row r="26" spans="1:3" ht="13.5">
      <c r="A26" s="3492"/>
      <c r="B26" s="3491"/>
      <c r="C26" s="1530" t="s">
        <v>968</v>
      </c>
    </row>
    <row r="27" spans="1:3" ht="13.5">
      <c r="A27" s="3492"/>
      <c r="B27" s="3491"/>
      <c r="C27" s="1530" t="s">
        <v>969</v>
      </c>
    </row>
    <row r="28" spans="1:3" ht="13.5">
      <c r="A28" s="3492"/>
      <c r="B28" s="3491"/>
      <c r="C28" s="1530" t="s">
        <v>970</v>
      </c>
    </row>
    <row r="29" spans="1:3" ht="13.5">
      <c r="A29" s="3492"/>
      <c r="B29" s="3491"/>
      <c r="C29" s="1530" t="s">
        <v>971</v>
      </c>
    </row>
    <row r="30" spans="1:3" ht="13.5">
      <c r="A30" s="3492"/>
      <c r="B30" s="3491"/>
      <c r="C30" s="1530" t="s">
        <v>972</v>
      </c>
    </row>
    <row r="31" spans="1:3" ht="13.5">
      <c r="A31" s="3492"/>
      <c r="B31" s="3491"/>
      <c r="C31" s="1530" t="s">
        <v>973</v>
      </c>
    </row>
    <row r="32" spans="1:3" ht="13.5">
      <c r="A32" s="3492"/>
      <c r="B32" s="3491"/>
      <c r="C32" s="1530" t="s">
        <v>974</v>
      </c>
    </row>
    <row r="33" spans="1:3" ht="13.5">
      <c r="A33" s="3492"/>
      <c r="B33" s="3491"/>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45484</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6" t="s">
        <v>2159</v>
      </c>
      <c r="B17" s="3496"/>
      <c r="C17" s="3496"/>
      <c r="D17" s="3496"/>
      <c r="E17" s="3496"/>
      <c r="F17" s="3496"/>
      <c r="G17" s="3496"/>
      <c r="H17" s="3496"/>
    </row>
    <row r="18" spans="1:8" ht="24" customHeight="1">
      <c r="A18" s="3497" t="s">
        <v>2160</v>
      </c>
      <c r="B18" s="3497"/>
      <c r="C18" s="3497"/>
      <c r="D18" s="2341"/>
      <c r="E18" s="3498" t="s">
        <v>2161</v>
      </c>
      <c r="F18" s="3497"/>
      <c r="G18" s="3497"/>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Sheet1</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2024-07-11T07:17:15Z</dcterms:modified>
</cp:coreProperties>
</file>