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基准地价（汇总）" sheetId="76" state="hidden" r:id="rId34"/>
    <sheet name="Sheet1" sheetId="80" r:id="rId35"/>
    <sheet name="基准地价修正" sheetId="43" r:id="rId36"/>
    <sheet name="修正" sheetId="45" state="hidden" r:id="rId37"/>
    <sheet name="容积率修正" sheetId="46" state="hidden" r:id="rId38"/>
    <sheet name="成本法（废）" sheetId="11" state="hidden" r:id="rId39"/>
    <sheet name="比较法-办公" sheetId="34"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9"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B14" i="74" l="1"/>
  <c r="E105" i="34"/>
  <c r="F105" i="34"/>
  <c r="G105" i="34"/>
  <c r="H105" i="34" s="1"/>
  <c r="D105" i="34"/>
  <c r="M15" i="80"/>
  <c r="I40" i="80"/>
  <c r="C6" i="69"/>
  <c r="B26" i="31"/>
  <c r="B27" i="31"/>
  <c r="B28" i="31"/>
  <c r="B29" i="31"/>
  <c r="B30" i="31"/>
  <c r="B31" i="31"/>
  <c r="B32" i="31"/>
  <c r="B33" i="31"/>
  <c r="B34" i="31"/>
  <c r="B35" i="31"/>
  <c r="B36" i="31"/>
  <c r="B37" i="31"/>
  <c r="B38" i="31"/>
  <c r="B39" i="31"/>
  <c r="A38" i="31"/>
  <c r="A39" i="31"/>
  <c r="A36" i="31"/>
  <c r="A37" i="31"/>
  <c r="A26" i="31"/>
  <c r="A27" i="31"/>
  <c r="A28" i="31"/>
  <c r="A29" i="31"/>
  <c r="A30" i="31"/>
  <c r="A31" i="31"/>
  <c r="A32" i="31"/>
  <c r="A33" i="31"/>
  <c r="A34" i="31"/>
  <c r="A35" i="31"/>
  <c r="B25" i="31"/>
  <c r="A25" i="31"/>
  <c r="B24" i="31"/>
  <c r="A24" i="31"/>
  <c r="D33" i="43"/>
  <c r="I37" i="34" l="1"/>
  <c r="G37" i="34"/>
  <c r="E37" i="34"/>
  <c r="C34" i="34"/>
  <c r="B29" i="1"/>
  <c r="N6" i="1"/>
  <c r="Y6" i="1" s="1"/>
  <c r="F19" i="6"/>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R41" i="31"/>
  <c r="S41" i="31" s="1"/>
  <c r="R42" i="31"/>
  <c r="R43" i="31"/>
  <c r="S43" i="31" s="1"/>
  <c r="R44" i="31"/>
  <c r="R45" i="31"/>
  <c r="S45" i="31" s="1"/>
  <c r="R46" i="31"/>
  <c r="R47" i="31"/>
  <c r="S47" i="31" s="1"/>
  <c r="R48" i="31"/>
  <c r="R49" i="3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R445" i="31"/>
  <c r="R446" i="31"/>
  <c r="R447" i="31"/>
  <c r="S447" i="31" s="1"/>
  <c r="R448" i="31"/>
  <c r="R449" i="31"/>
  <c r="R450" i="31"/>
  <c r="R451" i="31"/>
  <c r="S451" i="31" s="1"/>
  <c r="R452" i="31"/>
  <c r="S452" i="31" s="1"/>
  <c r="R453" i="31"/>
  <c r="R454" i="31"/>
  <c r="R455" i="31"/>
  <c r="S455" i="31" s="1"/>
  <c r="R456" i="31"/>
  <c r="S456" i="31" s="1"/>
  <c r="R457" i="31"/>
  <c r="R458" i="31"/>
  <c r="R459" i="31"/>
  <c r="S459" i="31" s="1"/>
  <c r="R460" i="31"/>
  <c r="R461" i="31"/>
  <c r="R462" i="31"/>
  <c r="R463" i="31"/>
  <c r="S463" i="31" s="1"/>
  <c r="R464" i="31"/>
  <c r="S464" i="31" s="1"/>
  <c r="R465" i="31"/>
  <c r="R466" i="31"/>
  <c r="R467" i="31"/>
  <c r="S467" i="31" s="1"/>
  <c r="R468" i="31"/>
  <c r="S468" i="31" s="1"/>
  <c r="R469" i="31"/>
  <c r="R470" i="31"/>
  <c r="R471" i="31"/>
  <c r="S471" i="31" s="1"/>
  <c r="R472" i="31"/>
  <c r="R473" i="31"/>
  <c r="R474" i="31"/>
  <c r="R475" i="31"/>
  <c r="S475" i="31" s="1"/>
  <c r="R476" i="31"/>
  <c r="S476" i="31" s="1"/>
  <c r="R477" i="31"/>
  <c r="R478" i="31"/>
  <c r="R479" i="31"/>
  <c r="S479" i="31" s="1"/>
  <c r="R480" i="31"/>
  <c r="S480" i="31" s="1"/>
  <c r="R481" i="31"/>
  <c r="R482" i="31"/>
  <c r="R483" i="31"/>
  <c r="S483" i="31" s="1"/>
  <c r="R484" i="31"/>
  <c r="S484" i="31" s="1"/>
  <c r="R485" i="31"/>
  <c r="R486" i="31"/>
  <c r="R487" i="31"/>
  <c r="S487" i="31" s="1"/>
  <c r="R488" i="31"/>
  <c r="R489" i="31"/>
  <c r="R490" i="31"/>
  <c r="R491" i="31"/>
  <c r="S491" i="31" s="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R508" i="31"/>
  <c r="S508" i="31" s="1"/>
  <c r="R509" i="31"/>
  <c r="R510" i="31"/>
  <c r="R511" i="31"/>
  <c r="R512" i="31"/>
  <c r="S512" i="31" s="1"/>
  <c r="R513" i="31"/>
  <c r="R514" i="31"/>
  <c r="R515" i="31"/>
  <c r="S515" i="31" s="1"/>
  <c r="R516" i="3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58" i="31"/>
  <c r="S354" i="31"/>
  <c r="S350" i="31"/>
  <c r="S346" i="31"/>
  <c r="S342" i="31"/>
  <c r="S338" i="31"/>
  <c r="S334" i="31"/>
  <c r="S330" i="31"/>
  <c r="S326" i="31"/>
  <c r="S322" i="31"/>
  <c r="S318" i="31"/>
  <c r="S316" i="31"/>
  <c r="S314" i="31"/>
  <c r="S310" i="31"/>
  <c r="S308" i="31"/>
  <c r="S306" i="31"/>
  <c r="S302" i="31"/>
  <c r="S300" i="31"/>
  <c r="S298" i="31"/>
  <c r="S294" i="31"/>
  <c r="S292" i="31"/>
  <c r="S290" i="31"/>
  <c r="S288" i="31"/>
  <c r="S286" i="31"/>
  <c r="S284" i="31"/>
  <c r="S280" i="31"/>
  <c r="S276" i="31"/>
  <c r="S274" i="31"/>
  <c r="S272" i="31"/>
  <c r="S270" i="31"/>
  <c r="S268" i="31"/>
  <c r="S266" i="31"/>
  <c r="S264" i="31"/>
  <c r="S262" i="31"/>
  <c r="S260" i="31"/>
  <c r="S258" i="31"/>
  <c r="S256" i="31"/>
  <c r="S254" i="31"/>
  <c r="S252" i="31"/>
  <c r="S250" i="31"/>
  <c r="S248" i="31"/>
  <c r="S246" i="31"/>
  <c r="S244" i="31"/>
  <c r="S242" i="31"/>
  <c r="S241" i="31"/>
  <c r="S240" i="31"/>
  <c r="S238" i="31"/>
  <c r="S236" i="31"/>
  <c r="S234" i="31"/>
  <c r="S232" i="31"/>
  <c r="S230" i="31"/>
  <c r="S228" i="31"/>
  <c r="S226" i="31"/>
  <c r="S225" i="31"/>
  <c r="S224" i="31"/>
  <c r="S429" i="31"/>
  <c r="S426" i="31"/>
  <c r="S425"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7" i="31"/>
  <c r="S494" i="31"/>
  <c r="S493" i="31"/>
  <c r="S490" i="31"/>
  <c r="S489" i="31"/>
  <c r="S488" i="31"/>
  <c r="S486" i="31"/>
  <c r="S485" i="31"/>
  <c r="S482" i="31"/>
  <c r="S481" i="31"/>
  <c r="S478" i="31"/>
  <c r="S477" i="31"/>
  <c r="S474" i="31"/>
  <c r="S473" i="31"/>
  <c r="S472" i="31"/>
  <c r="S470" i="31"/>
  <c r="S469" i="31"/>
  <c r="S444" i="31"/>
  <c r="S442" i="31"/>
  <c r="S441" i="31"/>
  <c r="S438" i="31"/>
  <c r="S437" i="31"/>
  <c r="S434" i="31"/>
  <c r="S433" i="31"/>
  <c r="S430" i="31"/>
  <c r="S122" i="31"/>
  <c r="S121" i="31"/>
  <c r="S120" i="31"/>
  <c r="S119" i="31"/>
  <c r="S118" i="31"/>
  <c r="S117" i="31"/>
  <c r="S116" i="31"/>
  <c r="S115" i="31"/>
  <c r="S114" i="31"/>
  <c r="S113" i="31"/>
  <c r="S112" i="31"/>
  <c r="S506" i="31"/>
  <c r="S502" i="31"/>
  <c r="S498" i="31"/>
  <c r="S466" i="31"/>
  <c r="S465" i="31"/>
  <c r="S462" i="31"/>
  <c r="S461" i="31"/>
  <c r="S460" i="31"/>
  <c r="S458" i="31"/>
  <c r="S457" i="31"/>
  <c r="S454" i="31"/>
  <c r="S453" i="31"/>
  <c r="S450" i="31"/>
  <c r="S54" i="31"/>
  <c r="S52" i="31"/>
  <c r="S50" i="31"/>
  <c r="S49" i="31"/>
  <c r="S48" i="31"/>
  <c r="S46" i="31"/>
  <c r="S44" i="31"/>
  <c r="S42"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09" i="31"/>
  <c r="S110" i="31"/>
  <c r="S445" i="31"/>
  <c r="S446" i="31"/>
  <c r="S448" i="31"/>
  <c r="S449" i="31"/>
  <c r="S507" i="31"/>
  <c r="S509" i="31"/>
  <c r="S510" i="31"/>
  <c r="S511"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1"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U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37" i="34"/>
  <c r="AA37" i="34" s="1"/>
  <c r="F28" i="34"/>
  <c r="AA28" i="34"/>
  <c r="F27" i="34"/>
  <c r="AA27" i="34" s="1"/>
  <c r="F25" i="34"/>
  <c r="S25" i="34"/>
  <c r="H23" i="34"/>
  <c r="U23" i="34" s="1"/>
  <c r="J23" i="34"/>
  <c r="F19" i="34"/>
  <c r="H17" i="34"/>
  <c r="U17" i="34" s="1"/>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S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S17"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S36" i="34"/>
  <c r="AA8" i="34"/>
  <c r="AB9" i="34"/>
  <c r="U9" i="34"/>
  <c r="S46" i="34"/>
  <c r="AA46" i="34"/>
  <c r="U32" i="34"/>
  <c r="AB32" i="34"/>
  <c r="U14" i="34"/>
  <c r="AB14"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2" i="69"/>
  <c r="M9" i="15"/>
  <c r="B12" i="76"/>
  <c r="D6" i="73"/>
  <c r="D7" i="73"/>
  <c r="F40" i="67"/>
  <c r="F36" i="15"/>
  <c r="B9" i="76"/>
  <c r="M24" i="15"/>
  <c r="E12" i="76"/>
  <c r="D3" i="73"/>
  <c r="L48" i="67"/>
  <c r="E13" i="76"/>
  <c r="F38" i="67"/>
  <c r="F13" i="15"/>
  <c r="F16" i="67"/>
  <c r="M26" i="67"/>
  <c r="F43" i="15"/>
  <c r="L47" i="15"/>
  <c r="F42" i="67"/>
  <c r="L48" i="15"/>
  <c r="AO13" i="1"/>
  <c r="F7" i="73"/>
  <c r="M8" i="67"/>
  <c r="F7" i="15"/>
  <c r="L47" i="67"/>
  <c r="M29" i="15"/>
  <c r="F40" i="15"/>
  <c r="C76" i="15"/>
  <c r="J15" i="67"/>
  <c r="F6" i="67"/>
  <c r="F26" i="15"/>
  <c r="M22" i="67"/>
  <c r="F38" i="15"/>
  <c r="C76" i="67"/>
  <c r="E10" i="76"/>
  <c r="F9" i="15"/>
  <c r="E7" i="76"/>
  <c r="F20" i="31"/>
  <c r="B11" i="76"/>
  <c r="F5" i="73"/>
  <c r="B8" i="76"/>
  <c r="M28" i="15"/>
  <c r="E9" i="76"/>
  <c r="J15" i="15"/>
  <c r="F26" i="67"/>
  <c r="F13" i="67"/>
  <c r="F8" i="15"/>
  <c r="F37" i="15"/>
  <c r="F42" i="15"/>
  <c r="B7" i="76"/>
  <c r="F8" i="67"/>
  <c r="F6" i="73"/>
  <c r="M22" i="15"/>
  <c r="M23" i="67"/>
  <c r="M23" i="15"/>
  <c r="M6" i="15"/>
  <c r="M9" i="67"/>
  <c r="M8" i="15"/>
  <c r="M28" i="67"/>
  <c r="F7" i="67"/>
  <c r="M26" i="15"/>
  <c r="F36" i="67"/>
  <c r="F9" i="67"/>
  <c r="M6" i="67"/>
  <c r="F4" i="73"/>
  <c r="E8" i="76"/>
  <c r="E11" i="76"/>
  <c r="D4" i="73"/>
  <c r="F3" i="73"/>
  <c r="F37" i="67"/>
  <c r="B10" i="76"/>
  <c r="F6" i="15"/>
  <c r="E2" i="68"/>
  <c r="B13" i="76"/>
  <c r="F16" i="15"/>
  <c r="M24" i="67"/>
  <c r="M29" i="67"/>
  <c r="F43" i="67"/>
  <c r="U34" i="34" l="1"/>
  <c r="AA40" i="34"/>
  <c r="W40" i="34"/>
  <c r="S27" i="34"/>
  <c r="H50" i="43"/>
  <c r="AB35" i="34"/>
  <c r="U36" i="34"/>
  <c r="AB33" i="34"/>
  <c r="W33" i="34"/>
  <c r="U44" i="34"/>
  <c r="AC44" i="34"/>
  <c r="S44" i="34"/>
  <c r="AA21" i="34"/>
  <c r="AC17" i="34"/>
  <c r="AA23" i="34"/>
  <c r="AB23" i="34"/>
  <c r="W43" i="34"/>
  <c r="AB43" i="34"/>
  <c r="S43" i="34"/>
  <c r="AC36" i="34"/>
  <c r="AA35" i="34"/>
  <c r="AA33" i="34"/>
  <c r="U27" i="34"/>
  <c r="C5" i="68"/>
  <c r="C24" i="12"/>
  <c r="C40" i="68"/>
  <c r="C40" i="69"/>
  <c r="C21" i="68"/>
  <c r="E329" i="3"/>
  <c r="G28" i="6"/>
  <c r="G30" i="6" s="1"/>
  <c r="G31" i="6"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F26" i="43" l="1"/>
  <c r="D26" i="43" s="1"/>
  <c r="C25" i="43" s="1"/>
  <c r="H26" i="43"/>
  <c r="N370" i="46"/>
  <c r="P6" i="1"/>
  <c r="C13" i="12" s="1"/>
  <c r="G26" i="43"/>
  <c r="N94"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49" i="34"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7"/>
  <c r="D2" i="36"/>
  <c r="D2" i="34"/>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D35" i="9"/>
  <c r="D20" i="9"/>
  <c r="AO6" i="1"/>
  <c r="AO9" i="1"/>
  <c r="AO11" i="1"/>
  <c r="AO8" i="1"/>
  <c r="C19" i="9"/>
  <c r="AO7" i="1"/>
  <c r="D34" i="9"/>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J24" i="80" s="1"/>
  <c r="K24" i="80" s="1"/>
  <c r="C42" i="40"/>
  <c r="C43" i="40"/>
  <c r="E47" i="40"/>
  <c r="F47" i="40" s="1"/>
  <c r="E46" i="40"/>
  <c r="F46" i="40" s="1"/>
  <c r="I47" i="40"/>
  <c r="J47" i="40" s="1"/>
  <c r="P24" i="80" l="1"/>
  <c r="R25" i="31"/>
  <c r="S24" i="31"/>
  <c r="L24" i="80" s="1"/>
  <c r="M24" i="80" s="1"/>
  <c r="N24" i="80" s="1"/>
  <c r="R39" i="31"/>
  <c r="R30" i="31"/>
  <c r="R29" i="31"/>
  <c r="R32" i="31"/>
  <c r="R27" i="31"/>
  <c r="R26" i="31"/>
  <c r="R35" i="31"/>
  <c r="R28" i="31"/>
  <c r="R33" i="31"/>
  <c r="R38" i="31"/>
  <c r="R37" i="31"/>
  <c r="R31" i="31"/>
  <c r="R34" i="31"/>
  <c r="R36" i="31"/>
  <c r="B58" i="40"/>
  <c r="F58" i="40" s="1"/>
  <c r="B54" i="40"/>
  <c r="F54" i="40" s="1"/>
  <c r="B53" i="40"/>
  <c r="F53" i="40" s="1"/>
  <c r="B59" i="40"/>
  <c r="F59" i="40" s="1"/>
  <c r="B52" i="40"/>
  <c r="F52" i="40" s="1"/>
  <c r="B56" i="40"/>
  <c r="F56" i="40" s="1"/>
  <c r="B60" i="40"/>
  <c r="F60" i="40" s="1"/>
  <c r="B57" i="40"/>
  <c r="F57" i="40" s="1"/>
  <c r="B51" i="40"/>
  <c r="F51" i="40" s="1"/>
  <c r="F61" i="40"/>
  <c r="B2" i="40" s="1"/>
  <c r="B3" i="40" s="1"/>
  <c r="S34" i="31" l="1"/>
  <c r="J34" i="80"/>
  <c r="K34" i="80" s="1"/>
  <c r="P34" i="80" s="1"/>
  <c r="S37" i="31"/>
  <c r="J37" i="80"/>
  <c r="K37" i="80" s="1"/>
  <c r="P37" i="80" s="1"/>
  <c r="S35" i="31"/>
  <c r="J35" i="80"/>
  <c r="K35" i="80" s="1"/>
  <c r="P35" i="80" s="1"/>
  <c r="S29" i="31"/>
  <c r="J29" i="80"/>
  <c r="K29" i="80" s="1"/>
  <c r="P29" i="80" s="1"/>
  <c r="S25" i="31"/>
  <c r="J25" i="80"/>
  <c r="K25" i="80" s="1"/>
  <c r="S36" i="31"/>
  <c r="J36" i="80"/>
  <c r="K36" i="80" s="1"/>
  <c r="P36" i="80" s="1"/>
  <c r="S38" i="31"/>
  <c r="J38" i="80"/>
  <c r="K38" i="80" s="1"/>
  <c r="P38" i="80" s="1"/>
  <c r="S26" i="31"/>
  <c r="J26" i="80"/>
  <c r="K26" i="80" s="1"/>
  <c r="P26" i="80" s="1"/>
  <c r="S30" i="31"/>
  <c r="J30" i="80"/>
  <c r="K30" i="80" s="1"/>
  <c r="P30" i="80" s="1"/>
  <c r="S33" i="31"/>
  <c r="J33" i="80"/>
  <c r="K33" i="80" s="1"/>
  <c r="P33" i="80" s="1"/>
  <c r="S27" i="31"/>
  <c r="J27" i="80"/>
  <c r="K27" i="80" s="1"/>
  <c r="P27" i="80" s="1"/>
  <c r="S39" i="31"/>
  <c r="J39" i="80"/>
  <c r="K39" i="80" s="1"/>
  <c r="P39" i="80" s="1"/>
  <c r="S31" i="31"/>
  <c r="J31" i="80"/>
  <c r="K31" i="80" s="1"/>
  <c r="P31" i="80" s="1"/>
  <c r="S28" i="31"/>
  <c r="J28" i="80"/>
  <c r="K28" i="80" s="1"/>
  <c r="P28" i="80" s="1"/>
  <c r="S32" i="31"/>
  <c r="J32" i="80"/>
  <c r="K32" i="80" s="1"/>
  <c r="P32" i="80" s="1"/>
  <c r="K40" i="80" l="1"/>
  <c r="D14" i="74" s="1"/>
  <c r="G14" i="74" s="1"/>
  <c r="B6" i="74" s="1"/>
  <c r="D6" i="74" s="1"/>
  <c r="P25" i="80"/>
  <c r="L31" i="80"/>
  <c r="M31" i="80" s="1"/>
  <c r="N31" i="80" s="1"/>
  <c r="L30" i="80"/>
  <c r="M30" i="80" s="1"/>
  <c r="N30" i="80" s="1"/>
  <c r="L35" i="80"/>
  <c r="M35" i="80" s="1"/>
  <c r="N35" i="80" s="1"/>
  <c r="L32" i="80"/>
  <c r="M32" i="80" s="1"/>
  <c r="N32" i="80" s="1"/>
  <c r="L27" i="80"/>
  <c r="M27" i="80" s="1"/>
  <c r="N27" i="80" s="1"/>
  <c r="L38" i="80"/>
  <c r="M38" i="80" s="1"/>
  <c r="N38" i="80" s="1"/>
  <c r="L25" i="80"/>
  <c r="M25" i="80" s="1"/>
  <c r="N25" i="80" s="1"/>
  <c r="L34" i="80"/>
  <c r="M34" i="80" s="1"/>
  <c r="N34" i="80" s="1"/>
  <c r="L28" i="80"/>
  <c r="M28" i="80" s="1"/>
  <c r="N28" i="80" s="1"/>
  <c r="L39" i="80"/>
  <c r="M39" i="80" s="1"/>
  <c r="N39" i="80" s="1"/>
  <c r="L33" i="80"/>
  <c r="M33" i="80" s="1"/>
  <c r="N33" i="80" s="1"/>
  <c r="L26" i="80"/>
  <c r="M26" i="80" s="1"/>
  <c r="N26" i="80" s="1"/>
  <c r="L36" i="80"/>
  <c r="M36" i="80" s="1"/>
  <c r="N36" i="80" s="1"/>
  <c r="L29" i="80"/>
  <c r="M29" i="80" s="1"/>
  <c r="N29" i="80" s="1"/>
  <c r="L37" i="80"/>
  <c r="M37" i="80" s="1"/>
  <c r="N37" i="80" s="1"/>
  <c r="S22" i="31"/>
  <c r="R22" i="31" s="1"/>
  <c r="B5" i="74" l="1"/>
  <c r="D5" i="74" s="1"/>
  <c r="F14" i="74"/>
  <c r="E14" i="74"/>
  <c r="L40" i="80"/>
  <c r="M40" i="80" s="1"/>
  <c r="N40" i="80" s="1"/>
  <c r="B20" i="31"/>
  <c r="B21" i="31" s="1"/>
  <c r="I14" i="74" l="1"/>
  <c r="B8" i="74" s="1"/>
  <c r="D8" i="74" s="1"/>
  <c r="G118" i="9"/>
  <c r="G4" i="52" s="1"/>
  <c r="B52" i="72" s="1"/>
  <c r="I118" i="9"/>
  <c r="I4" i="52" s="1"/>
  <c r="H118" i="9" l="1"/>
  <c r="C104" i="9" s="1"/>
  <c r="H102" i="9"/>
  <c r="C5" i="74" s="1"/>
  <c r="C105" i="9"/>
  <c r="E118" i="9"/>
  <c r="F118" i="9"/>
  <c r="H119" i="9" l="1"/>
  <c r="H5" i="52" s="1"/>
  <c r="H101" i="9"/>
  <c r="D5" i="53" s="1"/>
  <c r="H4" i="52"/>
  <c r="D7" i="53"/>
  <c r="B21" i="72" s="1"/>
  <c r="E4" i="52"/>
  <c r="B48" i="72" s="1"/>
  <c r="D118" i="9"/>
  <c r="F119" i="9"/>
  <c r="F5" i="52" s="1"/>
  <c r="B53" i="72" s="1"/>
  <c r="F4" i="52"/>
  <c r="B51" i="72" s="1"/>
  <c r="D45" i="9" l="1"/>
  <c r="C85" i="9" s="1"/>
  <c r="M48" i="9"/>
  <c r="H107" i="9"/>
  <c r="H108" i="9" s="1"/>
  <c r="D6" i="53"/>
  <c r="B22" i="72" s="1"/>
  <c r="B20" i="72"/>
  <c r="D4" i="52"/>
  <c r="B47" i="72" s="1"/>
  <c r="D119" i="9"/>
  <c r="D5" i="52" s="1"/>
  <c r="B49" i="72" s="1"/>
  <c r="C78" i="9"/>
  <c r="C73" i="9" s="1"/>
  <c r="D55" i="9" l="1"/>
  <c r="M53" i="9" s="1"/>
  <c r="D13" i="53"/>
  <c r="D14" i="53" s="1"/>
  <c r="B32" i="72" s="1"/>
  <c r="D53" i="9"/>
  <c r="D52" i="9"/>
  <c r="C72" i="9"/>
  <c r="C79" i="9" s="1"/>
  <c r="C64" i="9"/>
  <c r="C63" i="9" s="1"/>
  <c r="C67" i="9" s="1"/>
  <c r="D59" i="9" s="1"/>
  <c r="M55" i="9" s="1"/>
  <c r="C93" i="9"/>
  <c r="C86" i="9" s="1"/>
  <c r="C95" i="9" s="1"/>
  <c r="D122" i="9"/>
  <c r="D8" i="52" s="1"/>
  <c r="M49" i="9"/>
  <c r="L65" i="9" s="1"/>
  <c r="M65" i="9" s="1"/>
  <c r="D15" i="53"/>
  <c r="B31" i="72" s="1"/>
  <c r="C6" i="74"/>
  <c r="D123" i="9"/>
  <c r="D9" i="52" s="1"/>
  <c r="L63" i="9" l="1"/>
  <c r="M63" i="9" s="1"/>
  <c r="B30" i="72"/>
  <c r="C68" i="9"/>
  <c r="D54" i="9" s="1"/>
  <c r="L66" i="9"/>
  <c r="M66" i="9" s="1"/>
  <c r="L68" i="9"/>
  <c r="M68" i="9" s="1"/>
  <c r="L64" i="9"/>
  <c r="M64" i="9" s="1"/>
  <c r="L67" i="9"/>
  <c r="M67" i="9" s="1"/>
  <c r="C80" i="9"/>
  <c r="E80" i="9" s="1"/>
  <c r="E81" i="9" s="1"/>
  <c r="C96" i="9"/>
  <c r="E96" i="9" s="1"/>
  <c r="E97" i="9" s="1"/>
  <c r="M69" i="9" l="1"/>
  <c r="N69" i="9" s="1"/>
  <c r="C97" i="9"/>
  <c r="D58" i="9" s="1"/>
  <c r="D56" i="9" s="1"/>
  <c r="M54" i="9" s="1"/>
  <c r="N57" i="9" s="1"/>
  <c r="N58" i="9" s="1"/>
  <c r="C81" i="9"/>
  <c r="P57" i="9" l="1"/>
  <c r="N59" i="9"/>
  <c r="H111" i="9" s="1"/>
  <c r="N60" i="9" l="1"/>
  <c r="N61" i="9"/>
  <c r="H112" i="9" s="1"/>
  <c r="C8" i="74" s="1"/>
  <c r="D19" i="53"/>
  <c r="D126" i="9"/>
  <c r="D21" i="53" l="1"/>
  <c r="B39" i="72" s="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<sst xmlns="http://schemas.openxmlformats.org/spreadsheetml/2006/main" count="7967" uniqueCount="3481">
  <si>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</si>
  <si>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</si>
  <si>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</si>
  <si>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</si>
  <si>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</si>
  <si>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</si>
  <si>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</si>
  <si>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</si>
  <si>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</si>
  <si>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</si>
  <si>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</si>
  <si>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</si>
  <si>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</si>
  <si>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</si>
  <si>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</si>
  <si>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</si>
  <si>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</si>
  <si>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</si>
  <si>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</si>
  <si>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</si>
  <si>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</si>
  <si>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</si>
  <si>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</si>
  <si>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</si>
  <si>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</si>
  <si>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</si>
  <si>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</si>
  <si>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</si>
  <si>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</si>
  <si>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</si>
  <si>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</si>
  <si>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</si>
  <si>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</si>
  <si>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</si>
  <si>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</si>
  <si>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</si>
  <si>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</si>
  <si>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</si>
  <si>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</si>
  <si>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</si>
  <si>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</si>
  <si>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</si>
  <si>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</si>
  <si>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</si>
  <si>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</si>
  <si>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</si>
  <si>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</si>
  <si>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</si>
  <si>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</si>
  <si>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</si>
  <si>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</si>
  <si>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</si>
  <si>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</si>
  <si>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</si>
  <si>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</si>
  <si>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</si>
  <si>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</si>
  <si>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</si>
  <si>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</si>
  <si>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</si>
  <si>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</si>
  <si>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</si>
  <si>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</si>
  <si>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</si>
  <si>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</si>
  <si>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</si>
  <si>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</si>
  <si>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</si>
  <si>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</si>
  <si>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</si>
  <si>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</si>
  <si>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</si>
  <si>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</si>
  <si>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</si>
  <si>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</si>
  <si>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</si>
  <si>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</si>
  <si>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</si>
  <si>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</si>
  <si>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</si>
  <si>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</si>
  <si>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</si>
  <si>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</si>
  <si>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</si>
  <si>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</si>
  <si>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</si>
  <si>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</si>
  <si>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</si>
  <si>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</si>
  <si>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</si>
  <si>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</si>
  <si>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</si>
  <si>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</si>
  <si>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</si>
  <si>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</si>
  <si>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</si>
  <si>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</si>
  <si>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</si>
  <si>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</si>
  <si>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</si>
  <si>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</si>
  <si>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</si>
  <si>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</si>
  <si>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</si>
  <si>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</si>
  <si>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</si>
  <si>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</si>
  <si>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</si>
  <si>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</si>
  <si>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</si>
  <si>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</si>
  <si>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</si>
  <si>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</si>
  <si>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</si>
  <si>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</si>
  <si>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</si>
  <si>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</si>
  <si>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</si>
  <si>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</si>
  <si>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</si>
  <si>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</si>
  <si>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</si>
  <si>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</si>
  <si>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</si>
  <si>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</si>
  <si>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</si>
  <si>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</si>
  <si>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</si>
  <si>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</si>
  <si>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</si>
  <si>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</si>
  <si>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</si>
  <si>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</si>
  <si>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</si>
  <si>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</si>
  <si>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</si>
  <si>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</si>
  <si>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</si>
  <si>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</si>
  <si>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</si>
  <si>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</si>
  <si>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</si>
  <si>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</si>
  <si>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</si>
  <si>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</si>
  <si>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</si>
  <si>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</si>
  <si>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</si>
  <si>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</si>
  <si>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</si>
  <si>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</si>
  <si>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</si>
  <si>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</si>
  <si>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</si>
  <si>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</si>
  <si>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</si>
  <si>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</si>
  <si>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</si>
  <si>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</si>
  <si>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</si>
  <si>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</si>
  <si>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</si>
  <si>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</si>
  <si>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</si>
  <si>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</si>
  <si>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</si>
  <si>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</si>
  <si>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</si>
  <si>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</si>
  <si>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</si>
  <si>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</si>
  <si>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</si>
  <si>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</si>
  <si>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</si>
  <si>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</si>
  <si>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</si>
  <si>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</si>
  <si>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</si>
  <si>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</si>
  <si>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</si>
  <si>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</si>
  <si>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</si>
  <si>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</si>
  <si>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</si>
  <si>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</si>
  <si>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</si>
  <si>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</si>
  <si>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</si>
  <si>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</si>
  <si>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</si>
  <si>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</si>
  <si>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</si>
  <si>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</si>
  <si>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</si>
  <si>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</si>
  <si>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</si>
  <si>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</si>
  <si>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</si>
  <si>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</si>
  <si>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</si>
  <si>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</si>
  <si>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</si>
  <si>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</si>
  <si>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</si>
  <si>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</si>
  <si>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</si>
  <si>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</si>
  <si>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</si>
  <si>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</si>
  <si>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</si>
  <si>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</si>
  <si>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</si>
  <si>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</si>
  <si>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</si>
  <si>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</si>
  <si>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</si>
  <si>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</si>
  <si>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</si>
  <si>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</si>
  <si>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</si>
  <si>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</si>
  <si>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</si>
  <si>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</si>
  <si>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</si>
  <si>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</si>
  <si>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</si>
  <si>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</si>
  <si>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</si>
  <si>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</si>
  <si>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</si>
  <si>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</si>
  <si>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</si>
  <si>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</si>
  <si>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</si>
  <si>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</si>
  <si>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</si>
  <si>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</si>
  <si>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</si>
  <si>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</si>
  <si>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</si>
  <si>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</si>
  <si>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</si>
  <si>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</si>
  <si>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</si>
  <si>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</si>
  <si>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</si>
  <si>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</si>
  <si>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</si>
  <si>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</si>
  <si>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</si>
  <si>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</si>
  <si>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</si>
  <si>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</si>
  <si>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</si>
  <si>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</si>
  <si>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</si>
  <si>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</si>
  <si>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</si>
  <si>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</si>
  <si>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</si>
  <si>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</si>
  <si>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</si>
  <si>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</si>
  <si>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</si>
  <si>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</si>
  <si>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</si>
  <si>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</si>
  <si>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</si>
  <si>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</si>
  <si>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</si>
  <si>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</si>
  <si>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</si>
  <si>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</si>
  <si>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</si>
  <si>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</si>
  <si>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</si>
  <si>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</si>
  <si>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</si>
  <si>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</si>
  <si>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</si>
  <si>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</si>
  <si>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</si>
  <si>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</si>
  <si>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</si>
  <si>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</si>
  <si>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</si>
  <si>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</si>
  <si>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</si>
  <si>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</si>
  <si>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</si>
  <si>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</si>
  <si>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</si>
  <si>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</si>
  <si>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</si>
  <si>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</si>
  <si>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</si>
  <si>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</si>
  <si>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</si>
  <si>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</si>
  <si>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</si>
  <si>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</si>
  <si>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</si>
  <si>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</si>
  <si>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</si>
  <si>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</si>
  <si>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</si>
  <si>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</si>
  <si>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</si>
  <si>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</si>
  <si>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</si>
  <si>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</si>
  <si>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</si>
  <si>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</si>
  <si>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</si>
  <si>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</si>
  <si>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</si>
  <si>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</si>
  <si>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</si>
  <si>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</si>
  <si>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</si>
  <si>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</si>
  <si>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</si>
  <si>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</si>
  <si>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</si>
  <si>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</si>
  <si>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</si>
  <si>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</si>
  <si>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</si>
  <si>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</si>
  <si>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</si>
  <si>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</si>
  <si>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</si>
  <si>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</si>
  <si>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</si>
  <si>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</si>
  <si>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</si>
  <si>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</si>
  <si>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</si>
  <si>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</si>
  <si>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</si>
  <si>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</si>
  <si>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</si>
  <si>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</si>
  <si>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</si>
  <si>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</si>
  <si>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</si>
  <si>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</si>
  <si>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</si>
  <si>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</si>
  <si>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</si>
  <si>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</si>
  <si>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</si>
  <si>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</si>
  <si>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</si>
  <si>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</si>
  <si>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</si>
  <si>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</si>
  <si>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</si>
  <si>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</si>
  <si>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</si>
  <si>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</si>
  <si>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</si>
  <si>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</si>
  <si>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</si>
  <si>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</si>
  <si>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</si>
  <si>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</si>
  <si>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</si>
  <si>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</si>
  <si>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</si>
  <si>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</si>
  <si>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</si>
  <si>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</si>
  <si>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</si>
  <si>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</si>
  <si>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</si>
  <si>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</si>
  <si>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</si>
  <si>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</si>
  <si>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</si>
  <si>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</si>
  <si>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</si>
  <si>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</si>
  <si>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</si>
  <si>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</si>
  <si>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</si>
  <si>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</si>
  <si>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</si>
  <si>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</si>
  <si>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</si>
  <si>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</si>
  <si>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</si>
  <si>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</si>
  <si>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</si>
  <si>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</si>
  <si>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</si>
  <si>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</si>
  <si>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</si>
  <si>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</si>
  <si>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</si>
  <si>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</si>
  <si>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</si>
  <si>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</si>
  <si>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</si>
  <si>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</si>
  <si>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</si>
  <si>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</si>
  <si>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</si>
  <si>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</si>
  <si>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</si>
  <si>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</si>
  <si>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</si>
  <si>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</si>
  <si>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</si>
  <si>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</si>
  <si>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</si>
  <si>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</si>
  <si>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</si>
  <si>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</si>
  <si>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</si>
  <si>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</si>
  <si>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</si>
  <si>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</si>
  <si>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</si>
  <si>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</si>
  <si>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</si>
  <si>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</si>
  <si>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</si>
  <si>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</si>
  <si>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</si>
  <si>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</si>
  <si>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</si>
  <si>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</si>
  <si>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</si>
  <si>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</si>
  <si>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</si>
  <si>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</si>
  <si>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</si>
  <si>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</si>
  <si>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</si>
  <si>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</si>
  <si>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</si>
  <si>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</si>
  <si>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</si>
  <si>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</si>
  <si>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</si>
  <si>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</si>
  <si>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</si>
  <si>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</si>
  <si>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</si>
  <si>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</si>
  <si>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</si>
  <si>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</si>
  <si>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</si>
  <si>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</si>
  <si>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</si>
  <si>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</si>
  <si>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</si>
  <si>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</si>
  <si>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</si>
  <si>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</si>
  <si>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</si>
  <si>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</si>
  <si>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</si>
  <si>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</si>
  <si>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</si>
  <si>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</si>
  <si>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</si>
  <si>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</si>
  <si>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</si>
  <si>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</si>
  <si>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</si>
  <si>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</si>
  <si>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</si>
  <si>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</si>
  <si>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</si>
  <si>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</si>
  <si>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</si>
  <si>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</si>
  <si>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</si>
  <si>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</si>
  <si>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</si>
  <si>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</si>
  <si>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</si>
  <si>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</si>
  <si>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</si>
  <si>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</si>
  <si>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</si>
  <si>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</si>
  <si>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</si>
  <si>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</si>
  <si>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</si>
  <si>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</si>
  <si>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</si>
  <si>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</si>
  <si>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</si>
  <si>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</si>
  <si>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</si>
  <si>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</si>
  <si>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</si>
  <si>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</si>
  <si>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</si>
  <si>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</si>
  <si>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</si>
  <si>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</si>
  <si>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</si>
  <si>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</si>
  <si>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</si>
  <si>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</si>
  <si>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</si>
  <si>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</si>
  <si>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</si>
  <si>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</si>
  <si>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</si>
  <si>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</si>
  <si>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</si>
  <si>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</si>
  <si>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</si>
  <si>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</si>
  <si>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</si>
  <si>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</si>
  <si>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</si>
  <si>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</si>
  <si>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</si>
  <si>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</si>
  <si>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</si>
  <si>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</si>
  <si>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</si>
  <si>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</si>
  <si>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</si>
  <si>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</si>
  <si>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</si>
  <si>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</si>
  <si>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</si>
  <si>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</si>
  <si>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</si>
  <si>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</si>
  <si>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</si>
  <si>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</si>
  <si>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</si>
  <si>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</si>
  <si>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</si>
  <si>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</si>
  <si>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</si>
  <si>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</si>
  <si>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</si>
  <si>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</si>
  <si>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</si>
  <si>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</si>
  <si>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</si>
  <si>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</si>
  <si>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</si>
  <si>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</si>
  <si>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</si>
  <si>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</si>
  <si>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</si>
  <si>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</si>
  <si>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</si>
  <si>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</si>
  <si>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</si>
  <si>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</si>
  <si>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</si>
  <si>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</si>
  <si>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</si>
  <si>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</si>
  <si>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</si>
  <si>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</si>
  <si>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</si>
  <si>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</si>
  <si>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</si>
  <si>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</si>
  <si>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</si>
  <si>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</si>
  <si>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</si>
  <si>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</si>
  <si>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</si>
  <si>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</si>
  <si>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</si>
  <si>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</si>
  <si>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</si>
  <si>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</si>
  <si>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</si>
  <si>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</si>
  <si>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</si>
  <si>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</si>
  <si>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</si>
  <si>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</si>
  <si>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</si>
  <si>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</si>
  <si>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</si>
  <si>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</si>
  <si>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</si>
  <si>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</si>
  <si>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</si>
  <si>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</si>
  <si>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</si>
  <si>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</si>
  <si>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</si>
  <si>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</si>
  <si>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</si>
  <si>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</si>
  <si>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</si>
  <si>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</si>
  <si>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</si>
  <si>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</si>
  <si>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</si>
  <si>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</si>
  <si>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</si>
  <si>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</si>
  <si>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</si>
  <si>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</si>
  <si>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</si>
  <si>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</si>
  <si>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</si>
  <si>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</si>
  <si>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</si>
  <si>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</si>
  <si>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</si>
  <si>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</si>
  <si>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</si>
  <si>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</si>
  <si>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</si>
  <si>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</si>
  <si>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</si>
  <si>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</si>
  <si>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</si>
  <si>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</si>
  <si>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</si>
  <si>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</si>
  <si>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</si>
  <si>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</si>
  <si>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</si>
  <si>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</si>
  <si>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</si>
  <si>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</si>
  <si>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</si>
  <si>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</si>
  <si>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</si>
  <si>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</si>
  <si>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</si>
  <si>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</si>
  <si>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</si>
  <si>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</si>
  <si>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</si>
  <si>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</si>
  <si>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</si>
  <si>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</si>
  <si>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</si>
  <si>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</si>
  <si>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</si>
  <si>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</si>
  <si>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</si>
  <si>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</si>
  <si>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</si>
  <si>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</si>
  <si>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</si>
  <si>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</si>
  <si>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</si>
  <si>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</si>
  <si>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</si>
  <si>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</si>
  <si>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</si>
  <si>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</si>
  <si>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</si>
  <si>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</si>
  <si>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</si>
  <si>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</si>
  <si>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</si>
  <si>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</si>
  <si>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</si>
  <si>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</si>
  <si>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</si>
  <si>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</si>
  <si>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</si>
  <si>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</si>
  <si>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</si>
  <si>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</si>
  <si>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</si>
  <si>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</si>
  <si>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</si>
  <si>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</si>
  <si>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</si>
  <si>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</si>
  <si>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</si>
  <si>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</si>
  <si>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</si>
  <si>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</si>
  <si>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</si>
  <si>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</si>
  <si>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</si>
  <si>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</si>
  <si>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</si>
  <si>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</si>
  <si>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</si>
  <si>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</si>
  <si>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</si>
  <si>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</si>
  <si>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</si>
  <si>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</si>
  <si>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</si>
  <si>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</si>
  <si>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</si>
  <si>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</si>
  <si>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</si>
  <si>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</si>
  <si>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</si>
  <si>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</si>
  <si>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</si>
  <si>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</si>
  <si>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</si>
  <si>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</si>
  <si>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</si>
  <si>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</si>
  <si>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</si>
  <si>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</si>
  <si>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</si>
  <si>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</si>
  <si>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</si>
  <si>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</si>
  <si>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</si>
  <si>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</si>
  <si>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</si>
  <si>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</si>
  <si>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</si>
  <si>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</si>
  <si>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</si>
  <si>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</si>
  <si>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</si>
  <si>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</si>
  <si>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</si>
  <si>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</si>
  <si>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</si>
  <si>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</si>
  <si>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</si>
  <si>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</si>
  <si>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</si>
  <si>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</si>
  <si>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</si>
  <si>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</si>
  <si>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</si>
  <si>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</si>
  <si>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</si>
  <si>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</si>
  <si>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</si>
  <si>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</si>
  <si>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</si>
  <si>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</si>
  <si>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</si>
  <si>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</si>
  <si>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</si>
  <si>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</si>
  <si>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</si>
  <si>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</si>
  <si>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</si>
  <si>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</si>
  <si>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</si>
  <si>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</si>
  <si>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</si>
  <si>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</si>
  <si>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</si>
  <si>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</si>
  <si>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</si>
  <si>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</si>
  <si>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</si>
  <si>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</si>
  <si>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</si>
  <si>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</si>
  <si>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</si>
  <si>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</si>
  <si>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</si>
  <si>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</si>
  <si>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</si>
  <si>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</si>
  <si>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</si>
  <si>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</si>
  <si>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</si>
  <si>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</si>
  <si>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</si>
  <si>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</si>
  <si>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</si>
  <si>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</si>
  <si>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</si>
  <si>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</si>
  <si>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</si>
  <si>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</si>
  <si>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</si>
  <si>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</si>
  <si>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</si>
  <si>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</si>
  <si>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</si>
  <si>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</si>
  <si>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</si>
  <si>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</si>
  <si>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</si>
  <si>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</si>
  <si>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</si>
  <si>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</si>
  <si>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</si>
  <si>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</si>
  <si>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</si>
  <si>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</si>
  <si>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</si>
  <si>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</si>
  <si>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</si>
  <si>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</si>
  <si>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</si>
  <si>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</si>
  <si>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</si>
  <si>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</si>
  <si>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</si>
  <si>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</si>
  <si>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</si>
  <si>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</si>
  <si>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</si>
  <si>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</si>
  <si>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</si>
  <si>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</si>
  <si>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</si>
  <si>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</si>
  <si>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</si>
  <si>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</si>
  <si>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</si>
  <si>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</si>
  <si>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</si>
  <si>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</si>
  <si>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</si>
  <si>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</si>
  <si>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</si>
  <si>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</si>
  <si>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</si>
  <si>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</si>
  <si>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</si>
  <si>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</si>
  <si>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</si>
  <si>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</si>
  <si>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</si>
  <si>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</si>
  <si>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</si>
  <si>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</si>
  <si>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</si>
  <si>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</si>
  <si>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</si>
  <si>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</si>
  <si>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</si>
  <si>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</si>
  <si>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</si>
  <si>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</si>
  <si>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</si>
  <si>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</si>
  <si>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</si>
  <si>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</si>
  <si>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</si>
  <si>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</si>
  <si>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</si>
  <si>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</si>
  <si>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</si>
  <si>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</si>
  <si>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</si>
  <si>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</si>
  <si>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</si>
  <si>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</si>
  <si>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</si>
  <si>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</si>
  <si>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</si>
  <si>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</si>
  <si>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</si>
  <si>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</si>
  <si>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</si>
  <si>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</si>
  <si>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</si>
  <si>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</si>
  <si>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</si>
  <si>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</si>
  <si>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</si>
  <si>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</si>
  <si>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</si>
  <si>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</si>
  <si>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</si>
  <si>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</si>
  <si>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</si>
  <si>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</si>
  <si>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</si>
  <si>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</si>
  <si>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</si>
  <si>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</si>
  <si>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</si>
  <si>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</si>
  <si>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</si>
  <si>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</si>
  <si>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</si>
  <si>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</si>
  <si>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</si>
  <si>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</si>
  <si>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</si>
  <si>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</si>
  <si>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</si>
  <si>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</si>
  <si>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</si>
  <si>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</si>
  <si>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</si>
  <si>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</si>
  <si>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</si>
  <si>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</si>
  <si>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</si>
  <si>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</si>
  <si>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</si>
  <si>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</si>
  <si>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</si>
  <si>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</si>
  <si>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</si>
  <si>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</si>
  <si>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</si>
  <si>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</si>
  <si>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</si>
  <si>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</si>
  <si>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</si>
  <si>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</si>
  <si>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</si>
  <si>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</si>
  <si>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</si>
  <si>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</si>
  <si>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</si>
  <si>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</si>
  <si>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</si>
  <si>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</si>
  <si>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</si>
  <si>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</si>
  <si>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</si>
  <si>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</si>
  <si>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</si>
  <si>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</si>
  <si>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</si>
  <si>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</si>
  <si>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</si>
  <si>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</si>
  <si>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</si>
  <si>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</si>
  <si>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</si>
  <si>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</si>
  <si>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</si>
  <si>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</si>
  <si>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</si>
  <si>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</si>
  <si>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</si>
  <si>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</si>
  <si>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</si>
  <si>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</si>
  <si>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</si>
  <si>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</si>
  <si>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</si>
  <si>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</si>
  <si>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</si>
  <si>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</si>
  <si>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</si>
  <si>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</si>
  <si>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</si>
  <si>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</si>
  <si>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</si>
  <si>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</si>
  <si>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</si>
  <si>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</si>
  <si>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</si>
  <si>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</si>
  <si>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</si>
  <si>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</si>
  <si>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</si>
  <si>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</si>
  <si>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</si>
  <si>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</si>
  <si>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</si>
  <si>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</si>
  <si>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</si>
  <si>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</si>
  <si>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</si>
  <si>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</si>
  <si>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</si>
  <si>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</si>
  <si>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</si>
  <si>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</si>
  <si>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</si>
  <si>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</si>
  <si>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</si>
  <si>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</si>
  <si>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</si>
  <si>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</si>
  <si>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</si>
  <si>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</si>
  <si>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</si>
  <si>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</si>
  <si>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</si>
  <si>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</si>
  <si>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</si>
  <si>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</si>
  <si>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</si>
  <si>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</si>
  <si>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</si>
  <si>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</si>
  <si>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</si>
  <si>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</si>
  <si>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</si>
  <si>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</si>
  <si>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</si>
  <si>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</si>
  <si>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</si>
  <si>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</si>
  <si>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</si>
  <si>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</si>
  <si>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</si>
  <si>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</si>
  <si>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</si>
  <si>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</si>
  <si>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</si>
  <si>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</si>
  <si>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</si>
  <si>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</si>
  <si>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</si>
  <si>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</si>
  <si>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</si>
  <si>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</si>
  <si>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</si>
  <si>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</si>
  <si>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</si>
  <si>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</si>
  <si>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</si>
  <si>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</si>
  <si>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</si>
  <si>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</si>
  <si>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</si>
  <si>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</si>
  <si>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</si>
  <si>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</si>
  <si>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</si>
  <si>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</si>
  <si>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</si>
  <si>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</si>
  <si>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</si>
  <si>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</si>
  <si>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</si>
  <si>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</si>
  <si>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</si>
  <si>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</si>
  <si>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</si>
  <si>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</si>
  <si>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</si>
  <si>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</si>
  <si>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</si>
  <si>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</si>
  <si>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</si>
  <si>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</si>
  <si>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</si>
  <si>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</si>
  <si>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</si>
  <si>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</si>
  <si>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</si>
  <si>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</si>
  <si>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</si>
  <si>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</si>
  <si>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</si>
  <si>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</si>
  <si>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</si>
  <si>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</si>
  <si>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</si>
  <si>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</si>
  <si>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</si>
  <si>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</si>
  <si>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</si>
  <si>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</si>
  <si>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</si>
  <si>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</si>
  <si>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</si>
  <si>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</si>
  <si>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</si>
  <si>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</si>
  <si>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</si>
  <si>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</si>
  <si>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</si>
  <si>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</si>
  <si>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</si>
  <si>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</si>
  <si>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</si>
  <si>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</si>
  <si>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</si>
  <si>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</si>
  <si>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</si>
  <si>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</si>
  <si>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</si>
  <si>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</si>
  <si>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</si>
  <si>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</si>
  <si>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</si>
  <si>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</si>
  <si>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</si>
  <si>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</si>
  <si>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</si>
  <si>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</si>
  <si>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</si>
  <si>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</si>
  <si>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</si>
  <si>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</si>
  <si>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</si>
  <si>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</si>
  <si>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</si>
  <si>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</si>
  <si>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</si>
  <si>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</si>
  <si>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</si>
  <si>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</si>
  <si>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</si>
  <si>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</si>
  <si>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</si>
  <si>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</si>
  <si>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</si>
  <si>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</si>
  <si>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</si>
  <si>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</si>
  <si>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</si>
  <si>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</si>
  <si>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</si>
  <si>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</si>
  <si>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</si>
  <si>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</si>
  <si>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</si>
  <si>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</si>
  <si>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</si>
  <si>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</si>
  <si>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</si>
  <si>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</si>
  <si>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</si>
  <si>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</si>
  <si>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</si>
  <si>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</si>
  <si>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</si>
  <si>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</si>
  <si>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</si>
  <si>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</si>
  <si>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</si>
  <si>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</si>
  <si>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</si>
  <si>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</si>
  <si>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</si>
  <si>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</si>
  <si>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</si>
  <si>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</si>
  <si>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</si>
  <si>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</si>
  <si>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</si>
  <si>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</si>
  <si>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</si>
  <si>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</si>
  <si>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</si>
  <si>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</si>
  <si>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</si>
  <si>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</si>
  <si>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</si>
  <si>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</si>
  <si>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</si>
  <si>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</si>
  <si>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</si>
  <si>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</si>
  <si>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</si>
  <si>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</si>
  <si>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</si>
  <si>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</si>
  <si>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</si>
  <si>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</si>
  <si>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</si>
  <si>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</si>
  <si>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</si>
  <si>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</si>
  <si>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</si>
  <si>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</si>
  <si>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</si>
  <si>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</si>
  <si>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</si>
  <si>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</si>
  <si>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</si>
  <si>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</si>
  <si>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</si>
  <si>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</si>
  <si>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</si>
  <si>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</si>
  <si>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</si>
  <si>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</si>
  <si>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</si>
  <si>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</si>
  <si>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</si>
  <si>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</si>
  <si>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</si>
  <si>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</si>
  <si>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</si>
  <si>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</si>
  <si>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</si>
  <si>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</si>
  <si>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</si>
  <si>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</si>
  <si>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</si>
  <si>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</si>
  <si>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</si>
  <si>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</si>
  <si>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</si>
  <si>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</si>
  <si>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</si>
  <si>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</si>
  <si>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</si>
  <si>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</si>
  <si>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</si>
  <si>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</si>
  <si>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</si>
  <si>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</si>
  <si>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</si>
  <si>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</si>
  <si>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</si>
  <si>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</si>
  <si>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</si>
  <si>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</si>
  <si>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</si>
  <si>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</si>
  <si>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</si>
  <si>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</si>
  <si>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</si>
  <si>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</si>
  <si>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</si>
  <si>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</si>
  <si>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</si>
  <si>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</si>
  <si>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</si>
  <si>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</si>
  <si>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</si>
  <si>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</si>
  <si>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</si>
  <si>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</si>
  <si>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</si>
  <si>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</si>
  <si>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</si>
  <si>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</si>
  <si>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</si>
  <si>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</si>
  <si>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</si>
  <si>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</si>
  <si>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</si>
  <si>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</si>
  <si>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</si>
  <si>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</si>
  <si>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</si>
  <si>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</si>
  <si>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</si>
  <si>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</si>
  <si>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</si>
  <si>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</si>
  <si>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</si>
  <si>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</si>
  <si>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</si>
  <si>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</si>
  <si>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</si>
  <si>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</si>
  <si>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</si>
  <si>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</si>
  <si>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</si>
  <si>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</si>
  <si>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</si>
  <si>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</si>
  <si>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</si>
  <si>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</si>
  <si>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</si>
  <si>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</si>
  <si>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</si>
  <si>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</si>
  <si>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</si>
  <si>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</si>
  <si>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</si>
  <si>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</si>
  <si>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</si>
  <si>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</si>
  <si>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</si>
  <si>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</si>
  <si>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</si>
  <si>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</si>
  <si>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</si>
  <si>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</si>
  <si>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</si>
  <si>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</si>
  <si>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</si>
  <si>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</si>
  <si>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</si>
  <si>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</si>
  <si>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</si>
  <si>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</si>
  <si>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</si>
  <si>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</si>
  <si>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</si>
  <si>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</si>
  <si>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</si>
  <si>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</si>
  <si>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</si>
  <si>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</si>
  <si>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</si>
  <si>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</si>
  <si>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</si>
  <si>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</si>
  <si>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</si>
  <si>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</si>
  <si>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</si>
  <si>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</si>
  <si>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</si>
  <si>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</si>
  <si>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</si>
  <si>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</si>
  <si>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</si>
  <si>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</si>
  <si>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</si>
  <si>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</si>
  <si>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</si>
  <si>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</si>
  <si>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</si>
  <si>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</si>
  <si>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</si>
  <si>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</si>
  <si>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</si>
  <si>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</si>
  <si>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</si>
  <si>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</si>
  <si>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</si>
  <si>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</si>
  <si>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</si>
  <si>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</si>
  <si>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</si>
  <si>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</si>
  <si>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</si>
  <si>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</si>
  <si>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</si>
  <si>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</si>
  <si>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</si>
  <si>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</si>
  <si>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</si>
  <si>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</si>
  <si>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</si>
  <si>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</si>
  <si>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</si>
  <si>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</si>
  <si>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</si>
  <si>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</si>
  <si>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</si>
  <si>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</si>
  <si>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</si>
  <si>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</si>
  <si>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</si>
  <si>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</si>
  <si>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</si>
  <si>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</si>
  <si>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</si>
  <si>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</si>
  <si>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</si>
  <si>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</si>
  <si>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</si>
  <si>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</si>
  <si>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</si>
  <si>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</si>
  <si>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</si>
  <si>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</si>
  <si>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</si>
  <si>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</si>
  <si>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</si>
  <si>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</si>
  <si>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</si>
  <si>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</si>
  <si>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</si>
  <si>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</si>
  <si>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</si>
  <si>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</si>
  <si>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</si>
  <si>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</si>
  <si>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</si>
  <si>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</si>
  <si>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</si>
  <si>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</si>
  <si>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</si>
  <si>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</si>
  <si>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</si>
  <si>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</si>
  <si>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</si>
  <si>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</si>
  <si>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</si>
  <si>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</si>
  <si>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</si>
  <si>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</si>
  <si>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</si>
  <si>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</si>
  <si>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</si>
  <si>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</si>
  <si>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</si>
  <si>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</si>
  <si>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</si>
  <si>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</si>
  <si>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</si>
  <si>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</si>
  <si>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</si>
  <si>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</si>
  <si>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</si>
  <si>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</si>
  <si>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</si>
  <si>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</si>
  <si>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</si>
  <si>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</si>
  <si>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</si>
  <si>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</si>
  <si>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</si>
  <si>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</si>
  <si>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</si>
  <si>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</si>
  <si>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</si>
  <si>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</si>
  <si>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</si>
  <si>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</si>
  <si>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</si>
  <si>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</si>
  <si>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</si>
  <si>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</si>
  <si>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</si>
  <si>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</si>
  <si>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</si>
  <si>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</si>
  <si>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</si>
  <si>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</si>
  <si>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</si>
  <si>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</si>
  <si>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</si>
  <si>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</si>
  <si>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</si>
  <si>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</si>
  <si>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</si>
  <si>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</si>
  <si>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</si>
  <si>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</si>
  <si>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</si>
  <si>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</si>
  <si>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</si>
  <si>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</si>
  <si>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</si>
  <si>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</si>
  <si>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</si>
  <si>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</si>
  <si>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</si>
  <si>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</si>
  <si>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</si>
  <si>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</si>
  <si>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</si>
  <si>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</si>
  <si>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</si>
  <si>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</si>
  <si>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</si>
  <si>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</si>
  <si>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</si>
  <si>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</si>
  <si>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</si>
  <si>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</si>
  <si>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</si>
  <si>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</si>
  <si>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</si>
  <si>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</si>
  <si>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</si>
  <si>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</si>
  <si>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</si>
  <si>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</si>
  <si>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</si>
  <si>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</si>
  <si>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</si>
  <si>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</si>
  <si>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</si>
  <si>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</si>
  <si>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</si>
  <si>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</si>
  <si>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</si>
  <si>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</si>
  <si>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</si>
  <si>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</si>
  <si>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</si>
  <si>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</si>
  <si>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</si>
  <si>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</si>
  <si>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</si>
  <si>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</si>
  <si>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</si>
  <si>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</si>
  <si>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</si>
  <si>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</si>
  <si>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</si>
  <si>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</si>
  <si>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</si>
  <si>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</si>
  <si>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</si>
  <si>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</si>
  <si>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</si>
  <si>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</si>
  <si>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</si>
  <si>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</si>
  <si>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</si>
  <si>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</si>
  <si>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</si>
  <si>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</si>
  <si>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</si>
  <si>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</si>
  <si>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</si>
  <si>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</si>
  <si>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</si>
  <si>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</si>
  <si>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</si>
  <si>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</si>
  <si>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</si>
  <si>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</si>
  <si>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</si>
  <si>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</si>
  <si>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</si>
  <si>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</si>
  <si>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</si>
  <si>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</si>
  <si>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</si>
  <si>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</si>
  <si>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</si>
  <si>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</si>
  <si>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</si>
  <si>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</si>
  <si>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</si>
  <si>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</si>
  <si>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</si>
  <si>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</si>
  <si>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</si>
  <si>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</si>
  <si>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</si>
  <si>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</si>
  <si>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</si>
  <si>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</si>
  <si>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</si>
  <si>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</si>
  <si>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</si>
  <si>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</si>
  <si>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</si>
  <si>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</si>
  <si>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</si>
  <si>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</si>
  <si>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</si>
  <si>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</si>
  <si>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</si>
  <si>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</si>
  <si>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</si>
  <si>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</si>
  <si>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</si>
  <si>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</si>
  <si>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</si>
  <si>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</si>
  <si>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</si>
  <si>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</si>
  <si>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</si>
  <si>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</si>
  <si>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</si>
  <si>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</si>
  <si>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</si>
  <si>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</si>
  <si>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</si>
  <si>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</si>
  <si>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</si>
  <si>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</si>
  <si>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</si>
  <si>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</si>
  <si>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</si>
  <si>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</si>
  <si>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</si>
  <si>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</si>
  <si>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</si>
  <si>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</si>
  <si>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</si>
  <si>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</si>
  <si>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</si>
  <si>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</si>
  <si>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</si>
  <si>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</si>
  <si>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</si>
  <si>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</si>
  <si>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</si>
  <si>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</si>
  <si>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</si>
  <si>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</si>
  <si>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</si>
  <si>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</si>
  <si>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</si>
  <si>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</si>
  <si>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</si>
  <si>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</si>
  <si>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</si>
  <si>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</si>
  <si>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</si>
  <si>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</si>
  <si>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</si>
  <si>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</si>
  <si>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</si>
  <si>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</si>
  <si>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</si>
  <si>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</si>
  <si>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</si>
  <si>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</si>
  <si>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</si>
  <si>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</si>
  <si>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</si>
  <si>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</si>
  <si>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</si>
  <si>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</si>
  <si>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</si>
  <si>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</si>
  <si>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</si>
  <si>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</si>
  <si>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</si>
  <si>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</si>
  <si>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</si>
  <si>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</si>
  <si>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</si>
  <si>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</si>
  <si>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</si>
  <si>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</si>
  <si>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</si>
  <si>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</si>
  <si>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</si>
  <si>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</si>
  <si>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</si>
  <si>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</si>
  <si>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</si>
  <si>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</si>
  <si>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</si>
  <si>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</si>
  <si>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</si>
  <si>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</si>
  <si>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</si>
  <si>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</si>
  <si>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</si>
  <si>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</si>
  <si>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</si>
  <si>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</si>
  <si>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</si>
  <si>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</si>
  <si>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</si>
  <si>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</si>
  <si>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</si>
  <si>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</si>
  <si>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</si>
  <si>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</si>
  <si>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</si>
  <si>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</si>
  <si>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</si>
  <si>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</si>
  <si>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</si>
  <si>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</si>
  <si>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</si>
  <si>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</si>
  <si>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</si>
  <si>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</si>
  <si>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</si>
  <si>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</si>
  <si>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</si>
  <si>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</si>
  <si>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</si>
  <si>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</si>
  <si>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</si>
  <si>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</si>
  <si>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</si>
  <si>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</si>
  <si>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</si>
  <si>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</si>
  <si>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</si>
  <si>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</si>
  <si>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</si>
  <si>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</si>
  <si>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</si>
  <si>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</si>
  <si>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</si>
  <si>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</si>
  <si>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</si>
  <si>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</si>
  <si>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</si>
  <si>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</si>
  <si>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</si>
  <si>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</si>
  <si>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</si>
  <si>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</si>
  <si>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</si>
  <si>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</si>
  <si>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</si>
  <si>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</si>
  <si>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</si>
  <si>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</si>
  <si>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</si>
  <si>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</si>
  <si>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</si>
  <si>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</si>
  <si>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</si>
  <si>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</si>
  <si>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</si>
  <si>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</si>
  <si>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</si>
  <si>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</si>
  <si>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</si>
  <si>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</si>
  <si>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</si>
  <si>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</si>
  <si>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</si>
  <si>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</si>
  <si>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</si>
  <si>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</si>
  <si>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</si>
  <si>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</si>
  <si>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</si>
  <si>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</si>
  <si>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</si>
  <si>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</si>
  <si>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</si>
  <si>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</si>
  <si>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</si>
  <si>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</si>
  <si>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</si>
  <si>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</si>
  <si>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</si>
  <si>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</si>
  <si>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</si>
  <si>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</si>
  <si>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</si>
  <si>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</si>
  <si>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</si>
  <si>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</si>
  <si>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</si>
  <si>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</si>
  <si>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</si>
  <si>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</si>
  <si>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</si>
  <si>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</si>
  <si>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</si>
  <si>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</si>
  <si>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</si>
  <si>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</si>
  <si>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</si>
  <si>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</si>
  <si>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</si>
  <si>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</si>
  <si>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</si>
  <si>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</si>
  <si>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</si>
  <si>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</si>
  <si>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</si>
  <si>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</si>
  <si>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</si>
  <si>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</si>
  <si>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</si>
  <si>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</si>
  <si>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</si>
  <si>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</si>
  <si>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</si>
  <si>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</si>
  <si>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</si>
  <si>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</si>
  <si>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</si>
  <si>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</si>
  <si>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</si>
  <si>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</si>
  <si>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</si>
  <si>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</si>
  <si>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</si>
  <si>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</si>
  <si>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</si>
  <si>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</si>
  <si>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</si>
  <si>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</si>
  <si>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</si>
  <si>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</si>
  <si>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</si>
  <si>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</si>
  <si>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</si>
  <si>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</si>
  <si>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</si>
  <si>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</si>
  <si>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</si>
  <si>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</si>
  <si>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</si>
  <si>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</si>
  <si>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</si>
  <si>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</si>
  <si>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</si>
  <si>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</si>
  <si>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</si>
  <si>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</si>
  <si>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</si>
  <si>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</si>
  <si>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</si>
  <si>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</si>
  <si>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</si>
  <si>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</si>
  <si>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</si>
  <si>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</si>
  <si>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</si>
  <si>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</si>
  <si>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</si>
  <si>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</si>
  <si>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</si>
  <si>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</si>
  <si>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</si>
  <si>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</si>
  <si>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</si>
  <si>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</si>
  <si>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</si>
  <si>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</si>
  <si>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</si>
  <si>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</si>
  <si>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</si>
  <si>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</si>
  <si>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</si>
  <si>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</si>
  <si>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</si>
  <si>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</si>
  <si>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</si>
  <si>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</si>
  <si>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</si>
  <si>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</si>
  <si>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</si>
  <si>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</si>
  <si>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</si>
  <si>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</si>
  <si>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</si>
  <si>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</si>
  <si>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</si>
  <si>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</si>
  <si>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</si>
  <si>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</si>
  <si>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</si>
  <si>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</si>
  <si>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</si>
  <si>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</si>
  <si>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</si>
  <si>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</si>
  <si>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</si>
  <si>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</si>
  <si>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</si>
  <si>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</si>
  <si>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</si>
  <si>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</si>
  <si>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</si>
  <si>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</si>
  <si>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</si>
  <si>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</si>
  <si>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</si>
  <si>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</si>
  <si>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</si>
  <si>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</si>
  <si>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</si>
  <si>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</si>
  <si>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</si>
  <si>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</si>
  <si>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</si>
  <si>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</si>
  <si>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</si>
  <si>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</si>
  <si>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</si>
  <si>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</si>
  <si>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</si>
  <si>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</si>
  <si>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</si>
  <si>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</si>
  <si>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</si>
  <si>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</si>
  <si>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</si>
  <si>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</si>
  <si>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</si>
  <si>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</si>
  <si>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</si>
  <si>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</si>
  <si>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</si>
  <si>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</si>
  <si>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</si>
  <si>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</si>
  <si>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</si>
  <si>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</si>
  <si>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</si>
  <si>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</si>
  <si>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</si>
  <si>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</si>
  <si>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</si>
  <si>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</si>
  <si>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</si>
  <si>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</si>
  <si>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</si>
  <si>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</si>
  <si>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</si>
  <si>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</si>
  <si>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</si>
  <si>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</si>
  <si>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</si>
  <si>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</si>
  <si>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</si>
  <si>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</si>
  <si>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</si>
  <si>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</si>
  <si>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</si>
  <si>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</si>
  <si>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</si>
  <si>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</si>
  <si>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</si>
  <si>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</si>
  <si>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</si>
  <si>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</si>
  <si>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</si>
  <si>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</si>
  <si>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</si>
  <si>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</si>
  <si>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</si>
  <si>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</si>
  <si>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</si>
  <si>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</si>
  <si>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</si>
  <si>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</si>
  <si>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</si>
  <si>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</si>
  <si>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</si>
  <si>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</si>
  <si>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</si>
  <si>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</si>
  <si>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</si>
  <si>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</si>
  <si>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</si>
  <si>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</si>
  <si>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</si>
  <si>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</si>
  <si>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</si>
  <si>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</si>
  <si>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</si>
  <si>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</si>
  <si>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</si>
  <si>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</si>
  <si>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</si>
  <si>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</si>
  <si>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</si>
  <si>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</si>
  <si>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</si>
  <si>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</si>
  <si>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</si>
  <si>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</si>
  <si>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</si>
  <si>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</si>
  <si>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</si>
  <si>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</si>
  <si>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</si>
  <si>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</si>
  <si>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</si>
  <si>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</si>
  <si>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</si>
  <si>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</si>
  <si>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</si>
  <si>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</si>
  <si>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</si>
  <si>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</si>
  <si>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</si>
  <si>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</si>
  <si>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</si>
  <si>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</si>
  <si>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</si>
  <si>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</si>
  <si>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</si>
  <si>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</si>
  <si>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</si>
  <si>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</si>
  <si>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</si>
  <si>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</si>
  <si>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</si>
  <si>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</si>
  <si>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</si>
  <si>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</si>
  <si>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</si>
  <si>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</si>
  <si>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</si>
  <si>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</si>
  <si>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</si>
  <si>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</si>
  <si>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</si>
  <si>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</si>
  <si>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</si>
  <si>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</si>
  <si>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</si>
  <si>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</si>
  <si>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</si>
  <si>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</si>
  <si>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</si>
  <si>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</si>
  <si>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</si>
  <si>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</si>
  <si>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</si>
  <si>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</si>
  <si>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</si>
  <si>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</si>
  <si>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</si>
  <si>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</si>
  <si>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</si>
  <si>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</si>
  <si>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</si>
  <si>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</si>
  <si>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</si>
  <si>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</si>
  <si>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</si>
  <si>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</si>
  <si>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</si>
  <si>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</si>
  <si>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</si>
  <si>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</si>
  <si>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</si>
  <si>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</si>
  <si>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</si>
  <si>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</si>
  <si>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</si>
  <si>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</si>
  <si>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</si>
  <si>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</si>
  <si>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</si>
  <si>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</si>
  <si>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</si>
  <si>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</si>
  <si>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</si>
  <si>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</si>
  <si>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</si>
  <si>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</si>
  <si>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</si>
  <si>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</si>
  <si>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</si>
  <si>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</si>
  <si>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</si>
  <si>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</si>
  <si>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</si>
  <si>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</si>
  <si>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</si>
  <si>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</si>
  <si>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</si>
  <si>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</si>
  <si>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</si>
  <si>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</si>
  <si>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</si>
  <si>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</si>
  <si>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</si>
  <si>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</si>
  <si>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</si>
  <si>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</si>
  <si>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</si>
  <si>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</si>
  <si>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</si>
  <si>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</si>
  <si>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</si>
  <si>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</si>
  <si>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</si>
  <si>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</si>
  <si>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</si>
  <si>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</si>
  <si>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</si>
  <si>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</si>
  <si>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</si>
  <si>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</si>
  <si>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</si>
  <si>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</si>
  <si>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</si>
  <si>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</si>
  <si>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</si>
  <si>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</si>
  <si>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</si>
  <si>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</si>
  <si>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</si>
  <si>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</si>
  <si>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</si>
  <si>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</si>
  <si>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</si>
  <si>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</si>
  <si>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</si>
  <si>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</si>
  <si>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</si>
  <si>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</si>
  <si>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</si>
  <si>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</si>
  <si>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</si>
  <si>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</si>
  <si>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</si>
  <si>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</si>
  <si>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</si>
  <si>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</si>
  <si>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</si>
  <si>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</si>
  <si>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</si>
  <si>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</si>
  <si>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</si>
  <si>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</si>
  <si>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</si>
  <si>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</si>
  <si>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</si>
  <si>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</si>
  <si>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</si>
  <si>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</si>
  <si>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</si>
  <si>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</si>
  <si>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</si>
  <si>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</si>
  <si>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</si>
  <si>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</si>
  <si>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</si>
  <si>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</si>
  <si>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</si>
  <si>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</si>
  <si>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</si>
  <si>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</si>
  <si>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</si>
  <si>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</si>
  <si>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</si>
  <si>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</si>
  <si>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</si>
  <si>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</si>
  <si>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</si>
  <si>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</si>
  <si>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</si>
  <si>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</si>
  <si>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</si>
  <si>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</si>
  <si>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</si>
  <si>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</si>
  <si>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</si>
  <si>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</si>
  <si>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</si>
  <si>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</si>
  <si>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</si>
  <si>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</si>
  <si>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</si>
  <si>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</si>
  <si>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</si>
  <si>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</si>
  <si>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</si>
  <si>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</si>
  <si>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</si>
  <si>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</si>
  <si>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</si>
  <si>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</si>
  <si>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</si>
  <si>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</si>
  <si>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</si>
  <si>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</si>
  <si>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</si>
  <si>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</si>
  <si>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</si>
  <si>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</si>
  <si>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</si>
  <si>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</si>
  <si>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</si>
  <si>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</si>
  <si>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</si>
  <si>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</si>
  <si>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</si>
  <si>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</si>
  <si>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</si>
  <si>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</si>
  <si>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</si>
  <si>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</si>
  <si>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</si>
  <si>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</si>
  <si>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</si>
  <si>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</si>
  <si>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</si>
  <si>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</si>
  <si>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</si>
  <si>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</si>
  <si>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</si>
  <si>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</si>
  <si>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</si>
  <si>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</si>
  <si>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</si>
  <si>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</si>
  <si>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</si>
  <si>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</si>
  <si>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</si>
  <si>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</si>
  <si>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</si>
  <si>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</si>
  <si>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</si>
  <si>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</si>
  <si>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</si>
  <si>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</si>
  <si>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</si>
  <si>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</si>
  <si>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</si>
  <si>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</si>
  <si>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</si>
  <si>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</si>
  <si>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</si>
  <si>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</si>
  <si>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</si>
  <si>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</si>
  <si>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</si>
  <si>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</si>
  <si>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</si>
  <si>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</si>
  <si>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</si>
  <si>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</si>
  <si>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</si>
  <si>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</si>
  <si>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</si>
  <si>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</si>
  <si>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</si>
  <si>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</si>
  <si>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</si>
  <si>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</si>
  <si>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</si>
  <si>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</si>
  <si>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</si>
  <si>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</si>
  <si>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</si>
  <si>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</si>
  <si>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</si>
  <si>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</si>
  <si>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</si>
  <si>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</si>
  <si>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</si>
  <si>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</si>
  <si>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</si>
  <si>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</si>
  <si>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</si>
  <si>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</si>
  <si>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</si>
  <si>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</si>
  <si>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</si>
  <si>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</si>
  <si>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</si>
  <si>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</si>
  <si>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</si>
  <si>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</si>
  <si>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</si>
  <si>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</si>
  <si>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</si>
  <si>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</si>
  <si>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</si>
  <si>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</si>
  <si>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</si>
  <si>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</si>
  <si>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</si>
  <si>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</si>
  <si>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</si>
  <si>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</si>
  <si>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</si>
  <si>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</si>
  <si>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</si>
  <si>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</si>
  <si>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</si>
  <si>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</si>
  <si>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</si>
  <si>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</si>
  <si>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</si>
  <si>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</si>
  <si>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</si>
  <si>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</si>
  <si>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</si>
  <si>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</si>
  <si>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</si>
  <si>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</si>
  <si>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</si>
  <si>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</si>
  <si>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</si>
  <si>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</si>
  <si>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</si>
  <si>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</si>
  <si>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</si>
  <si>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</si>
  <si>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</si>
  <si>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</si>
  <si>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</si>
  <si>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</si>
  <si>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</si>
  <si>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</si>
  <si>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</si>
  <si>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</si>
  <si>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</si>
  <si>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</si>
  <si>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</si>
  <si>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</si>
  <si>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</si>
  <si>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</si>
  <si>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</si>
  <si>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</si>
  <si>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</si>
  <si>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</si>
  <si>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</si>
  <si>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</si>
  <si>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</si>
  <si>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</si>
  <si>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</si>
  <si>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</si>
  <si>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</si>
  <si>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</si>
  <si>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</si>
  <si>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</si>
  <si>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</si>
  <si>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</si>
  <si>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</si>
  <si>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</si>
  <si>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</si>
  <si>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</si>
  <si>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</si>
  <si>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</si>
  <si>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</si>
  <si>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</si>
  <si>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</si>
  <si>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</si>
  <si>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</si>
  <si>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</si>
  <si>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</si>
  <si>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</si>
  <si>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</si>
  <si>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</si>
  <si>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</si>
  <si>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</si>
  <si>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</si>
  <si>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</si>
  <si>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</si>
  <si>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</si>
  <si>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</si>
  <si>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</si>
  <si>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</si>
  <si>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</si>
  <si>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</si>
  <si>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</si>
  <si>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</si>
  <si>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</si>
  <si>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</si>
  <si>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</si>
  <si>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</si>
  <si>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</si>
  <si>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</si>
  <si>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</si>
  <si>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</si>
  <si>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</si>
  <si>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</si>
  <si>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</si>
  <si>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</si>
  <si>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</si>
  <si>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</si>
  <si>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</si>
  <si>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</si>
  <si>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</si>
  <si>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</si>
  <si>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</si>
  <si>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</si>
  <si>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</si>
  <si>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</si>
  <si>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</si>
  <si>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</si>
  <si>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</si>
  <si>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</si>
  <si>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</si>
  <si>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</si>
  <si>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</si>
  <si>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</si>
  <si>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</si>
  <si>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</si>
  <si>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</si>
  <si>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</si>
  <si>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</si>
  <si>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</si>
  <si>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</si>
  <si>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</si>
  <si>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</si>
  <si>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</si>
  <si>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</si>
  <si>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</si>
  <si>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</si>
  <si>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</si>
  <si>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</si>
  <si>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</si>
  <si>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</si>
  <si>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</si>
  <si>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</si>
  <si>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</si>
  <si>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</si>
  <si>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</si>
  <si>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</si>
  <si>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</si>
  <si>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</si>
  <si>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</si>
  <si>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</si>
  <si>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</si>
  <si>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</si>
  <si>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</si>
  <si>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</si>
  <si>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</si>
  <si>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</si>
  <si>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</si>
  <si>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</si>
  <si>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</si>
  <si>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</si>
  <si>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</si>
  <si>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</si>
  <si>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</si>
  <si>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</si>
  <si>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</si>
  <si>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</si>
  <si>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</si>
  <si>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</si>
  <si>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</si>
  <si>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</si>
  <si>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</si>
  <si>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</si>
  <si>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</si>
  <si>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</si>
  <si>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</si>
  <si>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</si>
  <si>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</si>
  <si>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</si>
  <si>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</si>
  <si>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</si>
  <si>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</si>
  <si>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</si>
  <si>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</si>
  <si>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</si>
  <si>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</si>
  <si>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</si>
  <si>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</si>
  <si>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</si>
  <si>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</si>
  <si>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</si>
  <si>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</si>
  <si>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</si>
  <si>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</si>
  <si>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</si>
  <si>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</si>
  <si>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</si>
  <si>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</si>
  <si>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</si>
  <si>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</si>
  <si>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</si>
  <si>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</si>
  <si>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</si>
  <si>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</si>
  <si>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</si>
  <si>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</si>
  <si>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</si>
  <si>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</si>
  <si>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</si>
  <si>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</si>
  <si>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</si>
  <si>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</si>
  <si>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</si>
  <si>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</si>
  <si>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</si>
  <si>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</si>
  <si>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</si>
  <si>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</si>
  <si>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</si>
  <si>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</si>
  <si>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</si>
  <si>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</si>
  <si>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</si>
  <si>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</si>
  <si>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</si>
  <si>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</si>
  <si>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</si>
  <si>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</si>
  <si>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</si>
  <si>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</si>
  <si>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</si>
  <si>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</si>
  <si>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</si>
  <si>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</si>
  <si>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</si>
  <si>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</si>
  <si>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</si>
  <si>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</si>
  <si>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</si>
  <si>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</si>
  <si>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</si>
  <si>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</si>
  <si>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</si>
  <si>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</si>
  <si>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</si>
  <si>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</si>
  <si>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</si>
  <si>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</si>
  <si>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</si>
  <si>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</si>
  <si>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</si>
  <si>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</si>
  <si>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</si>
  <si>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</si>
  <si>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</si>
  <si>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</si>
  <si>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</si>
  <si>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</si>
  <si>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</si>
  <si>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</si>
  <si>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</si>
  <si>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</si>
  <si>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</si>
  <si>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</si>
  <si>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</si>
  <si>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</si>
  <si>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</si>
  <si>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</si>
  <si>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</si>
  <si>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</si>
  <si>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</si>
  <si>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</si>
  <si>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</si>
  <si>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</si>
  <si>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</si>
  <si>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</si>
  <si>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</si>
  <si>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</si>
  <si>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</si>
  <si>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</si>
  <si>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</si>
  <si>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</si>
  <si>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</si>
  <si>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</si>
  <si>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</si>
  <si>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</si>
  <si>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</si>
  <si>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</si>
  <si>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</si>
  <si>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</si>
  <si>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</si>
  <si>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</si>
  <si>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</si>
  <si>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</si>
  <si>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</si>
  <si>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</si>
  <si>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</si>
  <si>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</si>
  <si>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</si>
  <si>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</si>
  <si>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</si>
  <si>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</si>
  <si>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</si>
  <si>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</si>
  <si>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</si>
  <si>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</si>
  <si>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</si>
  <si>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</si>
  <si>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</si>
  <si>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</si>
  <si>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</si>
  <si>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</si>
  <si>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</si>
  <si>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</si>
  <si>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</si>
  <si>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</si>
  <si>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</si>
  <si>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</si>
  <si>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</si>
  <si>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</si>
  <si>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</si>
  <si>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</si>
  <si>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</si>
  <si>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</si>
  <si>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</si>
  <si>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</si>
  <si>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</si>
  <si>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</si>
  <si>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</si>
  <si>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</si>
  <si>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</si>
  <si>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</si>
  <si>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</si>
  <si>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</si>
  <si>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</si>
  <si>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</si>
  <si>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</si>
  <si>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</si>
  <si>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</si>
  <si>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</si>
  <si>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</si>
  <si>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</si>
  <si>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</si>
  <si>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</si>
  <si>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</si>
  <si>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</si>
  <si>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</si>
  <si>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</si>
  <si>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</si>
  <si>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</si>
  <si>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</si>
  <si>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</si>
  <si>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</si>
  <si>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</si>
  <si>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</si>
  <si>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</si>
  <si>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</si>
  <si>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</si>
  <si>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</si>
  <si>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</si>
  <si>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</si>
  <si>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</si>
  <si>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</si>
  <si>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</si>
  <si>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</si>
  <si>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</si>
  <si>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</si>
  <si>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</si>
  <si>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</si>
  <si>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</si>
  <si>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</si>
  <si>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</si>
  <si>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</si>
  <si>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</si>
  <si>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</si>
  <si>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</si>
  <si>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</si>
  <si>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</si>
  <si>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</si>
  <si>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</si>
  <si>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</si>
  <si>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</si>
  <si>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</si>
  <si>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</si>
  <si>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</si>
  <si>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</si>
  <si>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</si>
  <si>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</si>
  <si>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</si>
  <si>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</si>
  <si>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</si>
  <si>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</si>
  <si>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</si>
  <si>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</si>
  <si>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</si>
  <si>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</si>
  <si>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</si>
  <si>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</si>
  <si>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</si>
  <si>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</si>
  <si>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</si>
  <si>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</si>
  <si>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</si>
  <si>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</si>
  <si>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</si>
  <si>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</si>
  <si>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</si>
  <si>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</si>
  <si>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</si>
  <si>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</si>
  <si>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</si>
  <si>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</si>
  <si>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</si>
  <si>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</si>
  <si>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</si>
  <si>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</si>
  <si>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</si>
  <si>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</si>
  <si>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</si>
  <si>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</si>
  <si>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</si>
  <si>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</si>
  <si>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</si>
  <si>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</si>
  <si>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</si>
  <si>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</si>
  <si>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</si>
  <si>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</si>
  <si>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</si>
  <si>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</si>
  <si>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</si>
  <si>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</si>
  <si>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</si>
  <si>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</si>
  <si>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</si>
  <si>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</si>
  <si>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</si>
  <si>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</si>
  <si>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</si>
  <si>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</si>
  <si>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</si>
  <si>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</si>
  <si>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</si>
  <si>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</si>
  <si>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</si>
  <si>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</si>
  <si>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</si>
  <si>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</si>
  <si>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</si>
  <si>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</si>
  <si>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</si>
  <si>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</si>
  <si>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</si>
  <si>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</si>
  <si>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</si>
  <si>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</si>
  <si>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</si>
  <si>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</si>
  <si>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</si>
  <si>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</si>
  <si>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</si>
  <si>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</si>
  <si>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</si>
  <si>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</si>
  <si>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</si>
  <si>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</si>
  <si>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</si>
  <si>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</si>
  <si>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</si>
  <si>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</si>
  <si>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</si>
  <si>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</si>
  <si>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</si>
  <si>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</si>
  <si>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</si>
  <si>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</si>
  <si>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</si>
  <si>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</si>
  <si>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</si>
  <si>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</si>
  <si>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</si>
  <si>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</si>
  <si>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</si>
  <si>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</si>
  <si>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</si>
  <si>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</si>
  <si>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</si>
  <si>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</si>
  <si>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</si>
  <si>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</si>
  <si>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</si>
  <si>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</si>
  <si>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</si>
  <si>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</si>
  <si>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</si>
  <si>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</si>
  <si>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</si>
  <si>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</si>
  <si>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</si>
  <si>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</si>
  <si>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</si>
  <si>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</si>
  <si>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</si>
  <si>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</si>
  <si>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</si>
  <si>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</si>
  <si>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</si>
  <si>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</si>
  <si>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</si>
  <si>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</si>
  <si>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</si>
  <si>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</si>
  <si>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</si>
  <si>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</si>
  <si>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</si>
  <si>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</si>
  <si>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</si>
  <si>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</si>
  <si>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</si>
  <si>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</si>
  <si>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</si>
  <si>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</si>
  <si>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</si>
  <si>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</si>
  <si>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</si>
  <si>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</si>
  <si>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</si>
  <si>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</si>
  <si>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</si>
  <si>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</si>
  <si>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</si>
  <si>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</si>
  <si>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</si>
  <si>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</si>
  <si>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</si>
  <si>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</si>
  <si>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</si>
  <si>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</si>
  <si>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</si>
  <si>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</si>
  <si>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</si>
  <si>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</si>
  <si>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</si>
  <si>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</si>
  <si>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</si>
  <si>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</si>
  <si>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</si>
  <si>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</si>
  <si>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</si>
  <si>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</si>
  <si>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</si>
  <si>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</si>
  <si>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</si>
  <si>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</si>
  <si>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</si>
  <si>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</si>
  <si>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</si>
  <si>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</si>
  <si>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</si>
  <si>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</si>
  <si>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</si>
  <si>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</si>
  <si>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</si>
  <si>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</si>
  <si>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</si>
  <si>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</si>
  <si>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</si>
  <si>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</si>
  <si>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</si>
  <si>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</si>
  <si>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</si>
  <si>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</si>
  <si>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</si>
  <si>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</si>
  <si>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</si>
  <si>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</si>
  <si>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</si>
  <si>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</si>
  <si>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</si>
  <si>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</si>
  <si>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</si>
  <si>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</si>
  <si>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</si>
  <si>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</si>
  <si>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</si>
  <si>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</si>
  <si>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</si>
  <si>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</si>
  <si>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</si>
  <si>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</si>
  <si>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</si>
  <si>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</si>
  <si>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</si>
  <si>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</si>
  <si>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</si>
  <si>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</si>
  <si>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</si>
  <si>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</si>
  <si>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</si>
  <si>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</si>
  <si>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</si>
  <si>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</si>
  <si>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</si>
  <si>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</si>
  <si>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</si>
  <si>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</si>
  <si>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</si>
  <si>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</si>
  <si>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</si>
  <si>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</si>
  <si>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</si>
  <si>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</si>
  <si>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</si>
  <si>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</si>
  <si>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</si>
  <si>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</si>
  <si>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</si>
  <si>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</si>
  <si>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</si>
  <si>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</si>
  <si>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</si>
  <si>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</si>
  <si>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</si>
  <si>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</si>
  <si>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</si>
  <si>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</si>
  <si>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</si>
  <si>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</si>
  <si>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</si>
  <si>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</si>
  <si>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</si>
  <si>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</si>
  <si>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</si>
  <si>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</si>
  <si>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</si>
  <si>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</si>
  <si>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</si>
  <si>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</si>
  <si>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</si>
  <si>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</si>
  <si>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</si>
  <si>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</si>
  <si>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</si>
  <si>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</si>
  <si>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</si>
  <si>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</si>
  <si>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</si>
  <si>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</si>
  <si>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</si>
  <si>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</si>
  <si>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</si>
  <si>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</si>
  <si>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</si>
  <si>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</si>
  <si>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</si>
  <si>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</si>
  <si>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</si>
  <si>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</si>
  <si>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</si>
  <si>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</si>
  <si>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</si>
  <si>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</si>
  <si>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</si>
  <si>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</si>
  <si>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</si>
  <si>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</si>
  <si>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</si>
  <si>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</si>
  <si>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</si>
  <si>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</si>
  <si>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</si>
  <si>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</si>
  <si>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</si>
  <si>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</si>
  <si>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</si>
  <si>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</si>
  <si>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</si>
  <si>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</si>
  <si>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</si>
  <si>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</si>
  <si>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</si>
  <si>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</si>
  <si>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</si>
  <si>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</si>
  <si>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</si>
  <si>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</si>
  <si>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</si>
  <si>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</si>
  <si>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</si>
  <si>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</si>
  <si>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</si>
  <si>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</si>
  <si>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</si>
  <si>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</si>
  <si>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</si>
  <si>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</si>
  <si>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</si>
  <si>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</si>
  <si>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</si>
  <si>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</si>
  <si>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</si>
  <si>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</si>
  <si>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</si>
  <si>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</si>
  <si>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</si>
  <si>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</si>
  <si>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</si>
  <si>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</si>
  <si>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</si>
  <si>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</si>
  <si>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</si>
  <si>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</si>
  <si>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</si>
  <si>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</si>
  <si>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</si>
  <si>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</si>
  <si>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</si>
  <si>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</si>
  <si>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</si>
  <si>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</si>
  <si>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</si>
  <si>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</si>
  <si>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</si>
  <si>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</si>
  <si>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</si>
  <si>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</si>
  <si>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</si>
  <si>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</si>
  <si>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</si>
  <si>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</si>
  <si>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</si>
  <si>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</si>
  <si>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</si>
  <si>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</si>
  <si>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</si>
  <si>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</si>
  <si>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</si>
  <si>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</si>
  <si>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</si>
  <si>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</si>
  <si>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</si>
  <si>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</si>
  <si>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</si>
  <si>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</si>
  <si>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</si>
  <si>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</si>
  <si>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</si>
  <si>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</si>
  <si>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</si>
  <si>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</si>
  <si>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</si>
  <si>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</si>
  <si>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</si>
  <si>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</si>
  <si>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</si>
  <si>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</si>
  <si>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</si>
  <si>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</si>
  <si>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</si>
  <si>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</si>
  <si>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</si>
  <si>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</si>
  <si>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</si>
  <si>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</si>
  <si>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</si>
  <si>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</si>
  <si>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</si>
  <si>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</si>
  <si>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</si>
  <si>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</si>
  <si>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</si>
  <si>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</si>
  <si>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</si>
  <si>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</si>
  <si>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</si>
  <si>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</si>
  <si>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</si>
  <si>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</si>
  <si>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</si>
  <si>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</si>
  <si>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</si>
  <si>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</si>
  <si>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</si>
  <si>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</si>
  <si>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</si>
  <si>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</si>
  <si>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</si>
  <si>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</si>
  <si>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</si>
  <si>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</si>
  <si>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</si>
  <si>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</si>
  <si>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</si>
  <si>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</si>
  <si>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</si>
  <si>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</si>
  <si>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</si>
  <si>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</si>
  <si>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</si>
  <si>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</si>
  <si>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</si>
  <si>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</si>
  <si>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</si>
  <si>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</si>
  <si>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</si>
  <si>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</si>
  <si>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</si>
  <si>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</si>
  <si>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</si>
  <si>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</si>
  <si>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</si>
  <si>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</si>
  <si>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</si>
  <si>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</si>
  <si>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</si>
  <si>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</si>
  <si>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</si>
  <si>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</si>
  <si>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</si>
  <si>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</si>
  <si>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</si>
  <si>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</si>
  <si>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</si>
  <si>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</si>
  <si>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</si>
  <si>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</si>
  <si>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</si>
  <si>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</si>
  <si>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</si>
  <si>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</si>
  <si>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</si>
  <si>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</si>
  <si>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</si>
  <si>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</si>
  <si>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</si>
  <si>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</si>
  <si>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</si>
  <si>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</si>
  <si>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</si>
  <si>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</si>
  <si>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</si>
  <si>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</si>
  <si>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</si>
  <si>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</si>
  <si>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</si>
  <si>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</si>
  <si>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</si>
  <si>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</si>
  <si>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</si>
  <si>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</si>
  <si>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</si>
  <si>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</si>
  <si>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</si>
  <si>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</si>
  <si>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</si>
  <si>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</si>
  <si>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</si>
  <si>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</si>
  <si>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</si>
  <si>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</si>
  <si>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</si>
  <si>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</si>
  <si>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</si>
  <si>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</si>
  <si>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</si>
  <si>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</si>
  <si>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</si>
  <si>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</si>
  <si>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</si>
  <si>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</si>
  <si>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</si>
  <si>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</si>
  <si>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</si>
  <si>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</si>
  <si>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</si>
  <si>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</si>
  <si>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</si>
  <si>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</si>
  <si>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</si>
  <si>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</si>
  <si>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</si>
  <si>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</si>
  <si>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</si>
  <si>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</si>
  <si>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</si>
  <si>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</si>
  <si>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</si>
  <si>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</si>
  <si>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</si>
  <si>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</si>
  <si>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</si>
  <si>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</si>
  <si>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</si>
  <si>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</si>
  <si>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</si>
  <si>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</si>
  <si>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</si>
  <si>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</si>
  <si>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</si>
  <si>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</si>
  <si>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</si>
  <si>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</si>
  <si>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</si>
  <si>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</si>
  <si>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</si>
  <si>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</si>
  <si>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</si>
  <si>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</si>
  <si>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</si>
  <si>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</si>
  <si>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</si>
  <si>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</si>
  <si>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</si>
  <si>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</si>
  <si>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</si>
  <si>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</si>
  <si>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</si>
  <si>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</si>
  <si>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</si>
  <si>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</si>
  <si>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</si>
  <si>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</si>
  <si>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</si>
  <si>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</si>
  <si>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</si>
  <si>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</si>
  <si>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</si>
  <si>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</si>
  <si>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</si>
  <si>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</si>
  <si>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</si>
  <si>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</si>
  <si>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</si>
  <si>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</si>
  <si>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</si>
  <si>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</si>
  <si>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</si>
  <si>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</si>
  <si>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</si>
  <si>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</si>
  <si>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</si>
  <si>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</si>
  <si>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</si>
  <si>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</si>
  <si>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</si>
  <si>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</si>
  <si>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</si>
  <si>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</si>
  <si>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</si>
  <si>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</si>
  <si>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</si>
  <si>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</si>
  <si>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</si>
  <si>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</si>
  <si>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</si>
  <si>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</si>
  <si>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</si>
  <si>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</si>
  <si>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</si>
  <si>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</si>
  <si>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</si>
  <si>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</si>
  <si>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</si>
  <si>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</si>
  <si>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</si>
  <si>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</si>
  <si>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</si>
  <si>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</si>
  <si>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</si>
  <si>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</si>
  <si>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</si>
  <si>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</si>
  <si>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</si>
  <si>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</si>
  <si>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</si>
  <si>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</si>
  <si>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</si>
  <si>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</si>
  <si>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</si>
  <si>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</si>
  <si>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</si>
  <si>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</si>
  <si>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</si>
  <si>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</si>
  <si>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</si>
  <si>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</si>
  <si>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</si>
  <si>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</si>
  <si>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</si>
  <si>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</si>
  <si>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</si>
  <si>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</si>
  <si>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</si>
  <si>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</si>
  <si>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</si>
  <si>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</si>
  <si>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</si>
  <si>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</si>
  <si>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</si>
  <si>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</si>
  <si>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</si>
  <si>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</si>
  <si>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</si>
  <si>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</si>
  <si>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</si>
  <si>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</si>
  <si>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</si>
  <si>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</si>
  <si>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</si>
  <si>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</si>
  <si>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</si>
  <si>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</si>
  <si>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</si>
  <si>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</si>
  <si>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</si>
  <si>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</si>
  <si>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</si>
  <si>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</si>
  <si>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</si>
  <si>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</si>
  <si>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</si>
  <si>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</si>
  <si>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</si>
  <si>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</si>
  <si>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</si>
  <si>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</si>
  <si>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</si>
  <si>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</si>
  <si>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</si>
  <si>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</si>
  <si>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</si>
  <si>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</si>
  <si>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</si>
  <si>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</si>
  <si>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</si>
  <si>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</si>
  <si>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</si>
  <si>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</si>
  <si>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</si>
  <si>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</si>
  <si>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</si>
  <si>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</si>
  <si>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</si>
  <si>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</si>
  <si>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</si>
  <si>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</si>
  <si>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</si>
  <si>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</si>
  <si>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</si>
  <si>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</si>
  <si>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</si>
  <si>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</si>
  <si>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</si>
  <si>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</si>
  <si>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</si>
  <si>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</si>
  <si>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</si>
  <si>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</si>
  <si>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</si>
  <si>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</si>
  <si>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</si>
  <si>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</si>
  <si>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</si>
  <si>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</si>
  <si>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</si>
  <si>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</si>
  <si>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</si>
  <si>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</si>
  <si>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</si>
  <si>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</si>
  <si>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</si>
  <si>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</si>
  <si>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</si>
  <si>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</si>
  <si>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</si>
  <si>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</si>
  <si>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</si>
  <si>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</si>
  <si>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</si>
  <si>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</si>
  <si>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</si>
  <si>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</si>
  <si>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</si>
  <si>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</si>
  <si>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</si>
  <si>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</si>
  <si>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</si>
  <si>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</si>
  <si>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</si>
  <si>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</si>
  <si>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</si>
  <si>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</si>
  <si>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</si>
  <si>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</si>
  <si>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</si>
  <si>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</si>
  <si>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</si>
  <si>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</si>
  <si>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</si>
  <si>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</si>
  <si>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</si>
  <si>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</si>
  <si>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</si>
  <si>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</si>
  <si>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</si>
  <si>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</si>
  <si>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</si>
  <si>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</si>
  <si>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</si>
  <si>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</si>
  <si>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</si>
  <si>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</si>
  <si>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</si>
  <si>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</si>
  <si>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</si>
  <si>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</si>
  <si>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</si>
  <si>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</si>
  <si>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</si>
  <si>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</si>
  <si>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</si>
  <si>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</si>
  <si>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</si>
  <si>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</si>
  <si>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</si>
  <si>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</si>
  <si>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</si>
  <si>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</si>
  <si>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</si>
  <si>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</si>
  <si>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</si>
  <si>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</si>
  <si>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</si>
  <si>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</si>
  <si>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</si>
  <si>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</si>
  <si>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</si>
  <si>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</si>
  <si>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</si>
  <si>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</si>
  <si>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</si>
  <si>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</si>
  <si>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</si>
  <si>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</si>
  <si>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</si>
  <si>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</si>
  <si>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</si>
  <si>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</si>
  <si>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</si>
  <si>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</si>
  <si>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</si>
  <si>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</si>
  <si>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</si>
  <si>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</si>
  <si>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</si>
  <si>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办公项目</t>
  </si>
  <si>
    <t>无</t>
  </si>
  <si>
    <t>否</t>
  </si>
  <si>
    <t>现房</t>
  </si>
  <si>
    <t>北京市</t>
  </si>
  <si>
    <t>企业</t>
  </si>
  <si>
    <t>是</t>
  </si>
  <si>
    <t>地上</t>
  </si>
  <si>
    <t>办公</t>
    <phoneticPr fontId="7" type="noConversion"/>
  </si>
  <si>
    <t>成新度</t>
  </si>
  <si>
    <t>收益法 (元)</t>
  </si>
  <si>
    <t>未包含在土地购买价格中</t>
  </si>
  <si>
    <t>全部缴纳</t>
  </si>
  <si>
    <t>已包含在土地取得成本中</t>
  </si>
  <si>
    <t>押一</t>
  </si>
  <si>
    <t>钢混</t>
  </si>
  <si>
    <t>非生产用房</t>
  </si>
  <si>
    <t>比较法-办公</t>
  </si>
  <si>
    <t>办公</t>
    <phoneticPr fontId="31" type="noConversion"/>
  </si>
  <si>
    <t>正常</t>
  </si>
  <si>
    <t>高区</t>
  </si>
  <si>
    <t>中区</t>
  </si>
  <si>
    <t>低区</t>
  </si>
  <si>
    <t>塔楼</t>
  </si>
  <si>
    <t>塔楼</t>
    <phoneticPr fontId="31" type="noConversion"/>
  </si>
  <si>
    <t>钢混</t>
    <phoneticPr fontId="31" type="noConversion"/>
  </si>
  <si>
    <t>精装</t>
  </si>
  <si>
    <t>精装</t>
    <phoneticPr fontId="31" type="noConversion"/>
  </si>
  <si>
    <t>简装</t>
  </si>
  <si>
    <t>毛坯</t>
  </si>
  <si>
    <t>报价</t>
  </si>
  <si>
    <t>报价</t>
    <phoneticPr fontId="31" type="noConversion"/>
  </si>
  <si>
    <t>较好</t>
  </si>
  <si>
    <t>七通</t>
  </si>
  <si>
    <t>商务金融用地</t>
  </si>
  <si>
    <t>自定义容积率</t>
  </si>
  <si>
    <t>与级别开发程度不一致</t>
  </si>
  <si>
    <t>通路</t>
  </si>
  <si>
    <t>通电</t>
  </si>
  <si>
    <t>通讯</t>
  </si>
  <si>
    <t>通上水</t>
  </si>
  <si>
    <t>平整</t>
  </si>
  <si>
    <t>中心城区以外</t>
  </si>
  <si>
    <t>序号</t>
  </si>
  <si>
    <t>坐落</t>
  </si>
  <si>
    <t>证号</t>
  </si>
  <si>
    <t>面积</t>
  </si>
  <si>
    <t>朝向</t>
  </si>
  <si>
    <t>北京市昌平区回南路9号院28号楼9层901号</t>
  </si>
  <si>
    <t>京（2019）昌不动产权第0007739号</t>
  </si>
  <si>
    <t>北京市昌平区回南路9号院28号楼9层902号</t>
  </si>
  <si>
    <t>京（2019）昌不动产权第0007741号</t>
  </si>
  <si>
    <t>北京市昌平区回南路9号院28号楼9层903号</t>
  </si>
  <si>
    <t>京（2019）昌不动产权第0007772号</t>
  </si>
  <si>
    <t>北京市昌平区回南路9号院28号楼9层904号</t>
  </si>
  <si>
    <t>京（2019）昌不动产权第0007742号</t>
  </si>
  <si>
    <t>北京市昌平区回南路9号院28号楼9层905号</t>
  </si>
  <si>
    <t>京（2019）昌不动产权第0007770号</t>
  </si>
  <si>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</si>
  <si>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</si>
  <si>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</si>
  <si>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</si>
  <si>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</si>
  <si>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</si>
  <si>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</si>
  <si>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</si>
  <si>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</si>
  <si>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</si>
  <si>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</si>
  <si>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</si>
  <si>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</si>
  <si>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</si>
  <si>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</si>
  <si>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</si>
  <si>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</si>
  <si>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</si>
  <si>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</si>
  <si>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</si>
  <si>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</si>
  <si>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</si>
  <si>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</si>
  <si>
    <t>一般</t>
  </si>
  <si>
    <t>较差</t>
  </si>
  <si>
    <t>好</t>
  </si>
  <si>
    <t>评估总值</t>
    <phoneticPr fontId="134" type="noConversion"/>
  </si>
  <si>
    <t>印花税</t>
    <phoneticPr fontId="134" type="noConversion"/>
  </si>
  <si>
    <t>原购买价</t>
  </si>
  <si>
    <t>抵押净值</t>
    <phoneticPr fontId="134" type="noConversion"/>
  </si>
  <si>
    <t>tbd住总万科</t>
    <phoneticPr fontId="3" type="noConversion"/>
  </si>
  <si>
    <t>tbd住总万科</t>
    <phoneticPr fontId="3" type="noConversion"/>
  </si>
  <si>
    <t>六通</t>
  </si>
  <si>
    <t>五通</t>
  </si>
  <si>
    <t>四通</t>
  </si>
  <si>
    <t>三通</t>
  </si>
  <si>
    <t>单套模式</t>
  </si>
  <si>
    <t>售价</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</si>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</sst>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5" fillId="0" borderId="0" xfId="0" applyFont="1">
      <alignment vertical="center"/>
    </xf>
    <xf numFmtId="10"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估价对象为北京市房地产，为所有。根据《国有土地使用证》[]，估价对象（分摊）出让国有建设用地使用权面积为0平方米，建筑面积为229.53平方米。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估价对象为北京市房地产,属开发建设的办公项目，该项目尚在开发建设中。根据《国有土地使用证》[]，估价对象（分摊）出让国有建设用地使用权面积为0平方米，规划建筑面积为229.53平方米。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2024年2月2日（评估专业人员实地查勘之日）</v>
      </c>
    </row>
    <row r="13" spans="1:2" s="1203" customFormat="1">
      <c r="A13" s="1201" t="s">
        <v>529</v>
      </c>
      <c r="B13" s="1202"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599</v>
      </c>
    </row>
    <row r="21" spans="1:2" s="1203" customFormat="1">
      <c r="A21" s="1201" t="s">
        <v>537</v>
      </c>
      <c r="B21" s="1202">
        <f ca="1">'预评函-2'!D7</f>
        <v>26085</v>
      </c>
    </row>
    <row r="22" spans="1:2" s="1203" customFormat="1">
      <c r="A22" s="1201" t="s">
        <v>538</v>
      </c>
      <c r="B22" s="1202" t="str">
        <f ca="1">'预评函-2'!D6</f>
        <v>伍佰玖拾玖万元整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599</v>
      </c>
    </row>
    <row r="31" spans="1:2" s="1203" customFormat="1">
      <c r="A31" s="1201" t="s">
        <v>576</v>
      </c>
      <c r="B31" s="1202">
        <f ca="1">'预评函-2'!D15</f>
        <v>26085</v>
      </c>
    </row>
    <row r="32" spans="1:2" s="1203" customFormat="1">
      <c r="A32" s="1201" t="s">
        <v>543</v>
      </c>
      <c r="B32" s="1202" t="str">
        <f ca="1">'预评函-2'!D14</f>
        <v>伍佰玖拾玖万元整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254</v>
      </c>
    </row>
    <row r="39" spans="1:2" s="1203" customFormat="1">
      <c r="A39" s="1201" t="s">
        <v>545</v>
      </c>
      <c r="B39" s="1202">
        <f ca="1">'预评函-2'!D21</f>
        <v>11066</v>
      </c>
    </row>
    <row r="40" spans="1:2" s="1203" customFormat="1">
      <c r="A40" s="1201" t="s">
        <v>546</v>
      </c>
      <c r="B40" s="1202" t="str">
        <f ca="1">'预评函-2'!D20</f>
        <v>贰佰伍拾肆万元整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342</v>
      </c>
    </row>
    <row r="48" spans="1:2" s="1203" customFormat="1">
      <c r="A48" s="1201" t="s">
        <v>549</v>
      </c>
      <c r="B48" s="1202">
        <f ca="1">'预评函-3'!E4</f>
        <v>14921</v>
      </c>
    </row>
    <row r="49" spans="1:2" s="1203" customFormat="1">
      <c r="A49" s="1201" t="s">
        <v>550</v>
      </c>
      <c r="B49" s="1202" t="str">
        <f ca="1">'预评函-3'!D5</f>
        <v>叁佰肆拾贰万元整</v>
      </c>
    </row>
    <row r="50" spans="1:2" s="1203" customFormat="1">
      <c r="A50" s="1201" t="s">
        <v>574</v>
      </c>
      <c r="B50" s="1202" t="str">
        <f>'预评函-3'!F2</f>
        <v>在建建筑物价值</v>
      </c>
    </row>
    <row r="51" spans="1:2" s="1203" customFormat="1">
      <c r="A51" s="1201" t="s">
        <v>551</v>
      </c>
      <c r="B51" s="1202">
        <f ca="1">'预评函-3'!F4</f>
        <v>256</v>
      </c>
    </row>
    <row r="52" spans="1:2" s="1203" customFormat="1">
      <c r="A52" s="1201" t="s">
        <v>552</v>
      </c>
      <c r="B52" s="1202">
        <f ca="1">'预评函-3'!G4</f>
        <v>11164</v>
      </c>
    </row>
    <row r="53" spans="1:2" s="1203" customFormat="1">
      <c r="A53" s="1201" t="s">
        <v>580</v>
      </c>
      <c r="B53" s="1202" t="str">
        <f ca="1">'预评函-3'!F5</f>
        <v>贰佰伍拾陆万元整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45324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12.88</v>
      </c>
      <c r="D6" s="3025">
        <f>IF(ISERROR(ROUND(POWER(1+E6,A6-C6)*(POWER(1+E6,C6)-1)/(POWER(1+E6,A6)-1),3)),0,ROUND(POWER(1+E6,A6-C6)*(POWER(1+E6,C6)-1)/(POWER(1+E6,A6)-1),4))</f>
        <v>0.46150000000000002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v>
      </c>
      <c r="D7" s="3025">
        <f>IF(ISERROR(ROUND(POWER(1+E7,A7-C7)*(POWER(1+E7,C7)-1)/(POWER(1+E7,A7)-1),3)),0,ROUND(POWER(1+E7,A7-C7)*(POWER(1+E7,C7)-1)/(POWER(1+E7,A7)-1),4))</f>
        <v>0.77459999999999996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7" sqref="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45324</v>
      </c>
      <c r="C3" s="2374" t="s">
        <v>2170</v>
      </c>
      <c r="D3" s="2373">
        <f>B3</f>
        <v>45324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500" t="s">
        <v>2176</v>
      </c>
      <c r="E8" s="2391" t="s">
        <v>3382</v>
      </c>
      <c r="F8" s="2392"/>
      <c r="G8" s="2663"/>
      <c r="H8" s="2663"/>
      <c r="I8" s="2663"/>
      <c r="J8" s="2439"/>
      <c r="K8" s="2614"/>
      <c r="L8" s="2613"/>
      <c r="M8" s="2613"/>
      <c r="N8" s="2439"/>
      <c r="O8" s="2450"/>
      <c r="P8" s="2439"/>
      <c r="Q8" s="2439"/>
      <c r="R8" s="2439"/>
    </row>
    <row r="9" spans="1:30" ht="13.5" thickBot="1">
      <c r="A9" s="2393" t="s">
        <v>2177</v>
      </c>
      <c r="B9" s="2394" t="s">
        <v>3382</v>
      </c>
      <c r="C9" s="2395"/>
      <c r="D9" s="3501"/>
      <c r="E9" s="2394" t="s">
        <v>587</v>
      </c>
      <c r="F9" s="2396"/>
      <c r="G9" s="2665"/>
      <c r="H9" s="2665"/>
      <c r="I9" s="2665"/>
      <c r="J9" s="2439"/>
      <c r="K9" s="2616"/>
      <c r="L9" s="2613"/>
      <c r="M9" s="2613"/>
      <c r="N9" s="2439"/>
      <c r="O9" s="2450"/>
      <c r="P9" s="2439"/>
      <c r="Q9" s="2439"/>
      <c r="R9" s="2439"/>
    </row>
    <row r="10" spans="1:30" ht="13.5" thickTop="1">
      <c r="A10" s="2397" t="s">
        <v>2178</v>
      </c>
      <c r="B10" s="2398" t="s">
        <v>3387</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856"/>
      <c r="E13" s="856">
        <v>57911</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34.479999999999997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7"/>
      <c r="C16" s="3508"/>
      <c r="D16" s="3509"/>
      <c r="E16" s="2413" t="s">
        <v>2193</v>
      </c>
      <c r="F16" s="3510"/>
      <c r="G16" s="3511"/>
      <c r="H16" s="3511"/>
      <c r="I16" s="3512"/>
      <c r="J16" s="2439"/>
      <c r="K16" s="2617"/>
      <c r="L16" s="2451"/>
      <c r="M16" s="2451"/>
      <c r="N16" s="2509"/>
      <c r="O16" s="2451"/>
      <c r="P16" s="2509"/>
      <c r="Q16" s="2439"/>
      <c r="R16" s="2439"/>
    </row>
    <row r="17" spans="1:28">
      <c r="A17" s="313" t="s">
        <v>2194</v>
      </c>
      <c r="B17" s="302" t="s">
        <v>2195</v>
      </c>
      <c r="C17" s="8">
        <f>'数据-汇总表'!E3</f>
        <v>229.53</v>
      </c>
      <c r="D17" s="2322" t="s">
        <v>2196</v>
      </c>
      <c r="E17" s="3513" t="s">
        <v>2197</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6" t="s">
        <v>2201</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3" t="s">
        <v>2205</v>
      </c>
      <c r="C20" s="3504"/>
      <c r="D20" s="3505" t="s">
        <v>2206</v>
      </c>
      <c r="E20" s="3506"/>
      <c r="F20" s="2647" t="s">
        <v>1056</v>
      </c>
      <c r="G20" s="2664"/>
      <c r="H20" s="2664"/>
      <c r="I20" s="2664"/>
      <c r="J20" s="2439"/>
      <c r="K20" s="350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2213</v>
      </c>
      <c r="B27" s="320" t="s">
        <v>2214</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2215</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2216</v>
      </c>
      <c r="C29" s="2420" t="s">
        <v>3385</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2217</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2218</v>
      </c>
      <c r="B31" s="2422" t="s">
        <v>3386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9" t="s">
        <v>2227</v>
      </c>
      <c r="T34" s="2428" t="str">
        <f>NUMBERSTRING(7-K34,1)&amp;"通"</f>
        <v>七通</v>
      </c>
      <c r="U34" s="2439"/>
      <c r="V34" s="2439"/>
    </row>
    <row r="35" spans="1:30">
      <c r="A35" s="2429"/>
      <c r="B35" s="3526" t="s">
        <v>2228</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300</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229.53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229.53</v>
      </c>
      <c r="H5" s="13">
        <f t="shared" ref="H5:AT5" si="0">SUM(H13:H656)</f>
        <v>229.53</v>
      </c>
      <c r="I5" s="13">
        <f t="shared" si="0"/>
        <v>229.53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229.53</v>
      </c>
      <c r="BA5" s="15">
        <f t="shared" si="1"/>
        <v>229.53</v>
      </c>
      <c r="BB5" s="15">
        <f t="shared" si="1"/>
        <v>229.53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229.53</v>
      </c>
      <c r="H13" s="17">
        <f>SUMIF(I$12:AB$12,"总值",I13:AB13)</f>
        <v>229.53</v>
      </c>
      <c r="I13" s="1626">
        <v>229.53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229.53</v>
      </c>
      <c r="BA13" s="13">
        <f>SUM(BB13:BK13)</f>
        <v>229.53</v>
      </c>
      <c r="BB13" s="13">
        <f>IF($D13="是",I13-J13,0)</f>
        <v>229.53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0</v>
      </c>
      <c r="E3" s="43">
        <f>'数据-基础表'!AZ5</f>
        <v>229.53</v>
      </c>
      <c r="F3" s="2659"/>
      <c r="G3" s="1145"/>
      <c r="H3" s="1026" t="s">
        <v>1106</v>
      </c>
      <c r="I3" s="855" t="e">
        <f>ROUND('数据-基础表'!B3/'数据-基础表'!A3,2)</f>
        <v>#DIV/0!</v>
      </c>
      <c r="J3" s="2659"/>
      <c r="K3" s="2659"/>
      <c r="L3" s="2659"/>
      <c r="M3" s="2659"/>
      <c r="N3" s="2661"/>
      <c r="O3" s="2659"/>
      <c r="P3" s="2659"/>
    </row>
    <row r="4" spans="1:16" ht="15">
      <c r="A4" s="3538"/>
      <c r="B4" s="3539"/>
      <c r="C4" s="354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1" t="s">
        <v>1111</v>
      </c>
      <c r="C6" s="3541"/>
      <c r="D6" s="45">
        <f>ROUND($D$3*E6/$E$3,2)</f>
        <v>0</v>
      </c>
      <c r="E6" s="46">
        <f>E3-E5</f>
        <v>229.53</v>
      </c>
      <c r="F6" s="2659"/>
      <c r="G6" s="2653" t="s">
        <v>1112</v>
      </c>
      <c r="H6" s="1146" t="s">
        <v>1113</v>
      </c>
      <c r="I6" s="2654" t="e">
        <f>ROUND(F31/D31,2)</f>
        <v>#DIV/0!</v>
      </c>
      <c r="J6" s="2659"/>
      <c r="K6" s="2659"/>
      <c r="L6" s="2659"/>
      <c r="M6" s="2659"/>
      <c r="N6" s="2659"/>
      <c r="O6" s="2659"/>
      <c r="P6" s="2659"/>
    </row>
    <row r="7" spans="1:16" ht="15.75" thickBot="1">
      <c r="A7" s="3533"/>
      <c r="B7" s="3534"/>
      <c r="C7" s="3535"/>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229.53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229.53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229.53</v>
      </c>
      <c r="F19" s="2795">
        <f>'数据-基础表'!I13</f>
        <v>229.53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229.53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229.53</v>
      </c>
      <c r="F27" s="1140">
        <f>IF(SUM(F19:F26)=E8,SUM(F19:F26),"地上面积有误")</f>
        <v>229.53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229.53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229.53</v>
      </c>
      <c r="F31" s="677">
        <f>F27+F30</f>
        <v>229.53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H6" activePane="bottomRight" state="frozen"/>
      <selection activeCell="C50" sqref="C50"/>
      <selection pane="topRight" activeCell="C50" sqref="C50"/>
      <selection pane="bottomLeft" activeCell="C50" sqref="C50"/>
      <selection pane="bottomRight" activeCell="AN30" sqref="AN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57911</v>
      </c>
      <c r="F6" s="64">
        <f>SUMIF(项目基本情况!C$12:I$12,C6,项目基本情况!C$15:I$15)</f>
        <v>34.479999999999997</v>
      </c>
      <c r="G6" s="65">
        <f>IF(ISERROR(ROUND(POWER(1+H6,D6-F6)*(POWER(1+H6,F6)-1)/(POWER(1+H6,D6)-1),3)),0,ROUND(POWER(1+H6,D6-F6)*(POWER(1+H6,F6)-1)/(POWER(1+H6,D6)-1),3))</f>
        <v>0.89200000000000002</v>
      </c>
      <c r="H6" s="732">
        <v>0.05</v>
      </c>
      <c r="I6" s="732">
        <v>5.5E-2</v>
      </c>
      <c r="J6" s="66">
        <v>7.0000000000000007E-2</v>
      </c>
      <c r="K6" s="1030">
        <f>SUMIF('数据-汇总表'!C$19:C$33,A6,'数据-汇总表'!E$19:E$33)</f>
        <v>229.53</v>
      </c>
      <c r="L6" s="733">
        <v>4500</v>
      </c>
      <c r="M6" s="67">
        <f t="shared" ref="M6:M14" si="0">ROUND(K6*L6/10000,0)</f>
        <v>103</v>
      </c>
      <c r="N6" s="731">
        <f>N18</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0.15</v>
      </c>
      <c r="X6" s="1040"/>
      <c r="Y6" s="71">
        <f>N6</f>
        <v>0.82</v>
      </c>
      <c r="Z6" s="72"/>
      <c r="AA6" s="66"/>
      <c r="AB6" s="66"/>
      <c r="AC6" s="1040"/>
      <c r="AD6" s="73"/>
      <c r="AE6" s="1041">
        <f ca="1">IF(AN6="",0,SUMIF(INDIRECT("'"&amp;AN6&amp;"'"&amp;"!E:E"),$AE$5,INDIRECT("'"&amp;AN6&amp;"'"&amp;"!F:F")))</f>
        <v>34.479999999999997</v>
      </c>
      <c r="AF6" s="1348"/>
      <c r="AG6" s="138">
        <f>IF(AF6="",0,AE6-AF6)</f>
        <v>0</v>
      </c>
      <c r="AH6" s="74"/>
      <c r="AI6" s="76">
        <v>365</v>
      </c>
      <c r="AJ6" s="77"/>
      <c r="AK6" s="78">
        <v>5.0000000000000001E-3</v>
      </c>
      <c r="AL6" s="79">
        <v>1.5E-3</v>
      </c>
      <c r="AM6" s="80">
        <v>5.0000000000000001E-3</v>
      </c>
      <c r="AN6" s="1715" t="s">
        <v>3393</v>
      </c>
      <c r="AO6" s="52">
        <f ca="1">SUMIF(INDIRECT("'"&amp;AN6&amp;"'"&amp;"!A:A"),"总价",INDIRECT("'"&amp;AN6&amp;"'"&amp;"!B:B"))</f>
        <v>419.4074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229.53</v>
      </c>
      <c r="L16" s="93">
        <f>ROUND(M16*10000/SUM(K6:K14),0)</f>
        <v>4487</v>
      </c>
      <c r="M16" s="93">
        <f>SUM(M6:M14)</f>
        <v>103</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2013</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45906</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2285</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1642.01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4283.17</v>
      </c>
      <c r="C5" s="2512">
        <f ca="1">IF(B5=D14,结果表!H102,ROUND(B5*10000/$B$1,0))</f>
        <v>26085</v>
      </c>
      <c r="D5" s="2512" t="e">
        <f ca="1">ROUND(B5*10000/$B$2,0)</f>
        <v>#DIV/0!</v>
      </c>
      <c r="E5" s="2686"/>
      <c r="F5" s="2687"/>
      <c r="G5" s="2687"/>
      <c r="H5" s="2688"/>
      <c r="I5" s="2688"/>
      <c r="J5" s="2688"/>
      <c r="K5" s="2688"/>
    </row>
    <row r="6" spans="1:11" ht="16.5">
      <c r="A6" s="2512" t="s">
        <v>656</v>
      </c>
      <c r="B6" s="2512">
        <f ca="1">SUM(G14:G23)</f>
        <v>4283.17</v>
      </c>
      <c r="C6" s="2512">
        <f ca="1">IF(B6=G14,结果表!H108,ROUND(B6*10000/$B$1,0))</f>
        <v>26085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4281.03</v>
      </c>
      <c r="C8" s="2512">
        <f ca="1">IF(B8=I14,结果表!H112,ROUND(B8*10000/$B$1,0))</f>
        <v>11066</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Sheet1!I40</f>
        <v>1642.01</v>
      </c>
      <c r="C14" s="2518"/>
      <c r="D14" s="2518">
        <f ca="1">Sheet1!K40</f>
        <v>4283.17</v>
      </c>
      <c r="E14" s="2518">
        <f ca="1">ROUND(D14*10000/B14,0)</f>
        <v>26085</v>
      </c>
      <c r="F14" s="2518" t="e">
        <f ca="1">ROUND(D14*10000/C14,0)</f>
        <v>#DIV/0!</v>
      </c>
      <c r="G14" s="2518">
        <f ca="1">D14</f>
        <v>4283.17</v>
      </c>
      <c r="H14" s="2518"/>
      <c r="I14" s="2518">
        <f ca="1">Sheet1!M40</f>
        <v>4281.03</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3400</v>
      </c>
      <c r="D4" s="1756" t="s">
        <v>3393</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7</v>
      </c>
      <c r="D14" s="3605">
        <v>3</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6" t="s">
        <v>2130</v>
      </c>
      <c r="F18" s="3637"/>
      <c r="G18" s="3637"/>
      <c r="H18" s="3637"/>
      <c r="I18" s="3637"/>
      <c r="K18" s="302" t="s">
        <v>1289</v>
      </c>
      <c r="L18" s="302">
        <f>IF(C1="",'数据-汇总表'!E3,SUMIF(项目类型,C1,'数据-汇总表'!E17:E26)+SUMIF(项目类型,C1,'数据-汇总表'!I17:I26))</f>
        <v>229.53</v>
      </c>
      <c r="M18" s="302">
        <f>IF(C1="",'数据-汇总表'!E3,SUMIF(项目类型,C1,'数据-汇总表'!E17:E26))</f>
        <v>229.53</v>
      </c>
    </row>
    <row r="19" spans="1:36" ht="15">
      <c r="A19" s="1761" t="s">
        <v>1290</v>
      </c>
      <c r="B19" s="1762" t="s">
        <v>1291</v>
      </c>
      <c r="C19" s="134">
        <f ca="1">SUMIF(INDIRECT("'"&amp;C4&amp;"'"&amp;"!A:A"),结果表!B19,INDIRECT("'"&amp;C4&amp;"'"&amp;"!B:B"))</f>
        <v>675.57560000000001</v>
      </c>
      <c r="D19" s="135">
        <f ca="1">SUMIF(INDIRECT("'"&amp;D4&amp;"'"&amp;"!A:A"),结果表!B19,INDIRECT("'"&amp;D4&amp;"'"&amp;"!B:B"))</f>
        <v>419.4074</v>
      </c>
      <c r="E19" s="1761" t="s">
        <v>1292</v>
      </c>
      <c r="F19" s="1762" t="s">
        <v>1291</v>
      </c>
      <c r="G19" s="136">
        <f ca="1">ROUND(C19*$C$18+D19*$D$18,0)</f>
        <v>599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29433</v>
      </c>
      <c r="D20" s="138">
        <f ca="1">SUMIF(INDIRECT("'"&amp;D4&amp;"'"&amp;"!A:A"),结果表!B20,INDIRECT("'"&amp;D4&amp;"'"&amp;"!B:B"))</f>
        <v>18272</v>
      </c>
      <c r="E20" s="1764"/>
      <c r="F20" s="1026" t="s">
        <v>1295</v>
      </c>
      <c r="G20" s="139">
        <f ca="1">ROUND(C20*$C$18+D20*$D$18,0)</f>
        <v>26085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0.61078607578216326</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26085</v>
      </c>
      <c r="D32" s="1775" t="s">
        <v>3479</v>
      </c>
      <c r="E32" s="129"/>
      <c r="F32" s="129"/>
      <c r="G32" s="129"/>
      <c r="H32" s="129"/>
      <c r="I32" s="129"/>
    </row>
    <row r="33" spans="1:15" ht="15">
      <c r="A33" s="786" t="s">
        <v>1306</v>
      </c>
      <c r="B33" s="1776"/>
      <c r="C33" s="1777" t="s">
        <v>3480</v>
      </c>
      <c r="D33" s="1778" t="s">
        <v>3393</v>
      </c>
      <c r="E33" s="1779" t="s">
        <v>1307</v>
      </c>
      <c r="F33" s="1780" t="str">
        <f>IF(D32="楼面单价","取值（单价）","取值（总价）")</f>
        <v>取值（单价）</v>
      </c>
      <c r="G33" s="129"/>
      <c r="H33" s="129"/>
      <c r="I33" s="129"/>
    </row>
    <row r="34" spans="1:15" ht="15">
      <c r="A34" s="1781"/>
      <c r="B34" s="1782" t="s">
        <v>1308</v>
      </c>
      <c r="C34" s="148">
        <f ca="1">IF(C33="自定义",F34,C32-C35)</f>
        <v>14921</v>
      </c>
      <c r="D34" s="861">
        <f ca="1">IF(C33="自定义",ROUND(C34/C32,3),IF(C33="收益比率",SUMIF(INDIRECT("'"&amp;D33&amp;"'"&amp;"!b:b"),"土地收益比率",INDIRECT("'"&amp;D33&amp;"'"&amp;"!c:c")),SUMIF(INDIRECT("'"&amp;D33&amp;"'"&amp;"!b:b"),"土地成本比率",INDIRECT("'"&amp;D33&amp;"'"&amp;"!c:c"))))</f>
        <v>0.57200000000000006</v>
      </c>
      <c r="E34" s="1783" t="s">
        <v>1309</v>
      </c>
      <c r="F34" s="1330"/>
      <c r="G34" s="129"/>
      <c r="H34" s="129"/>
      <c r="I34" s="129"/>
    </row>
    <row r="35" spans="1:15" ht="15.75" thickBot="1">
      <c r="A35" s="1784"/>
      <c r="B35" s="1785" t="s">
        <v>1310</v>
      </c>
      <c r="C35" s="1170">
        <f ca="1">IF(C33="自定义",F35,ROUND(C32*D35,0))</f>
        <v>11164</v>
      </c>
      <c r="D35" s="1171">
        <f ca="1">IF(C33="自定义",ROUND(C35/C32,3),IF(C33="收益比率",SUMIF(INDIRECT("'"&amp;D33&amp;"'"&amp;"!b:b"),"建筑物收益比率",INDIRECT("'"&amp;D33&amp;"'"&amp;"!c:c")),SUMIF(INDIRECT("'"&amp;D33&amp;"'"&amp;"!b:b"),"建筑物成本比率",INDIRECT("'"&amp;D33&amp;"'"&amp;"!c:c"))))</f>
        <v>0.42799999999999999</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599</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3">
        <v>1</v>
      </c>
      <c r="K46" s="3547" t="s">
        <v>1331</v>
      </c>
      <c r="L46" s="3547"/>
      <c r="M46" s="3548"/>
      <c r="N46" s="3548"/>
      <c r="O46" s="3548"/>
    </row>
    <row r="47" spans="1:15" ht="12" customHeight="1">
      <c r="A47" s="160" t="s">
        <v>1332</v>
      </c>
      <c r="B47" s="161"/>
      <c r="C47" s="162"/>
      <c r="D47" s="1087" t="s">
        <v>1333</v>
      </c>
      <c r="E47" s="302" t="s">
        <v>1334</v>
      </c>
      <c r="F47" s="163" t="s">
        <v>1335</v>
      </c>
      <c r="G47" s="2546" t="s">
        <v>1336</v>
      </c>
      <c r="H47" s="2547"/>
      <c r="I47" s="159"/>
      <c r="J47" s="2523">
        <v>2</v>
      </c>
      <c r="K47" s="3547" t="s">
        <v>1337</v>
      </c>
      <c r="L47" s="3547"/>
      <c r="M47" s="3549">
        <f>'数据-取费表'!B2</f>
        <v>45324</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7" t="s">
        <v>1340</v>
      </c>
      <c r="L48" s="3547"/>
      <c r="M48" s="3550">
        <f ca="1">H101</f>
        <v>599</v>
      </c>
      <c r="N48" s="3550"/>
      <c r="O48" s="3550"/>
    </row>
    <row r="49" spans="1:35" ht="25.5" customHeight="1">
      <c r="A49" s="2333" t="s">
        <v>1341</v>
      </c>
      <c r="B49" s="3595" t="s">
        <v>1342</v>
      </c>
      <c r="C49" s="3595"/>
      <c r="D49" s="1590">
        <v>0</v>
      </c>
      <c r="E49" s="324" t="s">
        <v>1343</v>
      </c>
      <c r="F49" s="2424" t="s">
        <v>28</v>
      </c>
      <c r="G49" s="3578"/>
      <c r="H49" s="2310" t="s">
        <v>2133</v>
      </c>
      <c r="I49" s="2311"/>
      <c r="J49" s="2523">
        <v>4</v>
      </c>
      <c r="K49" s="3547" t="str">
        <f>IF(项目基本情况!E8="房地产抵押价值","房地产抵押价值","抵押担保权已注销时的房地产抵押价值")</f>
        <v>房地产抵押价值</v>
      </c>
      <c r="L49" s="3547"/>
      <c r="M49" s="3550">
        <f ca="1">IF(项目基本情况!E8="房地产抵押价值",H107,H109)</f>
        <v>599</v>
      </c>
      <c r="N49" s="3550"/>
      <c r="O49" s="3550"/>
    </row>
    <row r="50" spans="1:35" ht="25.5" customHeight="1">
      <c r="A50" s="2551"/>
      <c r="B50" s="3595" t="s">
        <v>1344</v>
      </c>
      <c r="C50" s="3595"/>
      <c r="D50" s="2552"/>
      <c r="E50" s="332"/>
      <c r="F50" s="2424"/>
      <c r="G50" s="3579"/>
      <c r="H50" s="2312" t="s">
        <v>2134</v>
      </c>
      <c r="I50" s="2311"/>
      <c r="J50" s="3546" t="s">
        <v>1345</v>
      </c>
      <c r="K50" s="3546"/>
      <c r="L50" s="3546"/>
      <c r="M50" s="3546"/>
      <c r="N50" s="3546"/>
      <c r="O50" s="3546"/>
    </row>
    <row r="51" spans="1:35" ht="20.45" customHeight="1">
      <c r="A51" s="2553"/>
      <c r="B51" s="3595" t="s">
        <v>1346</v>
      </c>
      <c r="C51" s="3595"/>
      <c r="D51" s="1087"/>
      <c r="E51" s="327"/>
      <c r="F51" s="2424"/>
      <c r="G51" s="3580"/>
      <c r="H51" s="2312" t="s">
        <v>2135</v>
      </c>
      <c r="I51" s="2311"/>
      <c r="J51" s="2524" t="s">
        <v>1347</v>
      </c>
      <c r="K51" s="3547" t="s">
        <v>1348</v>
      </c>
      <c r="L51" s="3547"/>
      <c r="M51" s="2524" t="s">
        <v>1349</v>
      </c>
      <c r="N51" s="2524" t="s">
        <v>1350</v>
      </c>
      <c r="O51" s="2524" t="s">
        <v>1351</v>
      </c>
    </row>
    <row r="52" spans="1:35" ht="24" customHeight="1">
      <c r="A52" s="2335" t="s">
        <v>1352</v>
      </c>
      <c r="B52" s="3595" t="s">
        <v>1353</v>
      </c>
      <c r="C52" s="3595"/>
      <c r="D52" s="1087">
        <f ca="1">ROUND(D45*'数据-取费表'!B41/(1+'数据-取费表'!C42),0)</f>
        <v>32</v>
      </c>
      <c r="E52" s="2334" t="s">
        <v>1354</v>
      </c>
      <c r="F52" s="2554">
        <f>'数据-取费表'!B41</f>
        <v>5.6000000000000001E-2</v>
      </c>
      <c r="G52" s="2555"/>
      <c r="H52" s="2544"/>
      <c r="I52" s="1807"/>
      <c r="J52" s="2523">
        <v>1</v>
      </c>
      <c r="K52" s="3572" t="s">
        <v>1355</v>
      </c>
      <c r="L52" s="3572"/>
      <c r="M52" s="2525" t="b">
        <f>D48</f>
        <v>0</v>
      </c>
      <c r="N52" s="2523" t="str">
        <f>E48</f>
        <v>销售额×税（费）率</v>
      </c>
      <c r="O52" s="2526">
        <f>F48</f>
        <v>5.6000000000000001E-2</v>
      </c>
    </row>
    <row r="53" spans="1:35" ht="12" customHeight="1">
      <c r="A53" s="2335" t="s">
        <v>1356</v>
      </c>
      <c r="B53" s="3596" t="s">
        <v>2290</v>
      </c>
      <c r="C53" s="3597"/>
      <c r="D53" s="1087">
        <f ca="1">ROUND(D45*'数据-取费表'!B41/(1+'数据-取费表'!C42),0)</f>
        <v>32</v>
      </c>
      <c r="E53" s="2334" t="s">
        <v>1354</v>
      </c>
      <c r="F53" s="2554">
        <f>'数据-取费表'!B41</f>
        <v>5.6000000000000001E-2</v>
      </c>
      <c r="G53" s="2555"/>
      <c r="H53" s="2544"/>
      <c r="I53" s="1807"/>
      <c r="J53" s="2523">
        <v>2</v>
      </c>
      <c r="K53" s="3572" t="s">
        <v>1357</v>
      </c>
      <c r="L53" s="3572"/>
      <c r="M53" s="2525">
        <f t="shared" ref="M53:O54" ca="1" si="0">D55</f>
        <v>0</v>
      </c>
      <c r="N53" s="2523" t="str">
        <f t="shared" si="0"/>
        <v>销售额×税（费）率</v>
      </c>
      <c r="O53" s="2526" t="str">
        <f t="shared" si="0"/>
        <v>免征</v>
      </c>
    </row>
    <row r="54" spans="1:35" ht="12" customHeight="1">
      <c r="A54" s="2335" t="s">
        <v>1358</v>
      </c>
      <c r="B54" s="3596" t="s">
        <v>2291</v>
      </c>
      <c r="C54" s="3597"/>
      <c r="D54" s="1087">
        <f ca="1">C68</f>
        <v>32</v>
      </c>
      <c r="E54" s="327" t="s">
        <v>1359</v>
      </c>
      <c r="F54" s="2554">
        <f>'数据-取费表'!B41</f>
        <v>5.6000000000000001E-2</v>
      </c>
      <c r="G54" s="2555"/>
      <c r="H54" s="2556"/>
      <c r="I54" s="1807"/>
      <c r="J54" s="2523">
        <v>3</v>
      </c>
      <c r="K54" s="3572" t="s">
        <v>1360</v>
      </c>
      <c r="L54" s="3572"/>
      <c r="M54" s="2525">
        <f t="shared" ca="1" si="0"/>
        <v>339</v>
      </c>
      <c r="N54" s="2523" t="str">
        <f t="shared" si="0"/>
        <v>增值额×税（费）率</v>
      </c>
      <c r="O54" s="2527" t="str">
        <f t="shared" si="0"/>
        <v>免征</v>
      </c>
    </row>
    <row r="55" spans="1:35" ht="24" customHeight="1">
      <c r="A55" s="3632" t="s">
        <v>1361</v>
      </c>
      <c r="B55" s="3610"/>
      <c r="C55" s="3610"/>
      <c r="D55" s="2324">
        <f ca="1">IF(H55="个人住宅",0,ROUND(D45*I55,0))</f>
        <v>0</v>
      </c>
      <c r="E55" s="2334" t="s">
        <v>1362</v>
      </c>
      <c r="F55" s="2554" t="str">
        <f>IF(H55="正常",I55,"免征")</f>
        <v>免征</v>
      </c>
      <c r="G55" s="2555"/>
      <c r="H55" s="2550"/>
      <c r="I55" s="165">
        <f>'数据-取费表'!B49</f>
        <v>5.0000000000000001E-4</v>
      </c>
      <c r="J55" s="2523">
        <f>IF(H59="非个人房产","",4)</f>
        <v>4</v>
      </c>
      <c r="K55" s="3572" t="str">
        <f>IF(H59="非个人房产","——","个人所得税")</f>
        <v>个人所得税</v>
      </c>
      <c r="L55" s="3572"/>
      <c r="M55" s="2528">
        <f ca="1">D59</f>
        <v>6</v>
      </c>
      <c r="N55" s="2040" t="str">
        <f>E59</f>
        <v>差额计税</v>
      </c>
      <c r="O55" s="2529">
        <f>F59</f>
        <v>0.01</v>
      </c>
    </row>
    <row r="56" spans="1:35" ht="24.75">
      <c r="A56" s="3632" t="s">
        <v>1363</v>
      </c>
      <c r="B56" s="3610"/>
      <c r="C56" s="3610"/>
      <c r="D56" s="2324">
        <f ca="1">IF(H56="个人住宅",D57,D58)</f>
        <v>339</v>
      </c>
      <c r="E56" s="2334" t="s">
        <v>1364</v>
      </c>
      <c r="F56" s="2554" t="str">
        <f>IF(H56="正常",F58,"免征")</f>
        <v>免征</v>
      </c>
      <c r="G56" s="2557" t="s">
        <v>1365</v>
      </c>
      <c r="H56" s="2558"/>
      <c r="I56" s="1808"/>
      <c r="J56" s="2523" t="str">
        <f>IF(项目基本情况!K6="上海银行",IF(J55="",4,J55+1),"")</f>
        <v/>
      </c>
      <c r="K56" s="3553" t="str">
        <f>IF(项目基本情况!K6="上海银行","其他处置费用","")</f>
        <v/>
      </c>
      <c r="L56" s="3554"/>
      <c r="M56" s="2525"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5"/>
      <c r="H57" s="2559"/>
      <c r="I57" s="1808"/>
      <c r="J57" s="3572">
        <f>IF(AND(J55="",J56=""),4,IF(项目基本情况!K6="上海银行",结果表!J56+1,结果表!J55+1))</f>
        <v>5</v>
      </c>
      <c r="K57" s="3572" t="s">
        <v>1367</v>
      </c>
      <c r="L57" s="2530" t="s">
        <v>1368</v>
      </c>
      <c r="M57" s="2531"/>
      <c r="N57" s="2532">
        <f ca="1">SUMIF(M52:M56,"&lt;9e307")</f>
        <v>345</v>
      </c>
      <c r="O57" s="2533"/>
      <c r="P57" s="2690">
        <f ca="1">N57/M49</f>
        <v>0.57595993322203676</v>
      </c>
    </row>
    <row r="58" spans="1:35" ht="24.75">
      <c r="A58" s="2335" t="s">
        <v>1352</v>
      </c>
      <c r="B58" s="3596" t="s">
        <v>1369</v>
      </c>
      <c r="C58" s="3595"/>
      <c r="D58" s="2324">
        <f ca="1">IF(H58="转让取得",C81,C97)</f>
        <v>339</v>
      </c>
      <c r="E58" s="2334" t="s">
        <v>1364</v>
      </c>
      <c r="F58" s="302" t="s">
        <v>28</v>
      </c>
      <c r="G58" s="2555"/>
      <c r="H58" s="2558"/>
      <c r="I58" s="1808"/>
      <c r="J58" s="3572"/>
      <c r="K58" s="3572"/>
      <c r="L58" s="2530" t="s">
        <v>1370</v>
      </c>
      <c r="M58" s="2534"/>
      <c r="N58" s="2535" t="str">
        <f ca="1">NUMBERSTRING(INT(N57*10000),2)&amp;"元整"</f>
        <v>叁佰肆拾伍万元整</v>
      </c>
      <c r="O58" s="2536"/>
    </row>
    <row r="59" spans="1:35" ht="24.75" thickBot="1">
      <c r="A59" s="3576" t="s">
        <v>1371</v>
      </c>
      <c r="B59" s="3577"/>
      <c r="C59" s="3577"/>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4">
        <f>J57+1</f>
        <v>6</v>
      </c>
      <c r="K59" s="3572" t="s">
        <v>1372</v>
      </c>
      <c r="L59" s="2523" t="s">
        <v>1368</v>
      </c>
      <c r="M59" s="2537"/>
      <c r="N59" s="2538">
        <f ca="1">M49-N57</f>
        <v>254</v>
      </c>
      <c r="O59" s="2539"/>
    </row>
    <row r="60" spans="1:35" ht="12" customHeight="1">
      <c r="A60" s="1809"/>
      <c r="B60" s="1747"/>
      <c r="C60" s="1747"/>
      <c r="D60" s="1747"/>
      <c r="E60" s="1578"/>
      <c r="F60" s="1808"/>
      <c r="G60" s="1808"/>
      <c r="H60" s="1810"/>
      <c r="I60" s="129"/>
      <c r="J60" s="3575"/>
      <c r="K60" s="3572"/>
      <c r="L60" s="2530" t="s">
        <v>1370</v>
      </c>
      <c r="M60" s="2534"/>
      <c r="N60" s="2535" t="str">
        <f ca="1">NUMBERSTRING(INT(N59*10000),2)&amp;"元整"</f>
        <v>贰佰伍拾肆万元整</v>
      </c>
      <c r="O60" s="2536"/>
    </row>
    <row r="61" spans="1:35" ht="13.5" thickBot="1">
      <c r="A61" s="3631" t="s">
        <v>1373</v>
      </c>
      <c r="B61" s="3631"/>
      <c r="C61" s="3631"/>
      <c r="D61" s="3631"/>
      <c r="E61" s="3631"/>
      <c r="F61" s="1808"/>
      <c r="G61" s="1808"/>
      <c r="H61" s="1810"/>
      <c r="I61" s="129"/>
      <c r="J61" s="2523">
        <f>J59+1</f>
        <v>7</v>
      </c>
      <c r="K61" s="3572" t="s">
        <v>1374</v>
      </c>
      <c r="L61" s="3572"/>
      <c r="M61" s="2540"/>
      <c r="N61" s="2541">
        <f ca="1">ROUND(N59*10000/'数据-汇总表'!E3,0)</f>
        <v>11066</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570</v>
      </c>
      <c r="D63" s="167"/>
      <c r="E63" s="168"/>
      <c r="F63" s="1808"/>
      <c r="G63" s="1808"/>
      <c r="H63" s="1810"/>
      <c r="I63" s="129"/>
      <c r="J63" s="3555" t="s">
        <v>1379</v>
      </c>
      <c r="K63" s="1332" t="s">
        <v>1380</v>
      </c>
      <c r="L63" s="1332">
        <f ca="1">IF(M49&gt;10000,M49*0.5%,IF(AND(M49&gt;1000,M49&lt;=10000),M49*1%,IF(AND(M49&gt;100,M49&lt;=1000),M49*3%,IF(AND(M49&gt;10,M49&lt;=100),M49*5%,M49*8%))))</f>
        <v>17.97</v>
      </c>
      <c r="M63" s="302">
        <f ca="1">ROUND(L63,1)</f>
        <v>18</v>
      </c>
      <c r="N63" s="2543"/>
      <c r="Z63" s="1752"/>
      <c r="AI63" s="1753"/>
    </row>
    <row r="64" spans="1:35" ht="14.25" customHeight="1">
      <c r="A64" s="169" t="s">
        <v>325</v>
      </c>
      <c r="B64" s="170" t="s">
        <v>1381</v>
      </c>
      <c r="C64" s="2565">
        <f ca="1">D45</f>
        <v>599</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4.1929999999999996</v>
      </c>
      <c r="M64" s="302">
        <f t="shared" ref="M64:M65" ca="1" si="1">ROUND(L64,1)</f>
        <v>4.2</v>
      </c>
      <c r="N64" s="2544" t="s">
        <v>1383</v>
      </c>
      <c r="Z64" s="1752"/>
      <c r="AI64" s="1753"/>
    </row>
    <row r="65" spans="1:35" ht="14.25" customHeight="1">
      <c r="A65" s="169" t="s">
        <v>326</v>
      </c>
      <c r="B65" s="170" t="s">
        <v>1384</v>
      </c>
      <c r="C65" s="2566"/>
      <c r="D65" s="170"/>
      <c r="E65" s="172"/>
      <c r="F65" s="1808"/>
      <c r="G65" s="1808"/>
      <c r="H65" s="1810"/>
      <c r="I65" s="129"/>
      <c r="J65" s="3555"/>
      <c r="K65" s="1332" t="s">
        <v>1385</v>
      </c>
      <c r="L65" s="1332">
        <f ca="1">IF(M49&gt;1000,M49*0.1%,IF(AND(M49&gt;500,M49&lt;=1000),M49*0.5%,IF(AND(M49&gt;50,M49&lt;=500),M49*1%,IF(AND(M49&gt;1,M49&lt;=50),M49*1.5%))))</f>
        <v>2.9950000000000001</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555"/>
      <c r="K66" s="1332" t="s">
        <v>1387</v>
      </c>
      <c r="L66" s="1332">
        <f ca="1">M49*0.5%</f>
        <v>2.9950000000000001</v>
      </c>
      <c r="M66" s="302">
        <f ca="1">IF(L66&gt;0.5,0.5,ROUND(L66,0))</f>
        <v>0.5</v>
      </c>
      <c r="N66" s="2544" t="s">
        <v>1388</v>
      </c>
      <c r="Z66" s="1752"/>
      <c r="AI66" s="1753"/>
    </row>
    <row r="67" spans="1:35" ht="14.25" customHeight="1">
      <c r="A67" s="173" t="s">
        <v>328</v>
      </c>
      <c r="B67" s="174" t="s">
        <v>1389</v>
      </c>
      <c r="C67" s="2568">
        <f ca="1">C63-C66</f>
        <v>570</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1.7475000000000001</v>
      </c>
      <c r="M67" s="302">
        <f ca="1">ROUND(L67*0.9,1)</f>
        <v>1.6</v>
      </c>
      <c r="N67" s="2543"/>
      <c r="Z67" s="1752"/>
      <c r="AI67" s="1753"/>
    </row>
    <row r="68" spans="1:35" ht="14.25" customHeight="1" thickBot="1">
      <c r="A68" s="176" t="s">
        <v>329</v>
      </c>
      <c r="B68" s="177" t="s">
        <v>1391</v>
      </c>
      <c r="C68" s="2569">
        <f ca="1">IF(C67&lt;=0,0,ROUND(C67*D68,0))</f>
        <v>32</v>
      </c>
      <c r="D68" s="2570">
        <f>'数据-取费表'!B41</f>
        <v>5.6000000000000001E-2</v>
      </c>
      <c r="E68" s="178"/>
      <c r="F68" s="1808"/>
      <c r="G68" s="1808"/>
      <c r="H68" s="1810"/>
      <c r="I68" s="129"/>
      <c r="J68" s="3555"/>
      <c r="K68" s="1332" t="s">
        <v>1392</v>
      </c>
      <c r="L68" s="1332">
        <f ca="1">IF(M49&gt;10000,M49*0.5%,IF(AND(M49&gt;5000,M49&lt;=10000),M49*1%,IF(AND(M49&gt;1000,M49&lt;=5000),M49*2%,IF(AND(M49&gt;200,M49&lt;=1000),M49*3%,M49*5%))))</f>
        <v>17.97</v>
      </c>
      <c r="M68" s="302">
        <f ca="1">ROUND(L68,1)</f>
        <v>18</v>
      </c>
      <c r="N68" s="2543"/>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45</v>
      </c>
      <c r="N69" s="2545">
        <f ca="1">M69/M49</f>
        <v>7.512520868113523E-2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7" t="s">
        <v>2128</v>
      </c>
      <c r="H90" s="355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8" t="s">
        <v>1422</v>
      </c>
      <c r="F92" s="3589"/>
      <c r="G92" s="3589"/>
      <c r="H92" s="359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5" t="str">
        <f>C4</f>
        <v>比较法-办公</v>
      </c>
      <c r="D101" s="2586" t="str">
        <f>D4</f>
        <v>收益法 (元)</v>
      </c>
      <c r="E101" s="3551" t="s">
        <v>1431</v>
      </c>
      <c r="F101" s="3552"/>
      <c r="G101" s="1827" t="s">
        <v>1432</v>
      </c>
      <c r="H101" s="2595">
        <f ca="1">H118</f>
        <v>599</v>
      </c>
      <c r="I101" s="129"/>
    </row>
    <row r="102" spans="1:35" ht="18.75" customHeight="1">
      <c r="A102" s="3583" t="s">
        <v>1433</v>
      </c>
      <c r="B102" s="2584" t="s">
        <v>1432</v>
      </c>
      <c r="C102" s="2585">
        <f ca="1">IF(D32="楼面单价",ROUND(C19,0),C19)</f>
        <v>676</v>
      </c>
      <c r="D102" s="2586">
        <f ca="1">IF(D32="楼面单价",ROUND(D19,0),D19)</f>
        <v>419</v>
      </c>
      <c r="E102" s="3551"/>
      <c r="F102" s="3552"/>
      <c r="G102" s="1827" t="s">
        <v>1434</v>
      </c>
      <c r="H102" s="2555">
        <f ca="1">I118</f>
        <v>26085</v>
      </c>
      <c r="I102" s="129"/>
    </row>
    <row r="103" spans="1:35" ht="42.75" customHeight="1">
      <c r="A103" s="3583"/>
      <c r="B103" s="2584" t="s">
        <v>1434</v>
      </c>
      <c r="C103" s="2587">
        <f ca="1">C20</f>
        <v>29433</v>
      </c>
      <c r="D103" s="2588">
        <f ca="1">D20</f>
        <v>18272</v>
      </c>
      <c r="E103" s="3544" t="s">
        <v>1435</v>
      </c>
      <c r="F103" s="3545"/>
      <c r="G103" s="1828" t="s">
        <v>1436</v>
      </c>
      <c r="H103" s="2595">
        <f>IF(D36="正常操作",H104+H105+H106,H105+H106)</f>
        <v>0</v>
      </c>
      <c r="I103" s="129"/>
    </row>
    <row r="104" spans="1:35" ht="18.75" customHeight="1">
      <c r="A104" s="3583" t="s">
        <v>1437</v>
      </c>
      <c r="B104" s="2589" t="s">
        <v>1432</v>
      </c>
      <c r="C104" s="2590">
        <f ca="1">H118</f>
        <v>599</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26085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52"/>
      <c r="G107" s="1827" t="s">
        <v>1432</v>
      </c>
      <c r="H107" s="2595">
        <f ca="1">IF(E107="——","——",H101-H103)</f>
        <v>599</v>
      </c>
      <c r="I107" s="129"/>
    </row>
    <row r="108" spans="1:35" ht="18.75" customHeight="1">
      <c r="A108" s="129"/>
      <c r="B108" s="129"/>
      <c r="C108" s="129"/>
      <c r="D108" s="129"/>
      <c r="E108" s="3584"/>
      <c r="F108" s="3552"/>
      <c r="G108" s="1827" t="s">
        <v>1434</v>
      </c>
      <c r="H108" s="2555">
        <f ca="1">IF(H107=H101,H102,ROUND(H107*10000/'数据-汇总表'!E3,0))</f>
        <v>26085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8" t="str">
        <f>IF(E109="——","——",H101-H105-H106)</f>
        <v>——</v>
      </c>
      <c r="I109" s="129"/>
    </row>
    <row r="110" spans="1:35" ht="18.75" customHeight="1">
      <c r="A110" s="129"/>
      <c r="B110" s="129"/>
      <c r="C110" s="129"/>
      <c r="D110" s="129"/>
      <c r="E110" s="3584"/>
      <c r="F110" s="3552"/>
      <c r="G110" s="1827" t="s">
        <v>1434</v>
      </c>
      <c r="H110" s="2555"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4.抵押净值</v>
      </c>
      <c r="F111" s="3571"/>
      <c r="G111" s="1827" t="s">
        <v>1432</v>
      </c>
      <c r="H111" s="2595">
        <f ca="1">IF(E111="——","——",N59)</f>
        <v>254</v>
      </c>
      <c r="I111" s="129"/>
    </row>
    <row r="112" spans="1:35" ht="18.75" customHeight="1" thickBot="1">
      <c r="A112" s="129"/>
      <c r="B112" s="129"/>
      <c r="C112" s="129"/>
      <c r="D112" s="129"/>
      <c r="E112" s="3586"/>
      <c r="F112" s="3587"/>
      <c r="G112" s="1830" t="s">
        <v>1434</v>
      </c>
      <c r="H112" s="2599">
        <f ca="1">IF(E111="——","——",N61)</f>
        <v>11066</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229.53</v>
      </c>
      <c r="C118" s="2329">
        <f>M19</f>
        <v>0</v>
      </c>
      <c r="D118" s="2329">
        <f ca="1">ROUND(IF(D32="总价",C34,E118*B118/10000),0)</f>
        <v>342</v>
      </c>
      <c r="E118" s="2329">
        <f ca="1">ROUND(IF(C33="自定义",IF(D32="楼面单价",C34,D118*10000/B118),I118-G118),0)</f>
        <v>14921</v>
      </c>
      <c r="F118" s="2329">
        <f ca="1">ROUND(IF(D32="总价",C35,G118*B118/10000),0)</f>
        <v>256</v>
      </c>
      <c r="G118" s="2329">
        <f ca="1">ROUND(IF(D32="楼面单价",C35,F118*10000/B118),0)</f>
        <v>11164</v>
      </c>
      <c r="H118" s="2329">
        <f ca="1">ROUND(IF(D32="总价",C32,I118*B118/10000),0)</f>
        <v>599</v>
      </c>
      <c r="I118" s="2329">
        <f ca="1">ROUND(IF(D32="楼面单价",C32,H118*10000/B118),0)</f>
        <v>26085</v>
      </c>
    </row>
    <row r="119" spans="1:27" ht="18.75" customHeight="1">
      <c r="A119" s="3559" t="s">
        <v>1452</v>
      </c>
      <c r="B119" s="3559"/>
      <c r="C119" s="3559"/>
      <c r="D119" s="3565" t="str">
        <f ca="1">NUMBERSTRING(INT(D118*10000),2)&amp;"元整"</f>
        <v>叁佰肆拾贰万元整</v>
      </c>
      <c r="E119" s="3566"/>
      <c r="F119" s="3565" t="str">
        <f ca="1">NUMBERSTRING(INT(F118*10000),2)&amp;"元整"</f>
        <v>贰佰伍拾陆万元整</v>
      </c>
      <c r="G119" s="3566"/>
      <c r="H119" s="3565" t="str">
        <f ca="1">NUMBERSTRING(INT(H118*10000),2)&amp;"元整"</f>
        <v>伍佰玖拾玖万元整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599</v>
      </c>
      <c r="E122" s="3561"/>
      <c r="F122" s="3561"/>
      <c r="G122" s="3561"/>
      <c r="H122" s="3561"/>
      <c r="I122" s="3562"/>
      <c r="AA122" s="725"/>
    </row>
    <row r="123" spans="1:27" ht="18.75" customHeight="1">
      <c r="A123" s="3559" t="s">
        <v>1452</v>
      </c>
      <c r="B123" s="3559"/>
      <c r="C123" s="3559"/>
      <c r="D123" s="3565" t="str">
        <f ca="1">NUMBERSTRING(INT(D122*10000),2)&amp;"元整"</f>
        <v>伍佰玖拾玖万元整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抵押净值</v>
      </c>
      <c r="B126" s="3571"/>
      <c r="C126" s="3571"/>
      <c r="D126" s="3560">
        <f ca="1">H111</f>
        <v>254</v>
      </c>
      <c r="E126" s="3561"/>
      <c r="F126" s="3561"/>
      <c r="G126" s="3561"/>
      <c r="H126" s="3561"/>
      <c r="I126" s="3562"/>
      <c r="AA126" s="725"/>
    </row>
    <row r="127" spans="1:27" ht="18.75" customHeight="1">
      <c r="A127" s="3559" t="s">
        <v>1452</v>
      </c>
      <c r="B127" s="3559"/>
      <c r="C127" s="3559"/>
      <c r="D127" s="3565" t="str">
        <f ca="1">NUMBERSTRING(INT(D126*10000),2)&amp;"元整"</f>
        <v>贰佰伍拾肆万元整</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H62" activeCellId="1" sqref="C6 H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61987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2700606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45906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45906</v>
      </c>
      <c r="D8" s="222"/>
      <c r="E8" s="220"/>
      <c r="F8" s="221"/>
      <c r="G8" s="1856" t="s">
        <v>3394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229.53</v>
      </c>
      <c r="E19" s="211">
        <f>'数据-取费表'!B31</f>
        <v>200</v>
      </c>
      <c r="F19" s="231"/>
      <c r="G19" s="1856" t="s">
        <v>3396</v>
      </c>
    </row>
    <row r="20" spans="1:7" s="214" customFormat="1" ht="13.5" customHeight="1">
      <c r="A20" s="255" t="s">
        <v>1493</v>
      </c>
      <c r="B20" s="210" t="s">
        <v>1494</v>
      </c>
      <c r="C20" s="232">
        <f>ROUND((C5+C19)*F20,0)</f>
        <v>918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3254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7024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7024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61866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229.53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6.9999999999999999E-4</v>
      </c>
      <c r="D44" s="238"/>
      <c r="E44" s="238"/>
      <c r="F44" s="239"/>
      <c r="G44" s="3640"/>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121</v>
      </c>
      <c r="D51" s="232"/>
      <c r="E51" s="232"/>
      <c r="F51" s="264"/>
      <c r="G51" s="234" t="s">
        <v>1560</v>
      </c>
    </row>
    <row r="52" spans="1:7" s="208" customFormat="1" ht="16.5" thickBot="1">
      <c r="A52" s="265" t="s">
        <v>1561</v>
      </c>
      <c r="B52" s="266"/>
      <c r="C52" s="267">
        <f ca="1">C31+C51</f>
        <v>61987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O56" sqref="O5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465.30130000000003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20272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2556442</v>
      </c>
      <c r="D5" s="211" t="s">
        <v>1469</v>
      </c>
      <c r="E5" s="212" t="s">
        <v>1470</v>
      </c>
      <c r="F5" s="212" t="s">
        <v>1471</v>
      </c>
      <c r="G5" s="213"/>
    </row>
    <row r="6" spans="1:8" s="214" customFormat="1" ht="13.5" customHeight="1">
      <c r="A6" s="778" t="s">
        <v>1472</v>
      </c>
      <c r="B6" s="215" t="s">
        <v>1473</v>
      </c>
      <c r="C6" s="216">
        <f>ROUND(基准地价修正!C33*基准地价修正!D33,0)</f>
        <v>2436231</v>
      </c>
      <c r="D6" s="217"/>
      <c r="E6" s="218"/>
      <c r="F6" s="218"/>
      <c r="G6" s="219"/>
    </row>
    <row r="7" spans="1:8" s="214" customFormat="1" ht="13.5" customHeight="1">
      <c r="A7" s="778" t="s">
        <v>1474</v>
      </c>
      <c r="B7" s="215" t="s">
        <v>1475</v>
      </c>
      <c r="C7" s="220">
        <f>ROUND(C6*F7,0)</f>
        <v>74305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45906</v>
      </c>
      <c r="D8" s="222"/>
      <c r="E8" s="220"/>
      <c r="F8" s="221"/>
      <c r="G8" s="1856" t="s">
        <v>3394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45906</v>
      </c>
      <c r="D10" s="845">
        <f ca="1">IF(B1="",'数据-汇总表'!E6,IF(INDIRECT("'数据-取费表'!c"&amp;$G$1)="住宅",INDIRECT("'数据-取费表'!s"&amp;$G$1),INDIRECT("'数据-取费表'!k"&amp;$G$1)+INDIRECT("'数据-取费表'!s"&amp;$G$1)))</f>
        <v>229.53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229.53</v>
      </c>
      <c r="E19" s="211">
        <f>'数据-取费表'!B31</f>
        <v>200</v>
      </c>
      <c r="F19" s="231"/>
      <c r="G19" s="1856" t="s">
        <v>3396</v>
      </c>
    </row>
    <row r="20" spans="1:7" s="214" customFormat="1" ht="13.5" customHeight="1">
      <c r="A20" s="255" t="s">
        <v>1574</v>
      </c>
      <c r="B20" s="210" t="s">
        <v>1575</v>
      </c>
      <c r="C20" s="232">
        <f ca="1">ROUND((C5+C19)*F20,0)</f>
        <v>51129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181201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179437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1764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391136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391136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3445187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1125271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1032885</v>
      </c>
      <c r="D34" s="217"/>
      <c r="E34" s="220"/>
      <c r="F34" s="257"/>
      <c r="G34" s="219"/>
    </row>
    <row r="35" spans="1:7" ht="13.5" customHeight="1">
      <c r="A35" s="780" t="s">
        <v>351</v>
      </c>
      <c r="B35" s="215" t="s">
        <v>1527</v>
      </c>
      <c r="C35" s="220">
        <f ca="1">ROUND(C34*F35,0)</f>
        <v>30987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45906</v>
      </c>
      <c r="D37" s="217">
        <f ca="1">D19</f>
        <v>229.53</v>
      </c>
      <c r="E37" s="249">
        <f>'数据-取费表'!B35</f>
        <v>200</v>
      </c>
      <c r="F37" s="259"/>
      <c r="G37" s="261"/>
    </row>
    <row r="38" spans="1:7" ht="13.5" customHeight="1">
      <c r="A38" s="780" t="s">
        <v>354</v>
      </c>
      <c r="B38" s="215" t="s">
        <v>1533</v>
      </c>
      <c r="C38" s="220">
        <f ca="1">ROUND(C34*F38,0)</f>
        <v>15493</v>
      </c>
      <c r="D38" s="220"/>
      <c r="E38" s="220"/>
      <c r="F38" s="259">
        <f>'数据-取费表'!B36</f>
        <v>1.4999999999999999E-2</v>
      </c>
      <c r="G38" s="219" t="s">
        <v>1528</v>
      </c>
    </row>
    <row r="39" spans="1:7" s="214" customFormat="1" ht="13.5" customHeight="1">
      <c r="A39" s="255" t="s">
        <v>1534</v>
      </c>
      <c r="B39" s="210" t="s">
        <v>1535</v>
      </c>
      <c r="C39" s="232">
        <f ca="1">ROUND(C33*F20,0)</f>
        <v>22505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39598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38822</v>
      </c>
      <c r="D42" s="238"/>
      <c r="E42" s="238"/>
      <c r="F42" s="239"/>
      <c r="G42" s="3638" t="s">
        <v>1591</v>
      </c>
    </row>
    <row r="43" spans="1:7" ht="13.5" customHeight="1">
      <c r="A43" s="780" t="s">
        <v>347</v>
      </c>
      <c r="B43" s="215" t="s">
        <v>1545</v>
      </c>
      <c r="C43" s="238">
        <f ca="1">ROUND(IF('数据-取费表'!B22&lt;=1,C39*F22*'数据-取费表'!B20/2,C39*(POWER((1+F22),'数据-取费表'!B20/2)-1)),0)</f>
        <v>776</v>
      </c>
      <c r="D43" s="238"/>
      <c r="E43" s="238"/>
      <c r="F43" s="239"/>
      <c r="G43" s="3639"/>
    </row>
    <row r="44" spans="1:7" ht="13.5" customHeight="1">
      <c r="A44" s="780" t="s">
        <v>348</v>
      </c>
      <c r="B44" s="215" t="s">
        <v>1546</v>
      </c>
      <c r="C44" s="238">
        <f ca="1">ROUND(IF('数据-取费表'!B22&lt;=1,C40*F22*'数据-取费表'!B20/2,C40*(POWER((1+F22),'数据-取费表'!B20/2)-1)),4)</f>
        <v>6.9999999999999999E-4</v>
      </c>
      <c r="D44" s="238"/>
      <c r="E44" s="238"/>
      <c r="F44" s="239"/>
      <c r="G44" s="3640"/>
    </row>
    <row r="45" spans="1:7" s="214" customFormat="1" ht="13.5" customHeight="1">
      <c r="A45" s="255" t="s">
        <v>1547</v>
      </c>
      <c r="B45" s="244" t="s">
        <v>1513</v>
      </c>
      <c r="C45" s="245">
        <f ca="1">C46</f>
        <v>172166</v>
      </c>
      <c r="D45" s="235">
        <f ca="1">C47</f>
        <v>3.0000000000000001E-3</v>
      </c>
      <c r="E45" s="236" t="s">
        <v>1539</v>
      </c>
      <c r="F45" s="246">
        <f ca="1">F27</f>
        <v>0.15</v>
      </c>
      <c r="G45" s="247" t="s">
        <v>1548</v>
      </c>
    </row>
    <row r="46" spans="1:7" s="214" customFormat="1" ht="13.5" customHeight="1">
      <c r="A46" s="780" t="s">
        <v>346</v>
      </c>
      <c r="B46" s="248" t="s">
        <v>1549</v>
      </c>
      <c r="C46" s="249">
        <f ca="1">ROUND((C33+C39)*F27,0)</f>
        <v>172166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1472958</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1207826</v>
      </c>
      <c r="D51" s="232"/>
      <c r="E51" s="232"/>
      <c r="F51" s="264"/>
      <c r="G51" s="234" t="s">
        <v>1560</v>
      </c>
    </row>
    <row r="52" spans="1:7" s="208" customFormat="1" ht="16.5" thickBot="1">
      <c r="A52" s="265" t="s">
        <v>1561</v>
      </c>
      <c r="B52" s="266"/>
      <c r="C52" s="267">
        <f ca="1">C31+C51</f>
        <v>4653013</v>
      </c>
      <c r="D52" s="266"/>
      <c r="E52" s="266"/>
      <c r="F52" s="266"/>
      <c r="G52" s="268"/>
    </row>
    <row r="55" spans="1:7" ht="15">
      <c r="B55" s="270" t="s">
        <v>1562</v>
      </c>
      <c r="C55" s="271"/>
    </row>
    <row r="56" spans="1:7">
      <c r="B56" s="273" t="s">
        <v>802</v>
      </c>
      <c r="C56" s="275">
        <f ca="1">1-C57</f>
        <v>0.74</v>
      </c>
    </row>
    <row r="57" spans="1:7">
      <c r="B57" s="273" t="s">
        <v>803</v>
      </c>
      <c r="C57" s="274">
        <f ca="1">ROUND(C51/C52,3)</f>
        <v>0.26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62" activeCellId="1" sqref="C6 H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52325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-45901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229.53</v>
      </c>
      <c r="E20" s="21">
        <f>'数据-取费表'!B28</f>
        <v>200</v>
      </c>
      <c r="F20" s="804"/>
      <c r="G20" s="12"/>
      <c r="H20" s="809"/>
      <c r="I20" s="809"/>
      <c r="J20" s="809"/>
      <c r="K20" s="810"/>
    </row>
    <row r="21" spans="1:33" s="803" customFormat="1" ht="13.5" customHeight="1">
      <c r="A21" s="790" t="s">
        <v>357</v>
      </c>
      <c r="B21" s="813" t="s">
        <v>1628</v>
      </c>
      <c r="C21" s="814">
        <f ca="1">C16+C17+C18</f>
        <v>-45901</v>
      </c>
      <c r="D21" s="815"/>
      <c r="E21" s="281"/>
      <c r="F21" s="281"/>
      <c r="G21" s="131" t="s">
        <v>1629</v>
      </c>
      <c r="H21" s="807"/>
      <c r="I21" s="807"/>
      <c r="J21" s="807"/>
      <c r="K21" s="808"/>
    </row>
    <row r="22" spans="1:33" s="803" customFormat="1" ht="13.5" customHeight="1">
      <c r="A22" s="790" t="s">
        <v>1601</v>
      </c>
      <c r="B22" s="813" t="s">
        <v>1630</v>
      </c>
      <c r="C22" s="814">
        <f ca="1">ROUND(C21*F22,0)</f>
        <v>-918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-7023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-7023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52325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62" activeCellId="1" sqref="C6 H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2108</v>
      </c>
      <c r="E6" s="302" t="s">
        <v>696</v>
      </c>
      <c r="F6" s="303">
        <f ca="1">INDIRECT("'数据-取费表'!u"&amp;$G$1)</f>
        <v>0</v>
      </c>
      <c r="G6" s="1384"/>
      <c r="H6" s="1069" t="s">
        <v>398</v>
      </c>
      <c r="I6" s="3643" t="s">
        <v>694</v>
      </c>
      <c r="J6" s="301">
        <f ca="1">ROUND(M6*M8*M7*(1-M9)/10000,0)</f>
        <v>0</v>
      </c>
      <c r="K6" s="155"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H62" activeCellId="1" sqref="C6 H6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0" t="s">
        <v>2336</v>
      </c>
      <c r="B6" s="3651"/>
      <c r="C6" s="3652"/>
      <c r="D6" s="2870"/>
      <c r="E6" s="2871"/>
      <c r="F6" s="2872"/>
      <c r="G6" s="2873"/>
      <c r="H6" s="2848"/>
      <c r="I6" s="2849"/>
      <c r="J6" s="3653">
        <v>1</v>
      </c>
      <c r="K6" s="365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3"/>
      <c r="K7" s="365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7" t="s">
        <v>2350</v>
      </c>
      <c r="C8" s="3658"/>
      <c r="D8" s="2889" t="s">
        <v>2351</v>
      </c>
      <c r="E8" s="2890" t="s">
        <v>2352</v>
      </c>
      <c r="F8" s="2891" t="s">
        <v>2353</v>
      </c>
      <c r="G8" s="2892"/>
      <c r="H8" s="2848"/>
      <c r="I8" s="2849"/>
      <c r="J8" s="3653"/>
      <c r="K8" s="365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7" t="s">
        <v>2356</v>
      </c>
      <c r="C9" s="3658"/>
      <c r="D9" s="2889">
        <f>ROUND(D6*E9,0)</f>
        <v>0</v>
      </c>
      <c r="E9" s="2893"/>
      <c r="F9" s="2894" t="s">
        <v>2357</v>
      </c>
      <c r="G9" s="2873"/>
      <c r="H9" s="2848"/>
      <c r="I9" s="2849"/>
      <c r="J9" s="3653"/>
      <c r="K9" s="3655"/>
      <c r="L9" s="2883" t="s">
        <v>2358</v>
      </c>
      <c r="M9" s="2884"/>
      <c r="N9" s="2860"/>
      <c r="O9" s="2885"/>
      <c r="P9" s="2885"/>
      <c r="Q9" s="2886">
        <v>365</v>
      </c>
      <c r="R9" s="2887">
        <f t="shared" si="0"/>
        <v>0</v>
      </c>
      <c r="S9" s="2841"/>
      <c r="T9" s="2841"/>
      <c r="U9" s="2841"/>
      <c r="V9" s="2849"/>
    </row>
    <row r="10" spans="1:22" s="2853" customFormat="1" ht="13.15" customHeight="1">
      <c r="A10" s="2888">
        <v>2</v>
      </c>
      <c r="B10" s="3657" t="s">
        <v>2359</v>
      </c>
      <c r="C10" s="3658"/>
      <c r="D10" s="2889">
        <f>ROUND(D6*E10,0)</f>
        <v>0</v>
      </c>
      <c r="E10" s="2893"/>
      <c r="F10" s="2894" t="s">
        <v>2360</v>
      </c>
      <c r="G10" s="2873"/>
      <c r="H10" s="2848"/>
      <c r="I10" s="2849"/>
      <c r="J10" s="3653"/>
      <c r="K10" s="3655"/>
      <c r="L10" s="2883" t="s">
        <v>2361</v>
      </c>
      <c r="M10" s="2884"/>
      <c r="N10" s="2860"/>
      <c r="O10" s="2885"/>
      <c r="P10" s="2885"/>
      <c r="Q10" s="2886">
        <v>365</v>
      </c>
      <c r="R10" s="2887">
        <f t="shared" si="0"/>
        <v>0</v>
      </c>
      <c r="S10" s="2841"/>
      <c r="T10" s="2841"/>
      <c r="U10" s="2841"/>
      <c r="V10" s="2849"/>
    </row>
    <row r="11" spans="1:22" s="2853" customFormat="1" ht="13.15" customHeight="1">
      <c r="A11" s="2888">
        <v>3</v>
      </c>
      <c r="B11" s="3657" t="s">
        <v>2362</v>
      </c>
      <c r="C11" s="3658"/>
      <c r="D11" s="2889">
        <f>D12+D14+D15+D16</f>
        <v>0</v>
      </c>
      <c r="E11" s="2895" t="e">
        <f>D11/D6</f>
        <v>#DIV/0!</v>
      </c>
      <c r="F11" s="2891"/>
      <c r="G11" s="2892"/>
      <c r="H11" s="2848"/>
      <c r="I11" s="2849"/>
      <c r="J11" s="3653"/>
      <c r="K11" s="365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9" t="s">
        <v>2365</v>
      </c>
      <c r="C12" s="3660"/>
      <c r="D12" s="2897">
        <f>ROUND(D13*1.2%*(1-30%),0)</f>
        <v>0</v>
      </c>
      <c r="E12" s="2898">
        <v>1.2E-2</v>
      </c>
      <c r="F12" s="2891" t="s">
        <v>2366</v>
      </c>
      <c r="G12" s="2892"/>
      <c r="H12" s="2848"/>
      <c r="I12" s="2849"/>
      <c r="J12" s="3653"/>
      <c r="K12" s="365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3"/>
      <c r="K13" s="365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9" t="s">
        <v>2371</v>
      </c>
      <c r="C14" s="3660"/>
      <c r="D14" s="2897">
        <f>ROUND(E14*B5/10000,0)</f>
        <v>0</v>
      </c>
      <c r="E14" s="2886"/>
      <c r="F14" s="2891" t="s">
        <v>2372</v>
      </c>
      <c r="G14" s="2892"/>
      <c r="H14" s="2848"/>
      <c r="I14" s="2849"/>
      <c r="J14" s="3653"/>
      <c r="K14" s="365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9" t="s">
        <v>2375</v>
      </c>
      <c r="C15" s="3660"/>
      <c r="D15" s="2897">
        <f>ROUND(D6*E15,0)</f>
        <v>0</v>
      </c>
      <c r="E15" s="2898">
        <v>5.5E-2</v>
      </c>
      <c r="F15" s="2891" t="s">
        <v>2376</v>
      </c>
      <c r="G15" s="2873"/>
      <c r="H15" s="2848"/>
      <c r="I15" s="2849"/>
      <c r="J15" s="3653">
        <v>2</v>
      </c>
      <c r="K15" s="365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9" t="s">
        <v>2384</v>
      </c>
      <c r="C16" s="3660"/>
      <c r="D16" s="2908">
        <f>D6*E16</f>
        <v>0</v>
      </c>
      <c r="E16" s="2909"/>
      <c r="F16" s="2894" t="s">
        <v>2385</v>
      </c>
      <c r="G16" s="2873"/>
      <c r="H16" s="2848"/>
      <c r="I16" s="2849"/>
      <c r="J16" s="3653"/>
      <c r="K16" s="365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2387</v>
      </c>
      <c r="C17" s="3662"/>
      <c r="D17" s="2911">
        <f>ROUND(D6*E17,0)</f>
        <v>0</v>
      </c>
      <c r="E17" s="2912"/>
      <c r="F17" s="2913" t="s">
        <v>2388</v>
      </c>
      <c r="G17" s="2873"/>
      <c r="H17" s="2848"/>
      <c r="I17" s="2849"/>
      <c r="J17" s="3653"/>
      <c r="K17" s="365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3"/>
      <c r="K18" s="365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3"/>
      <c r="K19" s="365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3"/>
      <c r="K21" s="365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3"/>
      <c r="K22" s="365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3"/>
      <c r="K23" s="365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3"/>
      <c r="K24" s="365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3">
        <v>1</v>
      </c>
      <c r="K36" s="365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3"/>
      <c r="K40" s="365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62" activeCellId="1" sqref="C6 H6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419.4074</v>
      </c>
      <c r="C2" s="1872" t="s">
        <v>1651</v>
      </c>
      <c r="D2" s="1873" t="s">
        <v>1652</v>
      </c>
      <c r="E2" s="2607">
        <f>SUM(E6:E13)</f>
        <v>229.53</v>
      </c>
      <c r="F2" s="2707"/>
      <c r="G2" s="1489"/>
      <c r="H2" s="1489"/>
      <c r="I2" s="1489"/>
      <c r="J2" s="1489"/>
      <c r="K2" s="1489"/>
      <c r="L2" s="1489"/>
      <c r="M2" s="1489"/>
      <c r="N2" s="1489"/>
      <c r="O2" s="1489"/>
      <c r="P2" s="1489"/>
      <c r="Q2" s="1489"/>
      <c r="R2" s="1489"/>
      <c r="S2" s="1489"/>
    </row>
    <row r="3" spans="1:22" ht="15.75">
      <c r="A3" s="1870" t="s">
        <v>686</v>
      </c>
      <c r="B3" s="2601">
        <f ca="1">ROUND(B2*10000/E2,0)</f>
        <v>18272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419.4074</v>
      </c>
      <c r="C6" s="1872" t="s">
        <v>1651</v>
      </c>
      <c r="D6" s="2709"/>
      <c r="E6" s="2606">
        <f>IF(OR(A6=0,F6="否"),0,'数据-取费表'!K6+'数据-取费表'!S6)</f>
        <v>229.53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62" activeCellId="1" sqref="C6 H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72" t="s">
        <v>1668</v>
      </c>
      <c r="S4" s="3673"/>
      <c r="T4" s="3672" t="s">
        <v>1669</v>
      </c>
      <c r="U4" s="3673"/>
      <c r="V4" s="3697" t="s">
        <v>1670</v>
      </c>
      <c r="W4" s="3697"/>
      <c r="X4" s="1355"/>
      <c r="Y4" s="3672" t="s">
        <v>1672</v>
      </c>
      <c r="Z4" s="3673"/>
      <c r="AA4" s="3667" t="s">
        <v>1668</v>
      </c>
      <c r="AB4" s="3667" t="s">
        <v>1669</v>
      </c>
      <c r="AC4" s="3667" t="s">
        <v>1670</v>
      </c>
    </row>
    <row r="5" spans="1:29" ht="15">
      <c r="A5" s="358"/>
      <c r="B5" s="359"/>
      <c r="C5" s="3678" t="s">
        <v>1673</v>
      </c>
      <c r="D5" s="3679"/>
      <c r="E5" s="3676" t="s">
        <v>1674</v>
      </c>
      <c r="F5" s="3677"/>
      <c r="G5" s="3678" t="s">
        <v>1675</v>
      </c>
      <c r="H5" s="3679"/>
      <c r="I5" s="3678" t="s">
        <v>1676</v>
      </c>
      <c r="J5" s="3679"/>
      <c r="K5" s="1890"/>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1890"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45324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0" t="s">
        <v>1680</v>
      </c>
      <c r="Q7" s="3698"/>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2"/>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62" activeCellId="1" sqref="C6 H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97"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97"/>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97"/>
      <c r="AC6" s="3669"/>
    </row>
    <row r="7" spans="1:29" s="108" customFormat="1" ht="15.75" thickBot="1">
      <c r="A7" s="362" t="s">
        <v>1679</v>
      </c>
      <c r="B7" s="363"/>
      <c r="C7" s="364">
        <f>'数据-取费表'!B2</f>
        <v>45324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913"/>
      <c r="M5" s="914"/>
      <c r="N5" s="914"/>
      <c r="O5" s="914"/>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913"/>
      <c r="M6" s="914"/>
      <c r="N6" s="914"/>
      <c r="O6" s="914"/>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45324</v>
      </c>
      <c r="D7" s="365">
        <v>100</v>
      </c>
      <c r="E7" s="366"/>
      <c r="F7" s="367">
        <f>SUMIF(52:52,YEAR(E7)&amp;"-"&amp;MONTH(E7),53:53)</f>
        <v>0</v>
      </c>
      <c r="G7" s="366"/>
      <c r="H7" s="365">
        <f>SUMIF(52:52,YEAR(G7)&amp;"-"&amp;MONTH(G7),53:53)</f>
        <v>0</v>
      </c>
      <c r="I7" s="366"/>
      <c r="J7" s="365">
        <f>SUMIF(52:52,YEAR(I7)&amp;"-"&amp;MONTH(I7),53:53)</f>
        <v>0</v>
      </c>
      <c r="K7" s="560"/>
      <c r="L7" s="915"/>
      <c r="M7" s="916"/>
      <c r="N7" s="916"/>
      <c r="O7" s="9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3"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45324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1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14" t="e">
        <f>IF(F1="售价",ROUND(IF(D38="简单平均",AVERAGE(R38:W38),R38*F38+T38*H38+V38*J38),0),ROUND(IF(D38="简单平均",AVERAGE(R38:V38),R38*F38+T38*H38+V38*J38),1))</f>
        <v>#DIV/0!</v>
      </c>
      <c r="S39" s="3714"/>
      <c r="T39" s="3714"/>
      <c r="U39" s="3714"/>
      <c r="V39" s="3714"/>
      <c r="W39" s="371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62" activeCellId="1" sqref="C6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45324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1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14" t="e">
        <f>IF(F1="售价",ROUND(IF(D36="简单平均",AVERAGE(R36:W36),R36*F36+T36*H36+V36*J36),0),ROUND(IF(D36="简单平均",AVERAGE(R36:V36),R36*F36+T36*H36+V36*J36),1))</f>
        <v>#DIV/0!</v>
      </c>
      <c r="S37" s="3714"/>
      <c r="T37" s="3714"/>
      <c r="U37" s="3714"/>
      <c r="V37" s="3714"/>
      <c r="W37" s="371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62" activeCellId="1" sqref="C6 H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30"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30"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30" s="108" customFormat="1" ht="15.75" thickBot="1">
      <c r="A7" s="362" t="s">
        <v>1679</v>
      </c>
      <c r="B7" s="363"/>
      <c r="C7" s="364">
        <f>'数据-取费表'!B2</f>
        <v>45324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02"/>
      <c r="Q10" s="1343" t="str">
        <f t="shared" si="6"/>
        <v>土地使用年限（年）</v>
      </c>
      <c r="R10" s="701" t="s">
        <v>14</v>
      </c>
      <c r="S10" s="702">
        <f t="shared" si="0"/>
        <v>112</v>
      </c>
      <c r="T10" s="701" t="s">
        <v>14</v>
      </c>
      <c r="U10" s="702">
        <f t="shared" si="1"/>
        <v>112</v>
      </c>
      <c r="V10" s="701" t="s">
        <v>14</v>
      </c>
      <c r="W10" s="702">
        <f t="shared" si="2"/>
        <v>112</v>
      </c>
      <c r="X10" s="703"/>
      <c r="Y10" s="3614"/>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13"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15" t="e">
        <f>ROUND(PRODUCT(R46,AA7:AA45),0)</f>
        <v>#DIV/0!</v>
      </c>
      <c r="S47" s="3715"/>
      <c r="T47" s="3715" t="e">
        <f>ROUND(PRODUCT(T46,AB7:AB45),0)</f>
        <v>#DIV/0!</v>
      </c>
      <c r="U47" s="3715"/>
      <c r="V47" s="3715" t="e">
        <f>ROUND(PRODUCT(V46,AC7:AC45),0)</f>
        <v>#DIV/0!</v>
      </c>
      <c r="W47" s="371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16" t="e">
        <f>ROUND(IF(D47="简单平均",AVERAGE(R47:W47),R47*F47+T47*H47+V47*J47),0)</f>
        <v>#DIV/0!</v>
      </c>
      <c r="S48" s="3716"/>
      <c r="T48" s="3716"/>
      <c r="U48" s="3716"/>
      <c r="V48" s="3716"/>
      <c r="W48" s="371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1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229.53</v>
      </c>
      <c r="F56" s="886" t="e">
        <f t="shared" ref="F56:F64" si="15">ROUND(B56*E56/10000,0)</f>
        <v>#DIV/0!</v>
      </c>
      <c r="G56" s="3684"/>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229.53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62" activeCellId="1" sqref="C6 H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718" t="s">
        <v>1919</v>
      </c>
      <c r="D6" s="3719"/>
      <c r="E6" s="3720" t="s">
        <v>1919</v>
      </c>
      <c r="F6" s="3721"/>
      <c r="G6" s="3718" t="s">
        <v>1919</v>
      </c>
      <c r="H6" s="3719"/>
      <c r="I6" s="3718" t="s">
        <v>1919</v>
      </c>
      <c r="J6" s="3719"/>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45324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02"/>
      <c r="Q10" s="1343" t="str">
        <f t="shared" si="6"/>
        <v>土地使用年限（年）</v>
      </c>
      <c r="R10" s="701" t="s">
        <v>14</v>
      </c>
      <c r="S10" s="702">
        <f t="shared" si="0"/>
        <v>112</v>
      </c>
      <c r="T10" s="701" t="s">
        <v>14</v>
      </c>
      <c r="U10" s="702">
        <f t="shared" si="1"/>
        <v>112</v>
      </c>
      <c r="V10" s="701" t="s">
        <v>14</v>
      </c>
      <c r="W10" s="702">
        <f t="shared" si="2"/>
        <v>112</v>
      </c>
      <c r="X10" s="703"/>
      <c r="Y10" s="3614"/>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13"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15" t="e">
        <f>ROUND(PRODUCT(R41,AA7:AA40),0)</f>
        <v>#DIV/0!</v>
      </c>
      <c r="S42" s="3715"/>
      <c r="T42" s="3715" t="e">
        <f>ROUND(PRODUCT(T41,AB7:AB40),0)</f>
        <v>#DIV/0!</v>
      </c>
      <c r="U42" s="3715"/>
      <c r="V42" s="3715" t="e">
        <f>ROUND(PRODUCT(V41,AC7:AC40),0)</f>
        <v>#DIV/0!</v>
      </c>
      <c r="W42" s="37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16" t="e">
        <f>ROUND(IF(D42="简单平均",AVERAGE(R42:W42),R42*F42+T42*H42+V42*J42),0)</f>
        <v>#DIV/0!</v>
      </c>
      <c r="S43" s="3716"/>
      <c r="T43" s="3716"/>
      <c r="U43" s="3716"/>
      <c r="V43" s="3716"/>
      <c r="W43" s="371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1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229.53</v>
      </c>
      <c r="F51" s="639" t="e">
        <f t="shared" ref="F51:F60" si="15">ROUND(B51*E51/10000,0)</f>
        <v>#DIV/0!</v>
      </c>
      <c r="G51" s="3684"/>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419.4074</v>
      </c>
      <c r="C2" s="1387" t="s">
        <v>879</v>
      </c>
      <c r="D2" s="1471">
        <f ca="1">C40+J29+L46</f>
        <v>4194074</v>
      </c>
      <c r="E2" s="1388" t="s">
        <v>880</v>
      </c>
      <c r="F2" s="1389"/>
      <c r="G2" s="2706"/>
      <c r="H2" s="2695"/>
      <c r="I2" s="2695"/>
      <c r="J2" s="2695"/>
      <c r="K2" s="2696"/>
      <c r="L2" s="2695"/>
      <c r="M2" s="2695"/>
    </row>
    <row r="3" spans="1:37" ht="18" customHeight="1" thickBot="1">
      <c r="A3" s="1390" t="s">
        <v>881</v>
      </c>
      <c r="B3" s="1391">
        <f ca="1">IF(ISERROR(D2/F43),0,ROUND(D2/F43,0))</f>
        <v>18272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249553</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249241</v>
      </c>
      <c r="D6" s="155" t="s">
        <v>2105</v>
      </c>
      <c r="E6" s="302" t="s">
        <v>696</v>
      </c>
      <c r="F6" s="303">
        <f ca="1">INDIRECT("'数据-取费表'!u"&amp;$G$1)</f>
        <v>3.5</v>
      </c>
      <c r="G6" s="1384"/>
      <c r="H6" s="1069" t="s">
        <v>398</v>
      </c>
      <c r="I6" s="3643" t="s">
        <v>694</v>
      </c>
      <c r="J6" s="301">
        <f ca="1">ROUND(M6*M8*M7*(1-M9),0)</f>
        <v>0</v>
      </c>
      <c r="K6" s="1376" t="s">
        <v>2106</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229.53</v>
      </c>
      <c r="G7" s="1384"/>
      <c r="H7" s="304"/>
      <c r="I7" s="3644"/>
      <c r="J7" s="306"/>
      <c r="K7" s="307"/>
      <c r="L7" s="302" t="s">
        <v>697</v>
      </c>
      <c r="M7" s="303">
        <f ca="1">F7</f>
        <v>229.53</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0.15</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312</v>
      </c>
      <c r="D10" s="1366" t="s">
        <v>2115</v>
      </c>
      <c r="E10" s="313" t="s">
        <v>701</v>
      </c>
      <c r="F10" s="1116" t="s">
        <v>3397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1207826</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1032885</v>
      </c>
      <c r="D14" s="1345" t="s">
        <v>708</v>
      </c>
      <c r="E14" s="1342"/>
      <c r="F14" s="319"/>
      <c r="G14" s="1384"/>
      <c r="H14" s="982" t="s">
        <v>398</v>
      </c>
      <c r="I14" s="302" t="s">
        <v>709</v>
      </c>
      <c r="J14" s="21">
        <f ca="1">C29</f>
        <v>1472958</v>
      </c>
      <c r="K14" s="12"/>
      <c r="L14" s="807"/>
      <c r="M14" s="808"/>
    </row>
    <row r="15" spans="1:37" s="1397" customFormat="1" ht="18" customHeight="1" thickBot="1">
      <c r="A15" s="982" t="s">
        <v>399</v>
      </c>
      <c r="B15" s="302" t="s">
        <v>710</v>
      </c>
      <c r="C15" s="21">
        <f ca="1">ROUND(C14*F15,0)</f>
        <v>30987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7365</v>
      </c>
      <c r="K16" s="1087" t="s">
        <v>715</v>
      </c>
      <c r="L16" s="1088"/>
      <c r="M16" s="1072"/>
    </row>
    <row r="17" spans="1:37" s="1397" customFormat="1" ht="18" customHeight="1">
      <c r="A17" s="982" t="s">
        <v>681</v>
      </c>
      <c r="B17" s="302" t="s">
        <v>716</v>
      </c>
      <c r="C17" s="21">
        <f ca="1">ROUND(F17*(F43+INDIRECT("'数据-取费表'!S"&amp;$G$1)),0)</f>
        <v>45906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1125271</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22505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7365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39598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-7365</v>
      </c>
      <c r="K25" s="1095" t="s">
        <v>753</v>
      </c>
      <c r="L25" s="1096"/>
      <c r="M25" s="1097"/>
    </row>
    <row r="26" spans="1:37" ht="18" customHeight="1">
      <c r="A26" s="982" t="s">
        <v>397</v>
      </c>
      <c r="B26" s="302" t="s">
        <v>754</v>
      </c>
      <c r="C26" s="21">
        <f ca="1">ROUND((C19+C20)*F26,0)</f>
        <v>172166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1472958</v>
      </c>
      <c r="D29" s="1092"/>
      <c r="E29" s="1090"/>
      <c r="F29" s="1093"/>
      <c r="G29" s="1396"/>
      <c r="H29" s="334" t="s">
        <v>396</v>
      </c>
      <c r="I29" s="335" t="s">
        <v>768</v>
      </c>
      <c r="J29" s="336">
        <f ca="1">ROUND(J26/(1+F40)^F41,0)</f>
        <v>0</v>
      </c>
      <c r="K29" s="337" t="s">
        <v>769</v>
      </c>
      <c r="L29" s="338"/>
      <c r="M29" s="339">
        <f ca="1">INDIRECT("'数据-取费表'!k"&amp;$G$1)</f>
        <v>229.53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52203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41778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13293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28485</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7365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1812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1248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197350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4145401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34.479999999999997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18060</v>
      </c>
      <c r="D43" s="337" t="s">
        <v>777</v>
      </c>
      <c r="E43" s="338" t="s">
        <v>778</v>
      </c>
      <c r="F43" s="339">
        <f ca="1">INDIRECT("'数据-取费表'!k"&amp;$G$1)</f>
        <v>229.53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-428.5917</v>
      </c>
      <c r="D45" s="3432" t="s">
        <v>3355</v>
      </c>
      <c r="E45" s="1400"/>
      <c r="F45" s="1400"/>
      <c r="O45" s="1403" t="s">
        <v>808</v>
      </c>
      <c r="P45" s="1461"/>
      <c r="Q45" s="1461"/>
      <c r="R45" s="1461"/>
    </row>
    <row r="46" spans="1:18" s="1384" customFormat="1" ht="13.5" thickBot="1">
      <c r="A46" s="1404" t="s">
        <v>809</v>
      </c>
      <c r="C46" s="1405">
        <f ca="1">ROUND(C45,0)</f>
        <v>-429</v>
      </c>
      <c r="D46" s="1406" t="str">
        <f>C2</f>
        <v>万元</v>
      </c>
      <c r="I46" s="1407" t="s">
        <v>810</v>
      </c>
      <c r="J46" s="1408"/>
      <c r="K46" s="1409"/>
      <c r="L46" s="1410">
        <f ca="1">IF(M47="住宅",0,IF(L48&gt;J51,L60,J60))</f>
        <v>48673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4145401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34.479999999999997</v>
      </c>
      <c r="O48" s="1418" t="s">
        <v>404</v>
      </c>
      <c r="P48" s="1419" t="s">
        <v>821</v>
      </c>
      <c r="Q48" s="1420">
        <f ca="1">J60</f>
        <v>48673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1472958</v>
      </c>
      <c r="R49" s="1420" t="s">
        <v>818</v>
      </c>
    </row>
    <row r="50" spans="1:18" s="1384" customFormat="1" ht="13.5" thickBot="1">
      <c r="A50" s="976"/>
      <c r="B50" s="979"/>
      <c r="C50" s="980"/>
      <c r="D50" s="953"/>
      <c r="E50" s="1056" t="s">
        <v>697</v>
      </c>
      <c r="F50" s="1057">
        <f ca="1">F7</f>
        <v>229.53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2049471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34.479999999999997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34.479999999999997</v>
      </c>
      <c r="K53" s="3641" t="s">
        <v>837</v>
      </c>
      <c r="L53" s="3642"/>
      <c r="O53" s="1418" t="s">
        <v>409</v>
      </c>
      <c r="P53" s="1419" t="s">
        <v>838</v>
      </c>
      <c r="Q53" s="1420">
        <f ca="1">Q47+Q48</f>
        <v>4194074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1207826</v>
      </c>
      <c r="D56" s="1447"/>
      <c r="E56" s="1448"/>
      <c r="F56" s="1440"/>
      <c r="I56" s="1449" t="s">
        <v>842</v>
      </c>
      <c r="J56" s="1450" t="s">
        <v>3385</v>
      </c>
      <c r="K56" s="1421" t="s">
        <v>843</v>
      </c>
      <c r="L56" s="1424" t="str">
        <f ca="1">IF(L48&lt;J51,"——",L48-J51)</f>
        <v>——</v>
      </c>
      <c r="O56" s="1418" t="s">
        <v>403</v>
      </c>
      <c r="P56" s="1419" t="s">
        <v>817</v>
      </c>
      <c r="Q56" s="1420">
        <f ca="1">C40+J29</f>
        <v>4145401</v>
      </c>
      <c r="R56" s="1420" t="s">
        <v>818</v>
      </c>
    </row>
    <row r="57" spans="1:18" s="1384" customFormat="1" ht="24.75" thickBot="1">
      <c r="A57" s="1451"/>
      <c r="B57" s="950" t="s">
        <v>767</v>
      </c>
      <c r="C57" s="238">
        <f ca="1">C29</f>
        <v>1472958</v>
      </c>
      <c r="D57" s="1452"/>
      <c r="E57" s="1453"/>
      <c r="F57" s="1454"/>
      <c r="I57" s="1455" t="s">
        <v>844</v>
      </c>
      <c r="J57" s="1456">
        <f ca="1">IF(OR(M47="住宅",J51&lt;L48,J56="是"),"——",J51-L48)</f>
        <v>14.520000000000003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9177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589183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48673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4145401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1812</v>
      </c>
      <c r="D65" s="964" t="s">
        <v>743</v>
      </c>
      <c r="E65" s="950" t="s">
        <v>744</v>
      </c>
      <c r="F65" s="330">
        <f t="shared" ca="1" si="0"/>
        <v>1.5E-3</v>
      </c>
      <c r="I65" s="1462" t="s">
        <v>867</v>
      </c>
      <c r="J65" s="1463">
        <v>40</v>
      </c>
      <c r="K65" s="1463">
        <v>30</v>
      </c>
      <c r="L65" s="1463">
        <v>50</v>
      </c>
      <c r="M65" s="1465">
        <v>0.02</v>
      </c>
      <c r="O65" s="1418" t="s">
        <v>403</v>
      </c>
      <c r="P65" s="1419" t="s">
        <v>868</v>
      </c>
      <c r="Q65" s="1420">
        <f ca="1">C40+J29</f>
        <v>4145401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-9177</v>
      </c>
      <c r="D67" s="963" t="s">
        <v>753</v>
      </c>
      <c r="E67" s="968"/>
      <c r="F67" s="969"/>
      <c r="O67" s="1428" t="s">
        <v>405</v>
      </c>
      <c r="P67" s="1419" t="s">
        <v>850</v>
      </c>
      <c r="Q67" s="1466">
        <f ca="1">L51</f>
        <v>2049471</v>
      </c>
      <c r="R67" s="1420" t="s">
        <v>870</v>
      </c>
    </row>
    <row r="68" spans="1:18" s="1384" customFormat="1" ht="16.5" thickBot="1">
      <c r="A68" s="947" t="s">
        <v>395</v>
      </c>
      <c r="B68" s="948" t="s">
        <v>774</v>
      </c>
      <c r="C68" s="301">
        <f ca="1">ROUND(C67*(1-((1+F70)/(1+F68))^F69)/(F68-F70),0)</f>
        <v>-140516</v>
      </c>
      <c r="D68" s="965" t="s">
        <v>758</v>
      </c>
      <c r="E68" s="950" t="s">
        <v>759</v>
      </c>
      <c r="F68" s="312">
        <f ca="1">F40</f>
        <v>5.5E-2</v>
      </c>
      <c r="O68" s="1428" t="s">
        <v>406</v>
      </c>
      <c r="P68" s="1467" t="s">
        <v>871</v>
      </c>
      <c r="Q68" s="1420">
        <f ca="1">ROUND(Q69-Q70*Q71,0)</f>
        <v>112802</v>
      </c>
      <c r="R68" s="1420" t="s">
        <v>414</v>
      </c>
    </row>
    <row r="69" spans="1:18" s="1384" customFormat="1" ht="13.5" thickBot="1">
      <c r="A69" s="951"/>
      <c r="B69" s="952"/>
      <c r="C69" s="306"/>
      <c r="D69" s="970" t="s">
        <v>762</v>
      </c>
      <c r="E69" s="950" t="s">
        <v>763</v>
      </c>
      <c r="F69" s="333">
        <f ca="1">F41</f>
        <v>34.479999999999997</v>
      </c>
      <c r="O69" s="1428" t="s">
        <v>411</v>
      </c>
      <c r="P69" s="1467" t="s">
        <v>872</v>
      </c>
      <c r="Q69" s="1420">
        <f ca="1">C39</f>
        <v>197350</v>
      </c>
      <c r="R69" s="1420" t="s">
        <v>818</v>
      </c>
    </row>
    <row r="70" spans="1:18" s="1384" customFormat="1" ht="13.5" thickBot="1">
      <c r="A70" s="954"/>
      <c r="B70" s="955"/>
      <c r="C70" s="310"/>
      <c r="D70" s="966"/>
      <c r="E70" s="950" t="s">
        <v>766</v>
      </c>
      <c r="F70" s="1054"/>
      <c r="O70" s="1428" t="s">
        <v>412</v>
      </c>
      <c r="P70" s="1467" t="s">
        <v>873</v>
      </c>
      <c r="Q70" s="1420">
        <f ca="1">C13</f>
        <v>1207826</v>
      </c>
      <c r="R70" s="1420" t="s">
        <v>818</v>
      </c>
    </row>
    <row r="71" spans="1:18" s="1384" customFormat="1" ht="13.5" thickBot="1">
      <c r="A71" s="971" t="s">
        <v>396</v>
      </c>
      <c r="B71" s="972" t="s">
        <v>776</v>
      </c>
      <c r="C71" s="336">
        <f ca="1">ROUND(C68/F71,0)</f>
        <v>-612</v>
      </c>
      <c r="D71" s="973" t="s">
        <v>777</v>
      </c>
      <c r="E71" s="974" t="s">
        <v>778</v>
      </c>
      <c r="F71" s="339">
        <f ca="1">F43</f>
        <v>229.53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84548</v>
      </c>
      <c r="D75" s="1384"/>
      <c r="E75" s="1384"/>
      <c r="F75" s="1384"/>
      <c r="K75" s="1402"/>
      <c r="L75" s="1384"/>
      <c r="O75" s="1418" t="s">
        <v>409</v>
      </c>
      <c r="P75" s="1419" t="s">
        <v>838</v>
      </c>
      <c r="Q75" s="1420">
        <f ca="1">Q65+Q66</f>
        <v>4145401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0.57200000000000006</v>
      </c>
    </row>
    <row r="80" spans="1:18">
      <c r="B80" s="340" t="s">
        <v>800</v>
      </c>
      <c r="C80" s="274">
        <f ca="1">ROUND(C75/C39,3)</f>
        <v>0.42799999999999999</v>
      </c>
    </row>
    <row r="81" spans="2:3">
      <c r="B81" s="270" t="s">
        <v>801</v>
      </c>
      <c r="C81" s="238"/>
    </row>
    <row r="82" spans="2:3">
      <c r="B82" s="273" t="s">
        <v>802</v>
      </c>
      <c r="C82" s="275">
        <f ca="1">1-C83</f>
        <v>0.70900000000000007</v>
      </c>
    </row>
    <row r="83" spans="2:3">
      <c r="B83" s="273" t="s">
        <v>803</v>
      </c>
      <c r="C83" s="274">
        <f ca="1">ROUND(C13/C40,3)</f>
        <v>0.29099999999999998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T31" sqref="T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5" t="s">
        <v>2084</v>
      </c>
      <c r="D1" s="3726"/>
      <c r="E1" s="3726"/>
      <c r="F1" s="3726"/>
      <c r="G1" s="3726"/>
      <c r="H1" s="3726"/>
      <c r="I1" s="3726"/>
      <c r="J1" s="3726"/>
      <c r="K1" s="3726"/>
      <c r="L1" s="3726"/>
      <c r="M1" s="3726"/>
      <c r="N1" s="3726"/>
      <c r="O1" s="3726"/>
      <c r="P1" s="3726"/>
      <c r="Q1" s="3726"/>
      <c r="R1" s="3726"/>
      <c r="S1" s="3727"/>
      <c r="T1" s="983" t="s">
        <v>2085</v>
      </c>
    </row>
    <row r="2" spans="1:45" s="655" customFormat="1" ht="25.5">
      <c r="A2" s="984"/>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99</v>
      </c>
      <c r="D4" s="990">
        <v>100</v>
      </c>
      <c r="E4" s="990">
        <v>99</v>
      </c>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4284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26090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1642.01</v>
      </c>
      <c r="C22" s="3722" t="s">
        <v>27</v>
      </c>
      <c r="D22" s="3723"/>
      <c r="E22" s="3723"/>
      <c r="F22" s="3723"/>
      <c r="G22" s="3723"/>
      <c r="H22" s="3723"/>
      <c r="I22" s="3723"/>
      <c r="J22" s="3723"/>
      <c r="K22" s="3723"/>
      <c r="L22" s="3723"/>
      <c r="M22" s="3723"/>
      <c r="N22" s="3723"/>
      <c r="O22" s="3723"/>
      <c r="P22" s="3723"/>
      <c r="Q22" s="3724"/>
      <c r="R22" s="663">
        <f ca="1">ROUND(S22*10000/B22,0)</f>
        <v>26090</v>
      </c>
      <c r="S22" s="21">
        <f ca="1">SUM(S24:S10000)</f>
        <v>4284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Sheet1!B3</f>
        <v>901</v>
      </c>
      <c r="B24" s="665">
        <f>Sheet1!C3</f>
        <v>229.53</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26085</v>
      </c>
      <c r="S24" s="666">
        <f t="shared" ref="S24:S54" ca="1" si="11">ROUND(R24*B24/10000,0)</f>
        <v>599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Sheet1!B4</f>
        <v>902</v>
      </c>
      <c r="B25" s="54">
        <f>Sheet1!C4</f>
        <v>89.91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26085</v>
      </c>
      <c r="S25" s="316">
        <f t="shared" ca="1" si="11"/>
        <v>235</v>
      </c>
    </row>
    <row r="26" spans="1:45">
      <c r="A26" s="150">
        <f>Sheet1!B5</f>
        <v>903</v>
      </c>
      <c r="B26" s="54">
        <f>Sheet1!C5</f>
        <v>111.32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26085</v>
      </c>
      <c r="S26" s="316">
        <f t="shared" ca="1" si="11"/>
        <v>290</v>
      </c>
    </row>
    <row r="27" spans="1:45">
      <c r="A27" s="150">
        <f>Sheet1!B6</f>
        <v>904</v>
      </c>
      <c r="B27" s="54">
        <f>Sheet1!C6</f>
        <v>92.76</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26085</v>
      </c>
      <c r="S27" s="316">
        <f t="shared" ca="1" si="11"/>
        <v>242</v>
      </c>
    </row>
    <row r="28" spans="1:45">
      <c r="A28" s="150">
        <f>Sheet1!B7</f>
        <v>905</v>
      </c>
      <c r="B28" s="54">
        <f>Sheet1!C7</f>
        <v>111.44</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26085</v>
      </c>
      <c r="S28" s="316">
        <f t="shared" ca="1" si="11"/>
        <v>291</v>
      </c>
    </row>
    <row r="29" spans="1:45">
      <c r="A29" s="150">
        <f>Sheet1!B8</f>
        <v>906</v>
      </c>
      <c r="B29" s="54">
        <f>Sheet1!C8</f>
        <v>91.17</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26085</v>
      </c>
      <c r="S29" s="316">
        <f t="shared" ca="1" si="11"/>
        <v>238</v>
      </c>
    </row>
    <row r="30" spans="1:45">
      <c r="A30" s="150">
        <f>Sheet1!B9</f>
        <v>907</v>
      </c>
      <c r="B30" s="54">
        <f>Sheet1!C9</f>
        <v>111.05</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26085</v>
      </c>
      <c r="S30" s="316">
        <f t="shared" ca="1" si="11"/>
        <v>290</v>
      </c>
    </row>
    <row r="31" spans="1:45">
      <c r="A31" s="150">
        <f>Sheet1!B10</f>
        <v>908</v>
      </c>
      <c r="B31" s="54">
        <f>Sheet1!C10</f>
        <v>91.97</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26085</v>
      </c>
      <c r="S31" s="316">
        <f t="shared" ca="1" si="11"/>
        <v>240</v>
      </c>
    </row>
    <row r="32" spans="1:45">
      <c r="A32" s="150">
        <f>Sheet1!B11</f>
        <v>909</v>
      </c>
      <c r="B32" s="54">
        <f>Sheet1!C11</f>
        <v>113.63</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26085</v>
      </c>
      <c r="S32" s="316">
        <f t="shared" ca="1" si="11"/>
        <v>296</v>
      </c>
    </row>
    <row r="33" spans="1:19">
      <c r="A33" s="150">
        <f>Sheet1!B12</f>
        <v>910</v>
      </c>
      <c r="B33" s="54">
        <f>Sheet1!C12</f>
        <v>91.97</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26085</v>
      </c>
      <c r="S33" s="316">
        <f t="shared" ca="1" si="11"/>
        <v>240</v>
      </c>
    </row>
    <row r="34" spans="1:19">
      <c r="A34" s="150">
        <f>Sheet1!B13</f>
        <v>911</v>
      </c>
      <c r="B34" s="54">
        <f>Sheet1!C13</f>
        <v>104.95</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26085</v>
      </c>
      <c r="S34" s="316">
        <f t="shared" ca="1" si="11"/>
        <v>274</v>
      </c>
    </row>
    <row r="35" spans="1:19">
      <c r="A35" s="150">
        <f>Sheet1!B14</f>
        <v>912</v>
      </c>
      <c r="B35" s="54">
        <f>Sheet1!C14</f>
        <v>88.79</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26085</v>
      </c>
      <c r="S35" s="316">
        <f t="shared" ca="1" si="11"/>
        <v>232</v>
      </c>
    </row>
    <row r="36" spans="1:19">
      <c r="A36" s="150">
        <f>Sheet1!B15</f>
        <v>913</v>
      </c>
      <c r="B36" s="54">
        <f>Sheet1!C15</f>
        <v>84.75</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26085</v>
      </c>
      <c r="S36" s="316">
        <f t="shared" ca="1" si="11"/>
        <v>221</v>
      </c>
    </row>
    <row r="37" spans="1:19">
      <c r="A37" s="150">
        <f>Sheet1!B16</f>
        <v>914</v>
      </c>
      <c r="B37" s="54">
        <f>Sheet1!C16</f>
        <v>77.17</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26085</v>
      </c>
      <c r="S37" s="316">
        <f t="shared" ca="1" si="11"/>
        <v>201</v>
      </c>
    </row>
    <row r="38" spans="1:19">
      <c r="A38" s="150">
        <f>Sheet1!B17</f>
        <v>915</v>
      </c>
      <c r="B38" s="54">
        <f>Sheet1!C17</f>
        <v>84.11</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ca="1" si="20"/>
        <v>26085</v>
      </c>
      <c r="S38" s="316">
        <f t="shared" ca="1" si="11"/>
        <v>219</v>
      </c>
    </row>
    <row r="39" spans="1:19">
      <c r="A39" s="150">
        <f>Sheet1!B18</f>
        <v>916</v>
      </c>
      <c r="B39" s="54">
        <f>Sheet1!C18</f>
        <v>67.489999999999995</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26085</v>
      </c>
      <c r="S39" s="316">
        <f t="shared" ca="1" si="11"/>
        <v>176</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62" activeCellId="1" sqref="C6 H6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244</v>
      </c>
      <c r="C2" s="2145" t="s">
        <v>2074</v>
      </c>
      <c r="D2" s="2145" t="s">
        <v>2075</v>
      </c>
      <c r="E2" s="2612">
        <f ca="1">SUMIF(E6:E13,"&lt;&gt;#ref!",E6:E13)</f>
        <v>229.53</v>
      </c>
      <c r="F2" s="2793"/>
      <c r="G2" s="2793"/>
      <c r="H2" s="2793"/>
      <c r="I2" s="2793"/>
      <c r="J2" s="2793"/>
      <c r="K2" s="2793"/>
      <c r="L2" s="2793"/>
      <c r="M2" s="2793"/>
      <c r="N2" s="2793"/>
      <c r="O2" s="2793"/>
      <c r="P2" s="2793"/>
    </row>
    <row r="3" spans="1:16" ht="15.75">
      <c r="A3" s="2145" t="s">
        <v>2076</v>
      </c>
      <c r="B3" s="2602">
        <f ca="1">ROUND(B2*10000/E2,0)</f>
        <v>10630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244</v>
      </c>
      <c r="C6" s="2145" t="s">
        <v>2074</v>
      </c>
      <c r="D6" s="2793"/>
      <c r="E6" s="2612">
        <f ca="1">SUMIF(INDIRECT("'"&amp;A6&amp;"'"&amp;"!C:C"),"建筑面积",INDIRECT("'"&amp;A6&amp;"'"&amp;"!D:D"))</f>
        <v>229.53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2:P40"/>
  <sheetViews>
    <sheetView tabSelected="1" topLeftCell="G10" workbookViewId="0">
      <selection activeCell="K24" sqref="K24:K40"/>
    </sheetView>
  </sheetViews>
  <sheetFormatPr defaultRowHeight="13.5"/>
  <cols>
    <col min="7" max="7" width="4.875" customWidth="1"/>
    <col min="8" max="8" width="37.625" customWidth="1"/>
  </cols>
  <sheetData>
    <row r="2" spans="2:13">
      <c r="G2" t="s">
        <v>3426</v>
      </c>
      <c r="H2" t="s">
        <v>3427</v>
      </c>
      <c r="I2" t="s">
        <v>3428</v>
      </c>
      <c r="J2" t="s">
        <v>3429</v>
      </c>
      <c r="K2" t="s">
        <v>672</v>
      </c>
      <c r="L2" t="s">
        <v>3430</v>
      </c>
    </row>
    <row r="3" spans="2:13">
      <c r="B3">
        <v>901</v>
      </c>
      <c r="C3">
        <v>229.53</v>
      </c>
      <c r="G3">
        <v>1</v>
      </c>
      <c r="H3" t="s">
        <v>3431</v>
      </c>
      <c r="I3" t="s">
        <v>3432</v>
      </c>
      <c r="J3">
        <v>229.53</v>
      </c>
      <c r="K3" t="s">
        <v>21</v>
      </c>
    </row>
    <row r="4" spans="2:13">
      <c r="B4">
        <v>902</v>
      </c>
      <c r="C4">
        <v>89.91</v>
      </c>
      <c r="G4">
        <v>2</v>
      </c>
      <c r="H4" t="s">
        <v>3433</v>
      </c>
      <c r="I4" t="s">
        <v>3434</v>
      </c>
      <c r="J4">
        <v>89.91</v>
      </c>
      <c r="K4" t="s">
        <v>21</v>
      </c>
    </row>
    <row r="5" spans="2:13">
      <c r="B5">
        <v>903</v>
      </c>
      <c r="C5">
        <v>111.32</v>
      </c>
      <c r="G5">
        <v>3</v>
      </c>
      <c r="H5" t="s">
        <v>3435</v>
      </c>
      <c r="I5" t="s">
        <v>3436</v>
      </c>
      <c r="J5">
        <v>111.32</v>
      </c>
      <c r="K5" t="s">
        <v>21</v>
      </c>
    </row>
    <row r="6" spans="2:13">
      <c r="B6">
        <v>904</v>
      </c>
      <c r="C6">
        <v>92.76</v>
      </c>
      <c r="G6">
        <v>4</v>
      </c>
      <c r="H6" t="s">
        <v>3437</v>
      </c>
      <c r="I6" t="s">
        <v>3438</v>
      </c>
      <c r="J6">
        <v>92.76</v>
      </c>
      <c r="K6" t="s">
        <v>21</v>
      </c>
    </row>
    <row r="7" spans="2:13">
      <c r="B7">
        <v>905</v>
      </c>
      <c r="C7">
        <v>111.44</v>
      </c>
      <c r="G7">
        <v>5</v>
      </c>
      <c r="H7" t="s">
        <v>3439</v>
      </c>
      <c r="I7" t="s">
        <v>3440</v>
      </c>
      <c r="J7">
        <v>111.44</v>
      </c>
      <c r="K7" t="s">
        <v>21</v>
      </c>
    </row>
    <row r="8" spans="2:13">
      <c r="B8">
        <v>906</v>
      </c>
      <c r="C8">
        <v>91.17</v>
      </c>
      <c r="G8">
        <v>6</v>
      </c>
      <c r="H8" t="s">
        <v>3441</v>
      </c>
      <c r="I8" t="s">
        <v>3442</v>
      </c>
      <c r="J8">
        <v>91.17</v>
      </c>
      <c r="K8" t="s">
        <v>21</v>
      </c>
    </row>
    <row r="9" spans="2:13">
      <c r="B9">
        <v>907</v>
      </c>
      <c r="C9">
        <v>111.05</v>
      </c>
      <c r="G9">
        <v>7</v>
      </c>
      <c r="H9" t="s">
        <v>3443</v>
      </c>
      <c r="I9" t="s">
        <v>3444</v>
      </c>
      <c r="J9">
        <v>111.05</v>
      </c>
      <c r="K9" t="s">
        <v>21</v>
      </c>
    </row>
    <row r="10" spans="2:13">
      <c r="B10">
        <v>908</v>
      </c>
      <c r="C10">
        <v>91.97</v>
      </c>
      <c r="G10">
        <v>8</v>
      </c>
      <c r="H10" t="s">
        <v>3445</v>
      </c>
      <c r="I10" t="s">
        <v>3446</v>
      </c>
      <c r="J10">
        <v>91.97</v>
      </c>
      <c r="K10" t="s">
        <v>21</v>
      </c>
    </row>
    <row r="11" spans="2:13">
      <c r="B11">
        <v>909</v>
      </c>
      <c r="C11">
        <v>113.63</v>
      </c>
      <c r="G11">
        <v>9</v>
      </c>
      <c r="H11" t="s">
        <v>3447</v>
      </c>
      <c r="I11" t="s">
        <v>3448</v>
      </c>
      <c r="J11">
        <v>113.63</v>
      </c>
      <c r="K11" t="s">
        <v>21</v>
      </c>
    </row>
    <row r="12" spans="2:13">
      <c r="B12">
        <v>910</v>
      </c>
      <c r="C12">
        <v>91.97</v>
      </c>
      <c r="G12">
        <v>10</v>
      </c>
      <c r="H12" t="s">
        <v>3449</v>
      </c>
      <c r="I12" t="s">
        <v>3450</v>
      </c>
      <c r="J12">
        <v>91.97</v>
      </c>
      <c r="K12" t="s">
        <v>21</v>
      </c>
    </row>
    <row r="13" spans="2:13">
      <c r="B13">
        <v>911</v>
      </c>
      <c r="C13">
        <v>104.95</v>
      </c>
      <c r="G13">
        <v>11</v>
      </c>
      <c r="H13" t="s">
        <v>3451</v>
      </c>
      <c r="I13" t="s">
        <v>3452</v>
      </c>
      <c r="J13">
        <v>104.95</v>
      </c>
      <c r="K13" t="s">
        <v>21</v>
      </c>
    </row>
    <row r="14" spans="2:13">
      <c r="B14">
        <v>912</v>
      </c>
      <c r="C14">
        <v>88.79</v>
      </c>
      <c r="G14">
        <v>12</v>
      </c>
      <c r="H14" t="s">
        <v>3453</v>
      </c>
      <c r="I14" t="s">
        <v>3454</v>
      </c>
      <c r="J14">
        <v>88.79</v>
      </c>
      <c r="K14" t="s">
        <v>21</v>
      </c>
    </row>
    <row r="15" spans="2:13">
      <c r="B15">
        <v>913</v>
      </c>
      <c r="C15">
        <v>84.75</v>
      </c>
      <c r="G15">
        <v>13</v>
      </c>
      <c r="H15" t="s">
        <v>3455</v>
      </c>
      <c r="I15" t="s">
        <v>3456</v>
      </c>
      <c r="J15">
        <v>84.75</v>
      </c>
      <c r="K15" t="s">
        <v>21</v>
      </c>
      <c r="M15">
        <f>J3*365*3.5</f>
        <v>293224.57500000001</v>
      </c>
    </row>
    <row r="16" spans="2:13">
      <c r="B16">
        <v>914</v>
      </c>
      <c r="C16">
        <v>77.17</v>
      </c>
      <c r="G16">
        <v>14</v>
      </c>
      <c r="H16" t="s">
        <v>3457</v>
      </c>
      <c r="I16" t="s">
        <v>3458</v>
      </c>
      <c r="J16">
        <v>77.17</v>
      </c>
      <c r="K16" t="s">
        <v>21</v>
      </c>
    </row>
    <row r="17" spans="2:16">
      <c r="B17">
        <v>915</v>
      </c>
      <c r="C17">
        <v>84.11</v>
      </c>
      <c r="G17">
        <v>15</v>
      </c>
      <c r="H17" t="s">
        <v>3459</v>
      </c>
      <c r="I17" t="s">
        <v>3460</v>
      </c>
      <c r="J17">
        <v>84.11</v>
      </c>
      <c r="K17" t="s">
        <v>21</v>
      </c>
    </row>
    <row r="18" spans="2:16">
      <c r="B18">
        <v>916</v>
      </c>
      <c r="C18">
        <v>67.489999999999995</v>
      </c>
      <c r="G18">
        <v>16</v>
      </c>
      <c r="H18" t="s">
        <v>3461</v>
      </c>
      <c r="I18" t="s">
        <v>3462</v>
      </c>
      <c r="J18">
        <v>67.489999999999995</v>
      </c>
      <c r="K18" t="s">
        <v>21</v>
      </c>
    </row>
    <row r="19" spans="2:16">
      <c r="B19" t="s">
        <v>3463</v>
      </c>
      <c r="C19">
        <v>1642.01</v>
      </c>
      <c r="G19" t="s">
        <v>3463</v>
      </c>
      <c r="J19">
        <v>1642.01</v>
      </c>
    </row>
    <row r="22" spans="2:16">
      <c r="K22" s="3454">
        <v>5.0000000000000001E-4</v>
      </c>
    </row>
    <row r="23" spans="2:16">
      <c r="H23" t="s">
        <v>3427</v>
      </c>
      <c r="K23" s="3453" t="s">
        <v>3467</v>
      </c>
      <c r="L23" s="3453" t="s">
        <v>3468</v>
      </c>
      <c r="M23" s="3453" t="s">
        <v>3470</v>
      </c>
      <c r="O23" t="s">
        <v>3469</v>
      </c>
    </row>
    <row r="24" spans="2:16">
      <c r="H24" t="s">
        <v>3431</v>
      </c>
      <c r="I24">
        <v>229.53</v>
      </c>
      <c r="J24">
        <f ca="1">典型户型修正!R24</f>
        <v>26085</v>
      </c>
      <c r="K24">
        <f t="shared" ref="K24:K39" ca="1" si="0">ROUND(J24*J3/10000,2)</f>
        <v>598.73</v>
      </c>
      <c r="L24">
        <f t="shared" ref="L24:L40" ca="1" si="1">ROUND(K24*$K$22,2)</f>
        <v>0.3</v>
      </c>
      <c r="M24">
        <f ca="1">K24-L24</f>
        <v>598.43000000000006</v>
      </c>
      <c r="N24">
        <f ca="1">ROUND(M24*10000/I24,0)</f>
        <v>26072</v>
      </c>
      <c r="O24">
        <v>683.90250000000003</v>
      </c>
      <c r="P24">
        <f t="shared" ref="P24:P39" ca="1" si="2">K24-O24</f>
        <v>-85.172500000000014</v>
      </c>
    </row>
    <row r="25" spans="2:16">
      <c r="H25" t="s">
        <v>3433</v>
      </c>
      <c r="I25">
        <v>89.91</v>
      </c>
      <c r="J25">
        <f ca="1">典型户型修正!R25</f>
        <v>26085</v>
      </c>
      <c r="K25">
        <f t="shared" ca="1" si="0"/>
        <v>234.53</v>
      </c>
      <c r="L25">
        <f t="shared" ca="1" si="1"/>
        <v>0.12</v>
      </c>
      <c r="M25">
        <f t="shared" ref="M25:M40" ca="1" si="3">K25-L25</f>
        <v>234.41</v>
      </c>
      <c r="N25">
        <f t="shared" ref="N25:N39" ca="1" si="4">ROUND(M25*10000/I25,0)</f>
        <v>26072</v>
      </c>
      <c r="O25">
        <v>265.04250000000002</v>
      </c>
      <c r="P25">
        <f t="shared" ca="1" si="2"/>
        <v>-30.512500000000017</v>
      </c>
    </row>
    <row r="26" spans="2:16">
      <c r="H26" t="s">
        <v>3435</v>
      </c>
      <c r="I26">
        <v>111.32</v>
      </c>
      <c r="J26">
        <f ca="1">典型户型修正!R26</f>
        <v>26085</v>
      </c>
      <c r="K26">
        <f t="shared" ca="1" si="0"/>
        <v>290.38</v>
      </c>
      <c r="L26">
        <f t="shared" ca="1" si="1"/>
        <v>0.15</v>
      </c>
      <c r="M26">
        <f t="shared" ca="1" si="3"/>
        <v>290.23</v>
      </c>
      <c r="N26">
        <f t="shared" ca="1" si="4"/>
        <v>26072</v>
      </c>
      <c r="O26">
        <v>329.27249999999998</v>
      </c>
      <c r="P26">
        <f t="shared" ca="1" si="2"/>
        <v>-38.892499999999984</v>
      </c>
    </row>
    <row r="27" spans="2:16">
      <c r="H27" t="s">
        <v>3437</v>
      </c>
      <c r="I27">
        <v>92.76</v>
      </c>
      <c r="J27">
        <f ca="1">典型户型修正!R27</f>
        <v>26085</v>
      </c>
      <c r="K27">
        <f t="shared" ca="1" si="0"/>
        <v>241.96</v>
      </c>
      <c r="L27">
        <f t="shared" ca="1" si="1"/>
        <v>0.12</v>
      </c>
      <c r="M27">
        <f t="shared" ca="1" si="3"/>
        <v>241.84</v>
      </c>
      <c r="N27">
        <f t="shared" ca="1" si="4"/>
        <v>26072</v>
      </c>
      <c r="O27">
        <v>273.59249999999997</v>
      </c>
      <c r="P27">
        <f t="shared" ca="1" si="2"/>
        <v>-31.632499999999965</v>
      </c>
    </row>
    <row r="28" spans="2:16">
      <c r="H28" t="s">
        <v>3439</v>
      </c>
      <c r="I28">
        <v>111.44</v>
      </c>
      <c r="J28">
        <f ca="1">典型户型修正!R28</f>
        <v>26085</v>
      </c>
      <c r="K28">
        <f t="shared" ca="1" si="0"/>
        <v>290.69</v>
      </c>
      <c r="L28">
        <f t="shared" ca="1" si="1"/>
        <v>0.15</v>
      </c>
      <c r="M28">
        <f t="shared" ca="1" si="3"/>
        <v>290.54000000000002</v>
      </c>
      <c r="N28">
        <f t="shared" ca="1" si="4"/>
        <v>26071</v>
      </c>
      <c r="O28">
        <v>329.63249999999999</v>
      </c>
      <c r="P28">
        <f t="shared" ca="1" si="2"/>
        <v>-38.942499999999995</v>
      </c>
    </row>
    <row r="29" spans="2:16">
      <c r="H29" t="s">
        <v>3441</v>
      </c>
      <c r="I29">
        <v>91.17</v>
      </c>
      <c r="J29">
        <f ca="1">典型户型修正!R29</f>
        <v>26085</v>
      </c>
      <c r="K29">
        <f t="shared" ca="1" si="0"/>
        <v>237.82</v>
      </c>
      <c r="L29">
        <f t="shared" ca="1" si="1"/>
        <v>0.12</v>
      </c>
      <c r="M29">
        <f t="shared" ca="1" si="3"/>
        <v>237.7</v>
      </c>
      <c r="N29">
        <f t="shared" ca="1" si="4"/>
        <v>26072</v>
      </c>
      <c r="O29">
        <v>268.82249999999999</v>
      </c>
      <c r="P29">
        <f t="shared" ca="1" si="2"/>
        <v>-31.002499999999998</v>
      </c>
    </row>
    <row r="30" spans="2:16">
      <c r="H30" t="s">
        <v>3443</v>
      </c>
      <c r="I30">
        <v>111.05</v>
      </c>
      <c r="J30">
        <f ca="1">典型户型修正!R30</f>
        <v>26085</v>
      </c>
      <c r="K30">
        <f t="shared" ca="1" si="0"/>
        <v>289.67</v>
      </c>
      <c r="L30">
        <f t="shared" ca="1" si="1"/>
        <v>0.14000000000000001</v>
      </c>
      <c r="M30">
        <f t="shared" ca="1" si="3"/>
        <v>289.53000000000003</v>
      </c>
      <c r="N30">
        <f t="shared" ca="1" si="4"/>
        <v>26072</v>
      </c>
      <c r="O30">
        <v>328.46249999999998</v>
      </c>
      <c r="P30">
        <f t="shared" ca="1" si="2"/>
        <v>-38.792499999999961</v>
      </c>
    </row>
    <row r="31" spans="2:16">
      <c r="H31" t="s">
        <v>3445</v>
      </c>
      <c r="I31">
        <v>91.97</v>
      </c>
      <c r="J31">
        <f ca="1">典型户型修正!R31</f>
        <v>26085</v>
      </c>
      <c r="K31">
        <f t="shared" ca="1" si="0"/>
        <v>239.9</v>
      </c>
      <c r="L31">
        <f t="shared" ca="1" si="1"/>
        <v>0.12</v>
      </c>
      <c r="M31">
        <f t="shared" ca="1" si="3"/>
        <v>239.78</v>
      </c>
      <c r="N31">
        <f t="shared" ca="1" si="4"/>
        <v>26072</v>
      </c>
      <c r="O31">
        <v>271.22250000000003</v>
      </c>
      <c r="P31">
        <f t="shared" ca="1" si="2"/>
        <v>-31.322500000000019</v>
      </c>
    </row>
    <row r="32" spans="2:16">
      <c r="H32" t="s">
        <v>3447</v>
      </c>
      <c r="I32">
        <v>113.63</v>
      </c>
      <c r="J32">
        <f ca="1">典型户型修正!R32</f>
        <v>26085</v>
      </c>
      <c r="K32">
        <f t="shared" ca="1" si="0"/>
        <v>296.39999999999998</v>
      </c>
      <c r="L32">
        <f t="shared" ca="1" si="1"/>
        <v>0.15</v>
      </c>
      <c r="M32">
        <f t="shared" ca="1" si="3"/>
        <v>296.25</v>
      </c>
      <c r="N32">
        <f t="shared" ca="1" si="4"/>
        <v>26071</v>
      </c>
      <c r="O32">
        <v>336.20249999999999</v>
      </c>
      <c r="P32">
        <f t="shared" ca="1" si="2"/>
        <v>-39.802500000000009</v>
      </c>
    </row>
    <row r="33" spans="8:16">
      <c r="H33" t="s">
        <v>3449</v>
      </c>
      <c r="I33">
        <v>91.97</v>
      </c>
      <c r="J33">
        <f ca="1">典型户型修正!R33</f>
        <v>26085</v>
      </c>
      <c r="K33">
        <f t="shared" ca="1" si="0"/>
        <v>239.9</v>
      </c>
      <c r="L33">
        <f t="shared" ca="1" si="1"/>
        <v>0.12</v>
      </c>
      <c r="M33">
        <f t="shared" ca="1" si="3"/>
        <v>239.78</v>
      </c>
      <c r="N33">
        <f t="shared" ca="1" si="4"/>
        <v>26072</v>
      </c>
      <c r="O33">
        <v>271.22250000000003</v>
      </c>
      <c r="P33">
        <f t="shared" ca="1" si="2"/>
        <v>-31.322500000000019</v>
      </c>
    </row>
    <row r="34" spans="8:16">
      <c r="H34" t="s">
        <v>3451</v>
      </c>
      <c r="I34">
        <v>104.95</v>
      </c>
      <c r="J34">
        <f ca="1">典型户型修正!R34</f>
        <v>26085</v>
      </c>
      <c r="K34">
        <f t="shared" ca="1" si="0"/>
        <v>273.76</v>
      </c>
      <c r="L34">
        <f t="shared" ca="1" si="1"/>
        <v>0.14000000000000001</v>
      </c>
      <c r="M34">
        <f t="shared" ca="1" si="3"/>
        <v>273.62</v>
      </c>
      <c r="N34">
        <f t="shared" ca="1" si="4"/>
        <v>26071</v>
      </c>
      <c r="O34">
        <v>310.16250000000002</v>
      </c>
      <c r="P34">
        <f t="shared" ca="1" si="2"/>
        <v>-36.402500000000032</v>
      </c>
    </row>
    <row r="35" spans="8:16">
      <c r="H35" t="s">
        <v>3453</v>
      </c>
      <c r="I35">
        <v>88.79</v>
      </c>
      <c r="J35">
        <f ca="1">典型户型修正!R35</f>
        <v>26085</v>
      </c>
      <c r="K35">
        <f t="shared" ca="1" si="0"/>
        <v>231.61</v>
      </c>
      <c r="L35">
        <f t="shared" ca="1" si="1"/>
        <v>0.12</v>
      </c>
      <c r="M35">
        <f t="shared" ca="1" si="3"/>
        <v>231.49</v>
      </c>
      <c r="N35">
        <f t="shared" ca="1" si="4"/>
        <v>26072</v>
      </c>
      <c r="O35">
        <v>261.6825</v>
      </c>
      <c r="P35">
        <f t="shared" ca="1" si="2"/>
        <v>-30.072499999999991</v>
      </c>
    </row>
    <row r="36" spans="8:16">
      <c r="H36" t="s">
        <v>3455</v>
      </c>
      <c r="I36">
        <v>84.75</v>
      </c>
      <c r="J36">
        <f ca="1">典型户型修正!R36</f>
        <v>26085</v>
      </c>
      <c r="K36">
        <f t="shared" ca="1" si="0"/>
        <v>221.07</v>
      </c>
      <c r="L36">
        <f t="shared" ca="1" si="1"/>
        <v>0.11</v>
      </c>
      <c r="M36">
        <f t="shared" ca="1" si="3"/>
        <v>220.95999999999998</v>
      </c>
      <c r="N36">
        <f t="shared" ca="1" si="4"/>
        <v>26072</v>
      </c>
      <c r="O36">
        <v>249.5625</v>
      </c>
      <c r="P36">
        <f t="shared" ca="1" si="2"/>
        <v>-28.492500000000007</v>
      </c>
    </row>
    <row r="37" spans="8:16">
      <c r="H37" t="s">
        <v>3457</v>
      </c>
      <c r="I37">
        <v>77.17</v>
      </c>
      <c r="J37">
        <f ca="1">典型户型修正!R37</f>
        <v>26085</v>
      </c>
      <c r="K37">
        <f t="shared" ca="1" si="0"/>
        <v>201.3</v>
      </c>
      <c r="L37">
        <f t="shared" ca="1" si="1"/>
        <v>0.1</v>
      </c>
      <c r="M37">
        <f t="shared" ca="1" si="3"/>
        <v>201.20000000000002</v>
      </c>
      <c r="N37">
        <f t="shared" ca="1" si="4"/>
        <v>26072</v>
      </c>
      <c r="O37">
        <v>226.82249999999999</v>
      </c>
      <c r="P37">
        <f t="shared" ca="1" si="2"/>
        <v>-25.52249999999998</v>
      </c>
    </row>
    <row r="38" spans="8:16">
      <c r="H38" t="s">
        <v>3459</v>
      </c>
      <c r="I38">
        <v>84.11</v>
      </c>
      <c r="J38">
        <f ca="1">典型户型修正!R38</f>
        <v>26085</v>
      </c>
      <c r="K38">
        <f t="shared" ca="1" si="0"/>
        <v>219.4</v>
      </c>
      <c r="L38">
        <f t="shared" ca="1" si="1"/>
        <v>0.11</v>
      </c>
      <c r="M38">
        <f t="shared" ca="1" si="3"/>
        <v>219.29</v>
      </c>
      <c r="N38">
        <f t="shared" ca="1" si="4"/>
        <v>26072</v>
      </c>
      <c r="O38">
        <v>247.64250000000001</v>
      </c>
      <c r="P38">
        <f t="shared" ca="1" si="2"/>
        <v>-28.242500000000007</v>
      </c>
    </row>
    <row r="39" spans="8:16">
      <c r="H39" t="s">
        <v>3461</v>
      </c>
      <c r="I39">
        <v>67.489999999999995</v>
      </c>
      <c r="J39">
        <f ca="1">典型户型修正!R39</f>
        <v>26085</v>
      </c>
      <c r="K39">
        <f t="shared" ca="1" si="0"/>
        <v>176.05</v>
      </c>
      <c r="L39">
        <f t="shared" ca="1" si="1"/>
        <v>0.09</v>
      </c>
      <c r="M39">
        <f t="shared" ca="1" si="3"/>
        <v>175.96</v>
      </c>
      <c r="N39">
        <f t="shared" ca="1" si="4"/>
        <v>26072</v>
      </c>
      <c r="O39">
        <v>197.7825</v>
      </c>
      <c r="P39">
        <f t="shared" ca="1" si="2"/>
        <v>-21.732499999999987</v>
      </c>
    </row>
    <row r="40" spans="8:16">
      <c r="I40">
        <f>SUM(I24:I39)</f>
        <v>1642.01</v>
      </c>
      <c r="K40">
        <f ca="1">SUM(K24:K39)</f>
        <v>4283.17</v>
      </c>
      <c r="L40">
        <f t="shared" ca="1" si="1"/>
        <v>2.14</v>
      </c>
      <c r="M40">
        <f t="shared" ca="1" si="3"/>
        <v>4281.03</v>
      </c>
      <c r="N40">
        <f ca="1">ROUND(M40*10000/I40,0)</f>
        <v>26072</v>
      </c>
    </row>
  </sheetData>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229.53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244</v>
      </c>
      <c r="C2" s="1999" t="s">
        <v>1935</v>
      </c>
      <c r="D2" s="2000" t="s">
        <v>1936</v>
      </c>
      <c r="E2" s="3422"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15942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10630</v>
      </c>
      <c r="C3" s="1999" t="s">
        <v>1941</v>
      </c>
      <c r="D3" s="2000" t="s">
        <v>1942</v>
      </c>
      <c r="E3" s="3420" t="s">
        <v>3417</v>
      </c>
      <c r="F3" s="2004" t="s">
        <v>3418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12565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5"/>
      <c r="B4" s="3736"/>
      <c r="C4" s="3736"/>
      <c r="D4" s="3737"/>
      <c r="E4" s="3737"/>
      <c r="F4" s="3737"/>
      <c r="G4" s="3737"/>
      <c r="H4" s="3737"/>
      <c r="I4" s="3737"/>
      <c r="J4" s="37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10620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10878</v>
      </c>
      <c r="D5" s="1339">
        <f>ROUND(C6*C17+C20,0)</f>
        <v>10878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9366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10920</v>
      </c>
      <c r="D6" s="2017"/>
      <c r="E6" s="2018"/>
      <c r="F6" s="2018"/>
      <c r="G6" s="2019"/>
      <c r="H6" s="2019"/>
      <c r="I6" s="2019"/>
      <c r="J6" s="2020"/>
      <c r="K6" s="1384"/>
      <c r="L6" s="2003" t="s">
        <v>1951</v>
      </c>
      <c r="M6" s="864">
        <f>SUMPRODUCT((区片价!B127:B189=I2)*(区片价!C3:G3=E2)*(区片价!C127:G189))</f>
        <v>10920</v>
      </c>
      <c r="N6" s="866">
        <f>SUMPRODUCT((因素修正幅度!B127:B189=I2)*(因素修正幅度!C3:G3=E2)*(因素修正幅度!C127:G189))</f>
        <v>0.13</v>
      </c>
      <c r="O6" s="1119"/>
      <c r="P6" s="1119"/>
      <c r="Q6" s="1119"/>
      <c r="R6" s="1212">
        <v>5</v>
      </c>
      <c r="S6" s="3361">
        <f>ROUND(SUMPRODUCT((B106:B110=R6)*(C105:N105=G2)*(C106:N110)),4)</f>
        <v>0.84799999999999998</v>
      </c>
      <c r="T6" s="3361">
        <f t="shared" si="0"/>
        <v>9001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2" t="s">
        <v>1960</v>
      </c>
      <c r="X8" s="37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3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39" t="s">
        <v>3257</v>
      </c>
      <c r="B20" s="167" t="s">
        <v>1994</v>
      </c>
      <c r="C20" s="3325">
        <f>ROUND(IF(F21="与级别开发程度一致",0,(G21-E21)/C21),0)</f>
        <v>-42</v>
      </c>
      <c r="D20" s="3341" t="s">
        <v>1998</v>
      </c>
      <c r="E20" s="3342"/>
      <c r="F20" s="3745" t="s">
        <v>1995</v>
      </c>
      <c r="G20" s="3746"/>
      <c r="H20" s="3326" t="s">
        <v>3420</v>
      </c>
      <c r="I20" s="3326" t="s">
        <v>3421</v>
      </c>
      <c r="J20" s="3327" t="s">
        <v>3422</v>
      </c>
      <c r="K20" s="2047" t="s">
        <v>3423</v>
      </c>
      <c r="L20" s="2047" t="s">
        <v>3423</v>
      </c>
      <c r="M20" s="2047" t="s">
        <v>3424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3419</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25</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45324</v>
      </c>
      <c r="H23" s="3343" t="s">
        <v>3258</v>
      </c>
      <c r="I23" s="3344" t="str">
        <f>IF(H23="季度增幅（自定义）",SUMIF(N25:N28,E2,O25:O28),"")</f>
        <v/>
      </c>
      <c r="J23" s="3446" t="s">
        <v>3425</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0.90429999999999999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34.479999999999997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244</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10614</v>
      </c>
      <c r="D33" s="2098">
        <f>'数据-汇总表'!F19</f>
        <v>229.53</v>
      </c>
      <c r="E33" s="773">
        <f>ROUND(C33*D33/10000,0)</f>
        <v>244</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2654</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3"/>
      <c r="B37" s="2113" t="s">
        <v>2036</v>
      </c>
      <c r="C37" s="175">
        <f>ROUND(D5*C22*C23*C24*C28*F37,0)</f>
        <v>6369</v>
      </c>
      <c r="D37" s="2098"/>
      <c r="E37" s="171">
        <f>ROUND(C37*D37/10000,0)</f>
        <v>0</v>
      </c>
      <c r="F37" s="171">
        <f>SUMIF(修正!A57:A68,G2,修正!B57:B68)</f>
        <v>0.6</v>
      </c>
      <c r="G37" s="171">
        <f>ROUND(IF(E2="工业",C37*$M$42,C37*$M$41),0)</f>
        <v>1592</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4"/>
      <c r="B38" s="2041" t="s">
        <v>2037</v>
      </c>
      <c r="C38" s="175">
        <f>ROUND(D5*C22*C23*C24*C28*F38,0)</f>
        <v>3184</v>
      </c>
      <c r="D38" s="2098"/>
      <c r="E38" s="171">
        <f t="shared" ref="E38:E42" si="4">ROUND(C38*D38/10000,0)</f>
        <v>0</v>
      </c>
      <c r="F38" s="171">
        <f>SUMIF(修正!A57:A68,G2,修正!C57:C68)</f>
        <v>0.3</v>
      </c>
      <c r="G38" s="171">
        <f>ROUND(IF(E2="工业",C38*$M$42,C38*$M$41),0)</f>
        <v>796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4"/>
      <c r="B39" s="2041" t="s">
        <v>3261</v>
      </c>
      <c r="C39" s="175">
        <f>ROUND(D5*C22*C23*C24*C28*F39,0)</f>
        <v>2654</v>
      </c>
      <c r="D39" s="2098"/>
      <c r="E39" s="171">
        <f t="shared" si="4"/>
        <v>0</v>
      </c>
      <c r="F39" s="171">
        <f>SUMIF(修正!A57:A68,G2,修正!D57:D68)</f>
        <v>0.25</v>
      </c>
      <c r="G39" s="171">
        <f>ROUND(IF(E2="工业",C39*$M$42,C39*$M$41),0)</f>
        <v>664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2654</v>
      </c>
      <c r="D40" s="2098"/>
      <c r="E40" s="171">
        <f t="shared" si="4"/>
        <v>0</v>
      </c>
      <c r="F40" s="175">
        <f>SUMIF(修正!A57:A68,G2,修正!E57:E68)</f>
        <v>0.25</v>
      </c>
      <c r="G40" s="171">
        <f>ROUND(IF(E2="工业",C40*$M$42,C40*$M$41),0)</f>
        <v>664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3464</v>
      </c>
      <c r="D61" s="1065">
        <f t="shared" ref="D61:D69" si="12">SUMIF($J$60:$N$60,C61,J61:N61)</f>
        <v>0</v>
      </c>
      <c r="E61" s="744">
        <f>ROUND(SUM(D61:D69),4)</f>
        <v>4.7899999999999998E-2</v>
      </c>
      <c r="F61" s="1814">
        <f>IF(E2="办公",SUMIF(L1:L12,G2,N1:N12),"——")</f>
        <v>0.13</v>
      </c>
      <c r="G61" s="1063">
        <v>1.6199999999999999E-2</v>
      </c>
      <c r="H61" s="1066">
        <f t="shared" ref="H61:H69" si="13">IFERROR(ROUNDDOWN($F$61*I61/2,4),"——")</f>
        <v>1.6199999999999999E-2</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3415</v>
      </c>
      <c r="D62" s="1065">
        <f t="shared" si="12"/>
        <v>1.6899999999999998E-2</v>
      </c>
      <c r="E62" s="745"/>
      <c r="F62" s="1814"/>
      <c r="G62" s="1063">
        <v>1.6899999999999998E-2</v>
      </c>
      <c r="H62" s="1066">
        <f t="shared" si="13"/>
        <v>1.6899999999999998E-2</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t="s">
        <v>3415</v>
      </c>
      <c r="D63" s="1065">
        <f t="shared" si="12"/>
        <v>7.1000000000000004E-3</v>
      </c>
      <c r="E63" s="745"/>
      <c r="F63" s="1814"/>
      <c r="G63" s="1063">
        <v>7.1000000000000004E-3</v>
      </c>
      <c r="H63" s="1066">
        <f t="shared" si="13"/>
        <v>7.1000000000000004E-3</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3415</v>
      </c>
      <c r="D64" s="1065">
        <f t="shared" si="12"/>
        <v>3.2000000000000002E-3</v>
      </c>
      <c r="E64" s="745"/>
      <c r="F64" s="1814"/>
      <c r="G64" s="1063">
        <v>3.2000000000000002E-3</v>
      </c>
      <c r="H64" s="1066">
        <f t="shared" si="13"/>
        <v>3.2000000000000002E-3</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3465</v>
      </c>
      <c r="D65" s="1065">
        <f t="shared" si="12"/>
        <v>-3.2000000000000002E-3</v>
      </c>
      <c r="E65" s="745"/>
      <c r="F65" s="1814"/>
      <c r="G65" s="1063">
        <v>3.2000000000000002E-3</v>
      </c>
      <c r="H65" s="1066">
        <f t="shared" si="13"/>
        <v>3.2000000000000002E-3</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3415</v>
      </c>
      <c r="D66" s="1065">
        <f t="shared" si="12"/>
        <v>3.8999999999999998E-3</v>
      </c>
      <c r="E66" s="745"/>
      <c r="F66" s="1814"/>
      <c r="G66" s="1063">
        <v>3.8999999999999998E-3</v>
      </c>
      <c r="H66" s="1066">
        <f t="shared" si="13"/>
        <v>3.8999999999999998E-3</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3415</v>
      </c>
      <c r="D67" s="1065">
        <f t="shared" si="12"/>
        <v>3.8999999999999998E-3</v>
      </c>
      <c r="E67" s="745"/>
      <c r="F67" s="1814"/>
      <c r="G67" s="1063">
        <v>3.8999999999999998E-3</v>
      </c>
      <c r="H67" s="1066">
        <f t="shared" si="13"/>
        <v>3.8999999999999998E-3</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3466</v>
      </c>
      <c r="D68" s="1065">
        <f t="shared" si="12"/>
        <v>1.1599999999999999E-2</v>
      </c>
      <c r="E68" s="745"/>
      <c r="F68" s="1814"/>
      <c r="G68" s="1063">
        <v>5.7999999999999996E-3</v>
      </c>
      <c r="H68" s="1066">
        <f t="shared" si="13"/>
        <v>5.7999999999999996E-3</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3415</v>
      </c>
      <c r="D69" s="1065">
        <f t="shared" si="12"/>
        <v>4.4999999999999997E-3</v>
      </c>
      <c r="E69" s="746"/>
      <c r="F69" s="1814"/>
      <c r="G69" s="1063">
        <v>4.4999999999999997E-3</v>
      </c>
      <c r="H69" s="1066">
        <f t="shared" si="13"/>
        <v>4.4999999999999997E-3</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1" t="s">
        <v>3296</v>
      </c>
      <c r="B103" s="3741"/>
      <c r="C103" s="3741"/>
      <c r="D103" s="3741"/>
      <c r="E103" s="3741"/>
      <c r="F103" s="3741"/>
      <c r="G103" s="3741"/>
      <c r="H103" s="3741"/>
      <c r="I103" s="3741"/>
      <c r="J103" s="3741"/>
      <c r="K103" s="3390"/>
      <c r="L103" s="3390"/>
      <c r="M103" s="3390"/>
      <c r="N103" s="3390"/>
    </row>
    <row r="104" spans="1:14">
      <c r="A104" s="3742" t="s">
        <v>3297</v>
      </c>
      <c r="B104" s="3742" t="s">
        <v>3298</v>
      </c>
      <c r="C104" s="3391" t="s">
        <v>3299</v>
      </c>
      <c r="D104" s="3392"/>
      <c r="E104" s="3392"/>
      <c r="F104" s="3392"/>
      <c r="G104" s="3392"/>
      <c r="H104" s="3392"/>
      <c r="I104" s="3392"/>
      <c r="J104" s="3393"/>
      <c r="K104" s="3394"/>
      <c r="L104" s="3394"/>
      <c r="M104" s="3394"/>
      <c r="N104" s="3394"/>
    </row>
    <row r="105" spans="1:14">
      <c r="A105" s="3742"/>
      <c r="B105" s="374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2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2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2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2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2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29"/>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1" t="s">
        <v>3313</v>
      </c>
      <c r="B113" s="3731"/>
      <c r="C113" s="3731"/>
      <c r="D113" s="3731"/>
      <c r="E113" s="3731"/>
      <c r="F113" s="3731"/>
      <c r="G113" s="3731"/>
      <c r="H113" s="3731"/>
      <c r="I113" s="3731"/>
      <c r="J113" s="373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0.90600000000000003</v>
      </c>
      <c r="E116" s="2000" t="s">
        <v>3316</v>
      </c>
      <c r="F116" s="3402" t="str">
        <f>E2</f>
        <v>办公</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54" t="s">
        <v>2610</v>
      </c>
      <c r="B20" s="3747" t="s">
        <v>2631</v>
      </c>
      <c r="C20" s="3103" t="s">
        <v>2442</v>
      </c>
      <c r="D20" s="3104"/>
      <c r="E20" s="3105">
        <v>1</v>
      </c>
      <c r="F20" s="3106" t="s">
        <v>2443</v>
      </c>
      <c r="G20" s="3106"/>
    </row>
    <row r="21" spans="1:13" ht="19.5" customHeight="1">
      <c r="A21" s="3755"/>
      <c r="B21" s="3748"/>
      <c r="C21" s="3107" t="s">
        <v>2444</v>
      </c>
      <c r="D21" s="3108"/>
      <c r="E21" s="3109">
        <v>1</v>
      </c>
      <c r="F21" s="3106" t="s">
        <v>2445</v>
      </c>
      <c r="G21" s="3106"/>
    </row>
    <row r="22" spans="1:13" ht="19.5" customHeight="1">
      <c r="A22" s="3755"/>
      <c r="B22" s="3748"/>
      <c r="C22" s="3107" t="s">
        <v>2446</v>
      </c>
      <c r="D22" s="3108"/>
      <c r="E22" s="3109">
        <v>0.9</v>
      </c>
      <c r="F22" s="3106" t="s">
        <v>2447</v>
      </c>
      <c r="G22" s="3106"/>
    </row>
    <row r="23" spans="1:13" ht="19.5" customHeight="1">
      <c r="A23" s="3755"/>
      <c r="B23" s="3748"/>
      <c r="C23" s="3107" t="s">
        <v>2448</v>
      </c>
      <c r="D23" s="3108"/>
      <c r="E23" s="3109">
        <v>0.9</v>
      </c>
      <c r="F23" s="3106" t="s">
        <v>2449</v>
      </c>
      <c r="G23" s="3106"/>
    </row>
    <row r="24" spans="1:13" ht="19.5" customHeight="1">
      <c r="A24" s="3755"/>
      <c r="B24" s="3748"/>
      <c r="C24" s="3107" t="s">
        <v>2450</v>
      </c>
      <c r="D24" s="3108"/>
      <c r="E24" s="3109">
        <v>0.8</v>
      </c>
      <c r="F24" s="3106" t="s">
        <v>2451</v>
      </c>
      <c r="G24" s="3106"/>
    </row>
    <row r="25" spans="1:13" ht="19.5" customHeight="1" thickBot="1">
      <c r="A25" s="3756"/>
      <c r="B25" s="374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0" t="s">
        <v>2634</v>
      </c>
      <c r="B27" s="3747" t="s">
        <v>2615</v>
      </c>
      <c r="C27" s="3103" t="s">
        <v>2455</v>
      </c>
      <c r="D27" s="3104"/>
      <c r="E27" s="3105">
        <v>1</v>
      </c>
      <c r="F27" s="3106" t="s">
        <v>2456</v>
      </c>
      <c r="G27" s="3106"/>
    </row>
    <row r="28" spans="1:13" ht="19.5" customHeight="1">
      <c r="A28" s="3751"/>
      <c r="B28" s="3748"/>
      <c r="C28" s="3107" t="s">
        <v>2457</v>
      </c>
      <c r="D28" s="3108"/>
      <c r="E28" s="3109">
        <v>1</v>
      </c>
      <c r="F28" s="3106" t="s">
        <v>2458</v>
      </c>
      <c r="G28" s="3106"/>
    </row>
    <row r="29" spans="1:13" ht="19.5" customHeight="1">
      <c r="A29" s="3751"/>
      <c r="B29" s="3748"/>
      <c r="C29" s="3107" t="s">
        <v>2459</v>
      </c>
      <c r="D29" s="3108"/>
      <c r="E29" s="3109">
        <v>0.8</v>
      </c>
      <c r="F29" s="3106" t="s">
        <v>2460</v>
      </c>
      <c r="G29" s="3106"/>
    </row>
    <row r="30" spans="1:13" ht="19.5" customHeight="1">
      <c r="A30" s="3751"/>
      <c r="B30" s="3748"/>
      <c r="C30" s="3107" t="s">
        <v>2461</v>
      </c>
      <c r="D30" s="3108"/>
      <c r="E30" s="3109">
        <v>0.8</v>
      </c>
      <c r="F30" s="3106" t="s">
        <v>2462</v>
      </c>
      <c r="G30" s="3106"/>
    </row>
    <row r="31" spans="1:13" ht="19.5" customHeight="1">
      <c r="A31" s="3751"/>
      <c r="B31" s="3748"/>
      <c r="C31" s="3107" t="s">
        <v>2463</v>
      </c>
      <c r="D31" s="3108"/>
      <c r="E31" s="3109">
        <v>0.8</v>
      </c>
      <c r="F31" s="3106" t="s">
        <v>2464</v>
      </c>
      <c r="G31" s="3106"/>
    </row>
    <row r="32" spans="1:13" ht="19.5" customHeight="1">
      <c r="A32" s="3751"/>
      <c r="B32" s="3748"/>
      <c r="C32" s="3107" t="s">
        <v>2465</v>
      </c>
      <c r="D32" s="3108"/>
      <c r="E32" s="3109">
        <v>0.7</v>
      </c>
      <c r="F32" s="3106" t="s">
        <v>2466</v>
      </c>
      <c r="G32" s="3106"/>
    </row>
    <row r="33" spans="1:7" ht="19.5" customHeight="1">
      <c r="A33" s="3751"/>
      <c r="B33" s="3748"/>
      <c r="C33" s="3107" t="s">
        <v>2467</v>
      </c>
      <c r="D33" s="3108"/>
      <c r="E33" s="3109">
        <v>0.8</v>
      </c>
      <c r="F33" s="3106" t="s">
        <v>2468</v>
      </c>
      <c r="G33" s="3106"/>
    </row>
    <row r="34" spans="1:7" ht="19.5" customHeight="1">
      <c r="A34" s="3751"/>
      <c r="B34" s="3748"/>
      <c r="C34" s="3107" t="s">
        <v>2469</v>
      </c>
      <c r="D34" s="3108"/>
      <c r="E34" s="3109">
        <v>0.6</v>
      </c>
      <c r="F34" s="3106" t="s">
        <v>2470</v>
      </c>
      <c r="G34" s="3106"/>
    </row>
    <row r="35" spans="1:7" ht="19.5" customHeight="1">
      <c r="A35" s="3751"/>
      <c r="B35" s="3748"/>
      <c r="C35" s="3107" t="s">
        <v>2471</v>
      </c>
      <c r="D35" s="3108"/>
      <c r="E35" s="3109">
        <v>0.2</v>
      </c>
      <c r="F35" s="3106" t="s">
        <v>2472</v>
      </c>
      <c r="G35" s="3106"/>
    </row>
    <row r="36" spans="1:7" ht="19.5" customHeight="1">
      <c r="A36" s="3751"/>
      <c r="B36" s="3748"/>
      <c r="C36" s="3107" t="s">
        <v>2473</v>
      </c>
      <c r="D36" s="3108"/>
      <c r="E36" s="3109">
        <v>0.2</v>
      </c>
      <c r="F36" s="3106" t="s">
        <v>2474</v>
      </c>
      <c r="G36" s="3106"/>
    </row>
    <row r="37" spans="1:7" ht="19.5" customHeight="1">
      <c r="A37" s="3751"/>
      <c r="B37" s="3753" t="s">
        <v>2635</v>
      </c>
      <c r="C37" s="3107" t="s">
        <v>2475</v>
      </c>
      <c r="D37" s="3108"/>
      <c r="E37" s="3109">
        <v>0.6</v>
      </c>
      <c r="F37" s="3106" t="s">
        <v>2476</v>
      </c>
      <c r="G37" s="3106"/>
    </row>
    <row r="38" spans="1:7" ht="19.5" customHeight="1">
      <c r="A38" s="3751"/>
      <c r="B38" s="3748"/>
      <c r="C38" s="3107" t="s">
        <v>2477</v>
      </c>
      <c r="D38" s="3108"/>
      <c r="E38" s="3109">
        <v>0.6</v>
      </c>
      <c r="F38" s="3106" t="s">
        <v>2478</v>
      </c>
      <c r="G38" s="3106"/>
    </row>
    <row r="39" spans="1:7" ht="19.5" customHeight="1" thickBot="1">
      <c r="A39" s="3752"/>
      <c r="B39" s="374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54" t="s">
        <v>2613</v>
      </c>
      <c r="B41" s="3747" t="s">
        <v>2637</v>
      </c>
      <c r="C41" s="3103" t="s">
        <v>2482</v>
      </c>
      <c r="D41" s="3104"/>
      <c r="E41" s="3105">
        <v>1</v>
      </c>
      <c r="F41" s="3106" t="s">
        <v>2483</v>
      </c>
      <c r="G41" s="3106"/>
    </row>
    <row r="42" spans="1:7" ht="19.5" customHeight="1">
      <c r="A42" s="3755"/>
      <c r="B42" s="3748"/>
      <c r="C42" s="3107" t="s">
        <v>2484</v>
      </c>
      <c r="D42" s="3108"/>
      <c r="E42" s="3109">
        <v>1</v>
      </c>
      <c r="F42" s="3106" t="s">
        <v>2485</v>
      </c>
      <c r="G42" s="3106"/>
    </row>
    <row r="43" spans="1:7" ht="19.5" customHeight="1">
      <c r="A43" s="3755"/>
      <c r="B43" s="3757"/>
      <c r="C43" s="3107" t="s">
        <v>2486</v>
      </c>
      <c r="D43" s="3108"/>
      <c r="E43" s="3109">
        <v>1.5</v>
      </c>
      <c r="F43" s="3106" t="s">
        <v>2487</v>
      </c>
      <c r="G43" s="3106"/>
    </row>
    <row r="44" spans="1:7" ht="19.5" customHeight="1">
      <c r="A44" s="3755"/>
      <c r="B44" s="3118" t="s">
        <v>2638</v>
      </c>
      <c r="C44" s="3107" t="s">
        <v>2639</v>
      </c>
      <c r="D44" s="3108"/>
      <c r="E44" s="3109">
        <v>2</v>
      </c>
      <c r="F44" s="3106" t="s">
        <v>2488</v>
      </c>
      <c r="G44" s="3106"/>
    </row>
    <row r="45" spans="1:7" ht="19.5" customHeight="1">
      <c r="A45" s="3755"/>
      <c r="B45" s="3753" t="s">
        <v>2640</v>
      </c>
      <c r="C45" s="3107" t="s">
        <v>2489</v>
      </c>
      <c r="D45" s="3108"/>
      <c r="E45" s="3109">
        <v>1</v>
      </c>
      <c r="F45" s="3106" t="s">
        <v>2490</v>
      </c>
      <c r="G45" s="3106"/>
    </row>
    <row r="46" spans="1:7" ht="19.5" customHeight="1">
      <c r="A46" s="3755"/>
      <c r="B46" s="3748"/>
      <c r="C46" s="3107" t="s">
        <v>2491</v>
      </c>
      <c r="D46" s="3108"/>
      <c r="E46" s="3109">
        <v>1</v>
      </c>
      <c r="F46" s="3106" t="s">
        <v>2492</v>
      </c>
      <c r="G46" s="3106"/>
    </row>
    <row r="47" spans="1:7" ht="19.5" customHeight="1">
      <c r="A47" s="3755"/>
      <c r="B47" s="3748"/>
      <c r="C47" s="3107" t="s">
        <v>2493</v>
      </c>
      <c r="D47" s="3108"/>
      <c r="E47" s="3109">
        <v>1</v>
      </c>
      <c r="F47" s="3106" t="s">
        <v>2494</v>
      </c>
      <c r="G47" s="3106"/>
    </row>
    <row r="48" spans="1:7" ht="19.5" customHeight="1">
      <c r="A48" s="3755"/>
      <c r="B48" s="3748"/>
      <c r="C48" s="3107" t="s">
        <v>2495</v>
      </c>
      <c r="D48" s="3108"/>
      <c r="E48" s="3109">
        <v>1</v>
      </c>
      <c r="F48" s="3106" t="s">
        <v>2496</v>
      </c>
      <c r="G48" s="3106"/>
    </row>
    <row r="49" spans="1:7" ht="19.5" customHeight="1">
      <c r="A49" s="3755"/>
      <c r="B49" s="3748"/>
      <c r="C49" s="3107" t="s">
        <v>2497</v>
      </c>
      <c r="D49" s="3108"/>
      <c r="E49" s="3109">
        <v>1</v>
      </c>
      <c r="F49" s="3106" t="s">
        <v>2498</v>
      </c>
      <c r="G49" s="3106"/>
    </row>
    <row r="50" spans="1:7" ht="19.5" customHeight="1">
      <c r="A50" s="3755"/>
      <c r="B50" s="3748"/>
      <c r="C50" s="3107" t="s">
        <v>2499</v>
      </c>
      <c r="D50" s="3108"/>
      <c r="E50" s="3109">
        <v>1</v>
      </c>
      <c r="F50" s="3106" t="s">
        <v>2500</v>
      </c>
      <c r="G50" s="3106"/>
    </row>
    <row r="51" spans="1:7" ht="19.5" customHeight="1" thickBot="1">
      <c r="A51" s="3756"/>
      <c r="B51" s="374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3" t="s">
        <v>2654</v>
      </c>
      <c r="C73" s="3092" t="s">
        <v>2655</v>
      </c>
      <c r="D73" s="3092" t="s">
        <v>2656</v>
      </c>
      <c r="E73" s="3118">
        <v>0.2</v>
      </c>
      <c r="F73" s="3118">
        <v>25</v>
      </c>
    </row>
    <row r="74" spans="1:7" ht="24">
      <c r="A74" s="3118">
        <v>2</v>
      </c>
      <c r="B74" s="3748"/>
      <c r="C74" s="3092" t="s">
        <v>2657</v>
      </c>
      <c r="D74" s="3092" t="s">
        <v>2658</v>
      </c>
      <c r="E74" s="3118">
        <v>0.2</v>
      </c>
      <c r="F74" s="3118">
        <v>25</v>
      </c>
    </row>
    <row r="75" spans="1:7" ht="24">
      <c r="A75" s="3118">
        <v>3</v>
      </c>
      <c r="B75" s="3748"/>
      <c r="C75" s="3092" t="s">
        <v>2659</v>
      </c>
      <c r="D75" s="3092" t="s">
        <v>2660</v>
      </c>
      <c r="E75" s="3118">
        <v>0.2</v>
      </c>
      <c r="F75" s="3118">
        <v>25</v>
      </c>
    </row>
    <row r="76" spans="1:7" ht="13.5">
      <c r="A76" s="3118">
        <v>4</v>
      </c>
      <c r="B76" s="3748"/>
      <c r="C76" s="3092" t="s">
        <v>2661</v>
      </c>
      <c r="D76" s="3092" t="s">
        <v>2662</v>
      </c>
      <c r="E76" s="3118">
        <v>0.15</v>
      </c>
      <c r="F76" s="3118">
        <v>20</v>
      </c>
    </row>
    <row r="77" spans="1:7" ht="24">
      <c r="A77" s="3118">
        <v>5</v>
      </c>
      <c r="B77" s="3748"/>
      <c r="C77" s="3092" t="s">
        <v>2663</v>
      </c>
      <c r="D77" s="3092" t="s">
        <v>2664</v>
      </c>
      <c r="E77" s="3118">
        <v>0.15</v>
      </c>
      <c r="F77" s="3118">
        <v>20</v>
      </c>
    </row>
    <row r="78" spans="1:7" ht="24">
      <c r="A78" s="3118">
        <v>6</v>
      </c>
      <c r="B78" s="3748"/>
      <c r="C78" s="3092" t="s">
        <v>2665</v>
      </c>
      <c r="D78" s="3092" t="s">
        <v>2666</v>
      </c>
      <c r="E78" s="3118">
        <v>0.15</v>
      </c>
      <c r="F78" s="3118">
        <v>20</v>
      </c>
    </row>
    <row r="79" spans="1:7" ht="24">
      <c r="A79" s="3118">
        <v>7</v>
      </c>
      <c r="B79" s="3748"/>
      <c r="C79" s="3092" t="s">
        <v>2667</v>
      </c>
      <c r="D79" s="3092" t="s">
        <v>2668</v>
      </c>
      <c r="E79" s="3118">
        <v>0.15</v>
      </c>
      <c r="F79" s="3118">
        <v>20</v>
      </c>
    </row>
    <row r="80" spans="1:7" ht="24">
      <c r="A80" s="3118">
        <v>8</v>
      </c>
      <c r="B80" s="3748"/>
      <c r="C80" s="3092" t="s">
        <v>2669</v>
      </c>
      <c r="D80" s="3092" t="s">
        <v>2670</v>
      </c>
      <c r="E80" s="3118">
        <v>0.1</v>
      </c>
      <c r="F80" s="3118">
        <v>15</v>
      </c>
    </row>
    <row r="81" spans="1:6" ht="24">
      <c r="A81" s="3118">
        <v>9</v>
      </c>
      <c r="B81" s="3748"/>
      <c r="C81" s="3092" t="s">
        <v>2671</v>
      </c>
      <c r="D81" s="3092" t="s">
        <v>2672</v>
      </c>
      <c r="E81" s="3118">
        <v>0.1</v>
      </c>
      <c r="F81" s="3118">
        <v>15</v>
      </c>
    </row>
    <row r="82" spans="1:6" ht="24">
      <c r="A82" s="3118">
        <v>10</v>
      </c>
      <c r="B82" s="3748"/>
      <c r="C82" s="3092" t="s">
        <v>2673</v>
      </c>
      <c r="D82" s="3092" t="s">
        <v>2674</v>
      </c>
      <c r="E82" s="3118">
        <v>0.1</v>
      </c>
      <c r="F82" s="3118">
        <v>15</v>
      </c>
    </row>
    <row r="83" spans="1:6" ht="24">
      <c r="A83" s="3118">
        <v>11</v>
      </c>
      <c r="B83" s="3748"/>
      <c r="C83" s="3092" t="s">
        <v>2675</v>
      </c>
      <c r="D83" s="3092" t="s">
        <v>2676</v>
      </c>
      <c r="E83" s="3118">
        <v>0.1</v>
      </c>
      <c r="F83" s="3118">
        <v>15</v>
      </c>
    </row>
    <row r="84" spans="1:6" ht="24">
      <c r="A84" s="3118">
        <v>12</v>
      </c>
      <c r="B84" s="3748"/>
      <c r="C84" s="3092" t="s">
        <v>2677</v>
      </c>
      <c r="D84" s="3092" t="s">
        <v>2678</v>
      </c>
      <c r="E84" s="3118">
        <v>0.1</v>
      </c>
      <c r="F84" s="3118">
        <v>15</v>
      </c>
    </row>
    <row r="85" spans="1:6" ht="13.5">
      <c r="A85" s="3118">
        <v>13</v>
      </c>
      <c r="B85" s="3748"/>
      <c r="C85" s="3092" t="s">
        <v>2679</v>
      </c>
      <c r="D85" s="3092" t="s">
        <v>2680</v>
      </c>
      <c r="E85" s="3118">
        <v>0.1</v>
      </c>
      <c r="F85" s="3118">
        <v>15</v>
      </c>
    </row>
    <row r="86" spans="1:6" ht="13.5">
      <c r="A86" s="3118">
        <v>14</v>
      </c>
      <c r="B86" s="3748"/>
      <c r="C86" s="3092" t="s">
        <v>2681</v>
      </c>
      <c r="D86" s="3092" t="s">
        <v>2682</v>
      </c>
      <c r="E86" s="3118">
        <v>0.1</v>
      </c>
      <c r="F86" s="3118">
        <v>15</v>
      </c>
    </row>
    <row r="87" spans="1:6" ht="13.5">
      <c r="A87" s="3118">
        <v>15</v>
      </c>
      <c r="B87" s="3748"/>
      <c r="C87" s="3092" t="s">
        <v>2683</v>
      </c>
      <c r="D87" s="3092" t="s">
        <v>2684</v>
      </c>
      <c r="E87" s="3118">
        <v>0.1</v>
      </c>
      <c r="F87" s="3118">
        <v>15</v>
      </c>
    </row>
    <row r="88" spans="1:6" ht="24">
      <c r="A88" s="3118">
        <v>16</v>
      </c>
      <c r="B88" s="3748"/>
      <c r="C88" s="3092" t="s">
        <v>2685</v>
      </c>
      <c r="D88" s="3092" t="s">
        <v>2686</v>
      </c>
      <c r="E88" s="3118">
        <v>0.1</v>
      </c>
      <c r="F88" s="3118">
        <v>15</v>
      </c>
    </row>
    <row r="89" spans="1:6" ht="24">
      <c r="A89" s="3118">
        <v>17</v>
      </c>
      <c r="B89" s="3757"/>
      <c r="C89" s="3092" t="s">
        <v>2687</v>
      </c>
      <c r="D89" s="3092" t="s">
        <v>2688</v>
      </c>
      <c r="E89" s="3118">
        <v>0.1</v>
      </c>
      <c r="F89" s="3118">
        <v>15</v>
      </c>
    </row>
    <row r="90" spans="1:6" ht="13.5">
      <c r="A90" s="3118">
        <v>18</v>
      </c>
      <c r="B90" s="3753" t="s">
        <v>2689</v>
      </c>
      <c r="C90" s="3092" t="s">
        <v>2690</v>
      </c>
      <c r="D90" s="3092" t="s">
        <v>2691</v>
      </c>
      <c r="E90" s="3118">
        <v>0.2</v>
      </c>
      <c r="F90" s="3118">
        <v>25</v>
      </c>
    </row>
    <row r="91" spans="1:6" ht="24">
      <c r="A91" s="3118">
        <v>19</v>
      </c>
      <c r="B91" s="3748"/>
      <c r="C91" s="3092" t="s">
        <v>2692</v>
      </c>
      <c r="D91" s="3092" t="s">
        <v>2693</v>
      </c>
      <c r="E91" s="3118">
        <v>0.2</v>
      </c>
      <c r="F91" s="3118">
        <v>25</v>
      </c>
    </row>
    <row r="92" spans="1:6" ht="13.5">
      <c r="A92" s="3118">
        <v>20</v>
      </c>
      <c r="B92" s="3748"/>
      <c r="C92" s="3092" t="s">
        <v>2694</v>
      </c>
      <c r="D92" s="3092" t="s">
        <v>2695</v>
      </c>
      <c r="E92" s="3118">
        <v>0.15</v>
      </c>
      <c r="F92" s="3118">
        <v>20</v>
      </c>
    </row>
    <row r="93" spans="1:6" ht="13.5">
      <c r="A93" s="3118">
        <v>21</v>
      </c>
      <c r="B93" s="3748"/>
      <c r="C93" s="3092" t="s">
        <v>2696</v>
      </c>
      <c r="D93" s="3092" t="s">
        <v>2697</v>
      </c>
      <c r="E93" s="3118">
        <v>0.15</v>
      </c>
      <c r="F93" s="3118">
        <v>20</v>
      </c>
    </row>
    <row r="94" spans="1:6" ht="13.5">
      <c r="A94" s="3118">
        <v>22</v>
      </c>
      <c r="B94" s="3748"/>
      <c r="C94" s="3092" t="s">
        <v>2698</v>
      </c>
      <c r="D94" s="3092" t="s">
        <v>2699</v>
      </c>
      <c r="E94" s="3118">
        <v>0.15</v>
      </c>
      <c r="F94" s="3118">
        <v>20</v>
      </c>
    </row>
    <row r="95" spans="1:6" ht="36">
      <c r="A95" s="3118">
        <v>23</v>
      </c>
      <c r="B95" s="3748"/>
      <c r="C95" s="3092" t="s">
        <v>2700</v>
      </c>
      <c r="D95" s="3092" t="s">
        <v>2701</v>
      </c>
      <c r="E95" s="3118">
        <v>0.15</v>
      </c>
      <c r="F95" s="3118">
        <v>20</v>
      </c>
    </row>
    <row r="96" spans="1:6" ht="13.5">
      <c r="A96" s="3118">
        <v>24</v>
      </c>
      <c r="B96" s="3748"/>
      <c r="C96" s="3092" t="s">
        <v>2702</v>
      </c>
      <c r="D96" s="3092" t="s">
        <v>2703</v>
      </c>
      <c r="E96" s="3118">
        <v>0.1</v>
      </c>
      <c r="F96" s="3118">
        <v>15</v>
      </c>
    </row>
    <row r="97" spans="1:6" ht="13.5">
      <c r="A97" s="3118">
        <v>25</v>
      </c>
      <c r="B97" s="3748"/>
      <c r="C97" s="3092" t="s">
        <v>2704</v>
      </c>
      <c r="D97" s="3092" t="s">
        <v>2705</v>
      </c>
      <c r="E97" s="3118">
        <v>0.1</v>
      </c>
      <c r="F97" s="3118">
        <v>15</v>
      </c>
    </row>
    <row r="98" spans="1:6" ht="24">
      <c r="A98" s="3118">
        <v>26</v>
      </c>
      <c r="B98" s="3748"/>
      <c r="C98" s="3092" t="s">
        <v>2706</v>
      </c>
      <c r="D98" s="3092" t="s">
        <v>2707</v>
      </c>
      <c r="E98" s="3118">
        <v>0.1</v>
      </c>
      <c r="F98" s="3118">
        <v>15</v>
      </c>
    </row>
    <row r="99" spans="1:6" ht="24">
      <c r="A99" s="3118">
        <v>27</v>
      </c>
      <c r="B99" s="3748"/>
      <c r="C99" s="3092" t="s">
        <v>2708</v>
      </c>
      <c r="D99" s="3092" t="s">
        <v>2709</v>
      </c>
      <c r="E99" s="3118">
        <v>0.1</v>
      </c>
      <c r="F99" s="3118">
        <v>15</v>
      </c>
    </row>
    <row r="100" spans="1:6" ht="13.5">
      <c r="A100" s="3118">
        <v>28</v>
      </c>
      <c r="B100" s="3748"/>
      <c r="C100" s="3092" t="s">
        <v>2710</v>
      </c>
      <c r="D100" s="3092" t="s">
        <v>2711</v>
      </c>
      <c r="E100" s="3118">
        <v>0.1</v>
      </c>
      <c r="F100" s="3118">
        <v>15</v>
      </c>
    </row>
    <row r="101" spans="1:6" ht="13.5">
      <c r="A101" s="3118">
        <v>29</v>
      </c>
      <c r="B101" s="3748"/>
      <c r="C101" s="3092" t="s">
        <v>2712</v>
      </c>
      <c r="D101" s="3092" t="s">
        <v>2713</v>
      </c>
      <c r="E101" s="3118">
        <v>0.1</v>
      </c>
      <c r="F101" s="3118">
        <v>15</v>
      </c>
    </row>
    <row r="102" spans="1:6" ht="13.5">
      <c r="A102" s="3118">
        <v>30</v>
      </c>
      <c r="B102" s="3748"/>
      <c r="C102" s="3092" t="s">
        <v>2714</v>
      </c>
      <c r="D102" s="3092" t="s">
        <v>2715</v>
      </c>
      <c r="E102" s="3118">
        <v>0.1</v>
      </c>
      <c r="F102" s="3118">
        <v>15</v>
      </c>
    </row>
    <row r="103" spans="1:6" ht="24">
      <c r="A103" s="3118">
        <v>31</v>
      </c>
      <c r="B103" s="3748"/>
      <c r="C103" s="3092" t="s">
        <v>2716</v>
      </c>
      <c r="D103" s="3092" t="s">
        <v>2717</v>
      </c>
      <c r="E103" s="3118">
        <v>0.1</v>
      </c>
      <c r="F103" s="3118">
        <v>15</v>
      </c>
    </row>
    <row r="104" spans="1:6" ht="24">
      <c r="A104" s="3118">
        <v>32</v>
      </c>
      <c r="B104" s="3748"/>
      <c r="C104" s="3092" t="s">
        <v>2718</v>
      </c>
      <c r="D104" s="3092" t="s">
        <v>2719</v>
      </c>
      <c r="E104" s="3118">
        <v>0.1</v>
      </c>
      <c r="F104" s="3118">
        <v>15</v>
      </c>
    </row>
    <row r="105" spans="1:6" ht="24">
      <c r="A105" s="3118">
        <v>33</v>
      </c>
      <c r="B105" s="3748"/>
      <c r="C105" s="3092" t="s">
        <v>2720</v>
      </c>
      <c r="D105" s="3092" t="s">
        <v>2721</v>
      </c>
      <c r="E105" s="3118">
        <v>0.1</v>
      </c>
      <c r="F105" s="3118">
        <v>15</v>
      </c>
    </row>
    <row r="106" spans="1:6" ht="24">
      <c r="A106" s="3118">
        <v>34</v>
      </c>
      <c r="B106" s="3757"/>
      <c r="C106" s="3092" t="s">
        <v>2722</v>
      </c>
      <c r="D106" s="3092" t="s">
        <v>2723</v>
      </c>
      <c r="E106" s="3118">
        <v>0.1</v>
      </c>
      <c r="F106" s="3118">
        <v>15</v>
      </c>
    </row>
    <row r="107" spans="1:6" ht="24">
      <c r="A107" s="3118">
        <v>35</v>
      </c>
      <c r="B107" s="3753" t="s">
        <v>2724</v>
      </c>
      <c r="C107" s="3118" t="s">
        <v>2725</v>
      </c>
      <c r="D107" s="3092" t="s">
        <v>2726</v>
      </c>
      <c r="E107" s="3118">
        <v>0.15</v>
      </c>
      <c r="F107" s="3118">
        <v>20</v>
      </c>
    </row>
    <row r="108" spans="1:6" ht="13.5">
      <c r="A108" s="3118">
        <v>36</v>
      </c>
      <c r="B108" s="3748"/>
      <c r="C108" s="3118" t="s">
        <v>2727</v>
      </c>
      <c r="D108" s="3092" t="s">
        <v>2728</v>
      </c>
      <c r="E108" s="3118">
        <v>0.15</v>
      </c>
      <c r="F108" s="3118">
        <v>20</v>
      </c>
    </row>
    <row r="109" spans="1:6" ht="13.5">
      <c r="A109" s="3118">
        <v>37</v>
      </c>
      <c r="B109" s="3748"/>
      <c r="C109" s="3118" t="s">
        <v>2729</v>
      </c>
      <c r="D109" s="3092" t="s">
        <v>2730</v>
      </c>
      <c r="E109" s="3118">
        <v>0.15</v>
      </c>
      <c r="F109" s="3118">
        <v>20</v>
      </c>
    </row>
    <row r="110" spans="1:6" ht="13.5">
      <c r="A110" s="3118">
        <v>38</v>
      </c>
      <c r="B110" s="3748"/>
      <c r="C110" s="3118" t="s">
        <v>2731</v>
      </c>
      <c r="D110" s="3092" t="s">
        <v>2732</v>
      </c>
      <c r="E110" s="3118">
        <v>0.1</v>
      </c>
      <c r="F110" s="3118">
        <v>15</v>
      </c>
    </row>
    <row r="111" spans="1:6" ht="24">
      <c r="A111" s="3118">
        <v>39</v>
      </c>
      <c r="B111" s="3748"/>
      <c r="C111" s="3118" t="s">
        <v>2733</v>
      </c>
      <c r="D111" s="3092" t="s">
        <v>2734</v>
      </c>
      <c r="E111" s="3118">
        <v>0.1</v>
      </c>
      <c r="F111" s="3118">
        <v>15</v>
      </c>
    </row>
    <row r="112" spans="1:6" ht="24">
      <c r="A112" s="3118">
        <v>40</v>
      </c>
      <c r="B112" s="3757"/>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3" t="s">
        <v>2744</v>
      </c>
      <c r="C116" s="3118" t="s">
        <v>2745</v>
      </c>
      <c r="D116" s="3092" t="s">
        <v>2746</v>
      </c>
      <c r="E116" s="3118">
        <v>0.1</v>
      </c>
      <c r="F116" s="3118">
        <v>15</v>
      </c>
    </row>
    <row r="117" spans="1:6" ht="24">
      <c r="A117" s="3118">
        <v>45</v>
      </c>
      <c r="B117" s="3757"/>
      <c r="C117" s="3092" t="s">
        <v>2747</v>
      </c>
      <c r="D117" s="3092" t="s">
        <v>2748</v>
      </c>
      <c r="E117" s="3118">
        <v>0.1</v>
      </c>
      <c r="F117" s="3118">
        <v>15</v>
      </c>
    </row>
    <row r="118" spans="1:6" ht="24">
      <c r="A118" s="3118">
        <v>46</v>
      </c>
      <c r="B118" s="3753" t="s">
        <v>2749</v>
      </c>
      <c r="C118" s="3118" t="s">
        <v>2750</v>
      </c>
      <c r="D118" s="3092" t="s">
        <v>2751</v>
      </c>
      <c r="E118" s="3118">
        <v>0.1</v>
      </c>
      <c r="F118" s="3118">
        <v>15</v>
      </c>
    </row>
    <row r="119" spans="1:6" ht="24">
      <c r="A119" s="3118">
        <v>47</v>
      </c>
      <c r="B119" s="3757"/>
      <c r="C119" s="3118" t="s">
        <v>2752</v>
      </c>
      <c r="D119" s="3092" t="s">
        <v>2753</v>
      </c>
      <c r="E119" s="3118">
        <v>0.1</v>
      </c>
      <c r="F119" s="3118">
        <v>15</v>
      </c>
    </row>
    <row r="120" spans="1:6" ht="13.5">
      <c r="A120" s="3118">
        <v>48</v>
      </c>
      <c r="B120" s="3753" t="s">
        <v>2754</v>
      </c>
      <c r="C120" s="3118" t="s">
        <v>2755</v>
      </c>
      <c r="D120" s="3092" t="s">
        <v>2756</v>
      </c>
      <c r="E120" s="3118">
        <v>0.1</v>
      </c>
      <c r="F120" s="3118">
        <v>15</v>
      </c>
    </row>
    <row r="121" spans="1:6" ht="13.5">
      <c r="A121" s="3118">
        <v>49</v>
      </c>
      <c r="B121" s="3757"/>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3" t="s">
        <v>2784</v>
      </c>
      <c r="C132" s="3118" t="s">
        <v>2785</v>
      </c>
      <c r="D132" s="3092" t="s">
        <v>2786</v>
      </c>
      <c r="E132" s="3118">
        <v>0.1</v>
      </c>
      <c r="F132" s="3118">
        <v>15</v>
      </c>
    </row>
    <row r="133" spans="1:6" ht="13.5">
      <c r="A133" s="3118">
        <v>61</v>
      </c>
      <c r="B133" s="375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27903</v>
      </c>
      <c r="C2" s="2" t="s">
        <v>106</v>
      </c>
      <c r="D2" s="199"/>
      <c r="E2" s="199"/>
      <c r="F2" s="199"/>
      <c r="G2" s="199"/>
    </row>
    <row r="3" spans="1:7" s="200" customFormat="1" ht="18" customHeight="1" thickBot="1">
      <c r="A3" s="203" t="s">
        <v>58</v>
      </c>
      <c r="B3" s="204">
        <f ca="1">ROUND(B2*10000/'数据-汇总表'!E3,0)</f>
        <v>1215658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229.53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229.53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7" t="s">
        <v>341</v>
      </c>
      <c r="B45" s="244" t="s">
        <v>85</v>
      </c>
      <c r="C45" s="245">
        <f>C46</f>
        <v>17</v>
      </c>
      <c r="D45" s="235">
        <f>C47</f>
        <v>3.0000000000000001E-3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147</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27903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599</v>
      </c>
      <c r="E5" s="1491"/>
    </row>
    <row r="6" spans="1:5" ht="15.75">
      <c r="A6" s="1491"/>
      <c r="B6" s="3457"/>
      <c r="C6" s="1494" t="s">
        <v>911</v>
      </c>
      <c r="D6" s="850" t="str">
        <f ca="1">NUMBERSTRING(INT(D5*10000),2)&amp;"元整"</f>
        <v>伍佰玖拾玖万元整</v>
      </c>
      <c r="E6" s="1491"/>
    </row>
    <row r="7" spans="1:5" ht="15.75">
      <c r="A7" s="1491"/>
      <c r="B7" s="3462"/>
      <c r="C7" s="1495" t="s">
        <v>912</v>
      </c>
      <c r="D7" s="851">
        <f ca="1">结果表!H102</f>
        <v>26085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599</v>
      </c>
      <c r="E13" s="1491"/>
    </row>
    <row r="14" spans="1:5" ht="15.75">
      <c r="A14" s="1491"/>
      <c r="B14" s="3457"/>
      <c r="C14" s="1494" t="s">
        <v>911</v>
      </c>
      <c r="D14" s="850" t="str">
        <f ca="1">NUMBERSTRING(INT(D13*10000),2)&amp;"元整"</f>
        <v>伍佰玖拾玖万元整</v>
      </c>
      <c r="E14" s="1491"/>
    </row>
    <row r="15" spans="1:5" ht="15">
      <c r="A15" s="1491"/>
      <c r="B15" s="3462"/>
      <c r="C15" s="1495" t="s">
        <v>921</v>
      </c>
      <c r="D15" s="859">
        <f ca="1">结果表!H108</f>
        <v>26085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4.抵押净值</v>
      </c>
      <c r="C19" s="1499" t="s">
        <v>910</v>
      </c>
      <c r="D19" s="851">
        <f ca="1">结果表!H111</f>
        <v>254</v>
      </c>
      <c r="E19" s="1491"/>
    </row>
    <row r="20" spans="1:5" ht="15.75">
      <c r="A20" s="1491"/>
      <c r="B20" s="3457"/>
      <c r="C20" s="1494" t="s">
        <v>923</v>
      </c>
      <c r="D20" s="850" t="str">
        <f ca="1">NUMBERSTRING(INT(D19*10000),2)&amp;"元整"</f>
        <v>贰佰伍拾肆万元整</v>
      </c>
      <c r="E20" s="1491"/>
    </row>
    <row r="21" spans="1:5" ht="15.75" thickBot="1">
      <c r="A21" s="1491"/>
      <c r="B21" s="3458"/>
      <c r="C21" s="1501" t="s">
        <v>921</v>
      </c>
      <c r="D21" s="860">
        <f ca="1">结果表!H112</f>
        <v>11066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F2" sqref="F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3477</v>
      </c>
      <c r="F1" s="1879" t="s">
        <v>3478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675.57560000000001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29433</v>
      </c>
      <c r="C3" s="354" t="s">
        <v>1768</v>
      </c>
      <c r="D3" s="353">
        <f>IF(D1="",'数据-汇总表'!E3,SUMIF('数据-汇总表'!$C19:$C33,D1,'数据-汇总表'!$E19:$E33))</f>
        <v>229.53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66" t="s">
        <v>1775</v>
      </c>
      <c r="Q4" s="3767"/>
      <c r="R4" s="3760" t="s">
        <v>1771</v>
      </c>
      <c r="S4" s="3761"/>
      <c r="T4" s="3760" t="s">
        <v>1772</v>
      </c>
      <c r="U4" s="3761"/>
      <c r="V4" s="3770" t="s">
        <v>1773</v>
      </c>
      <c r="W4" s="3770"/>
      <c r="X4" s="1958"/>
      <c r="Y4" s="3760" t="s">
        <v>1775</v>
      </c>
      <c r="Z4" s="3761"/>
      <c r="AA4" s="3759" t="s">
        <v>1771</v>
      </c>
      <c r="AB4" s="3759" t="s">
        <v>1772</v>
      </c>
      <c r="AC4" s="3763" t="s">
        <v>1773</v>
      </c>
    </row>
    <row r="5" spans="1:29" ht="15">
      <c r="A5" s="358"/>
      <c r="B5" s="359"/>
      <c r="C5" s="3678" t="s">
        <v>1673</v>
      </c>
      <c r="D5" s="3679"/>
      <c r="E5" s="3762" t="s">
        <v>3472</v>
      </c>
      <c r="F5" s="3677"/>
      <c r="G5" s="3771" t="s">
        <v>3471</v>
      </c>
      <c r="H5" s="3679"/>
      <c r="I5" s="3678" t="s">
        <v>1676</v>
      </c>
      <c r="J5" s="3679"/>
      <c r="K5" s="559"/>
      <c r="L5" s="2715"/>
      <c r="M5" s="2716"/>
      <c r="N5" s="2716"/>
      <c r="O5" s="2716"/>
      <c r="P5" s="3768"/>
      <c r="Q5" s="3692"/>
      <c r="R5" s="3674"/>
      <c r="S5" s="3675"/>
      <c r="T5" s="3674"/>
      <c r="U5" s="3675"/>
      <c r="V5" s="3697"/>
      <c r="W5" s="3697"/>
      <c r="X5" s="1355"/>
      <c r="Y5" s="3674"/>
      <c r="Z5" s="3675"/>
      <c r="AA5" s="3668"/>
      <c r="AB5" s="3668"/>
      <c r="AC5" s="3764"/>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769"/>
      <c r="Q6" s="3694"/>
      <c r="R6" s="3674"/>
      <c r="S6" s="3675"/>
      <c r="T6" s="3695"/>
      <c r="U6" s="3696"/>
      <c r="V6" s="3697"/>
      <c r="W6" s="3697"/>
      <c r="X6" s="1355"/>
      <c r="Y6" s="3695"/>
      <c r="Z6" s="3696"/>
      <c r="AA6" s="3669"/>
      <c r="AB6" s="3669"/>
      <c r="AC6" s="3765"/>
    </row>
    <row r="7" spans="1:29" s="108" customFormat="1" ht="15.75" thickBot="1">
      <c r="A7" s="362" t="s">
        <v>1679</v>
      </c>
      <c r="B7" s="363"/>
      <c r="C7" s="364">
        <f>'数据-取费表'!B2</f>
        <v>45324</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72" t="s">
        <v>1680</v>
      </c>
      <c r="Q7" s="3698"/>
      <c r="R7" s="701" t="s">
        <v>14</v>
      </c>
      <c r="S7" s="702">
        <f t="shared" ref="S7:S15" si="0">F7</f>
        <v>100</v>
      </c>
      <c r="T7" s="701" t="s">
        <v>14</v>
      </c>
      <c r="U7" s="702">
        <f t="shared" ref="U7:U15" si="1">H7</f>
        <v>100</v>
      </c>
      <c r="V7" s="701" t="s">
        <v>14</v>
      </c>
      <c r="W7" s="702">
        <f t="shared" ref="W7:W15" si="2">J7</f>
        <v>100</v>
      </c>
      <c r="X7" s="703"/>
      <c r="Y7" s="3670" t="s">
        <v>1680</v>
      </c>
      <c r="Z7" s="3671"/>
      <c r="AA7" s="704">
        <f>D7/F7</f>
        <v>1</v>
      </c>
      <c r="AB7" s="704">
        <f>D7/H7</f>
        <v>1</v>
      </c>
      <c r="AC7" s="1959">
        <f>D7/J7</f>
        <v>1</v>
      </c>
    </row>
    <row r="8" spans="1:29" s="108" customFormat="1" ht="15.75" thickBot="1">
      <c r="A8" s="362" t="s">
        <v>1681</v>
      </c>
      <c r="B8" s="363"/>
      <c r="C8" s="368" t="s">
        <v>3402</v>
      </c>
      <c r="D8" s="365">
        <v>100</v>
      </c>
      <c r="E8" s="368" t="s">
        <v>3413</v>
      </c>
      <c r="F8" s="367">
        <f>SUMIF(62:62,E8,63:63)-SUMIF(62:62,C8,63:63)+100</f>
        <v>105</v>
      </c>
      <c r="G8" s="368" t="s">
        <v>3413</v>
      </c>
      <c r="H8" s="365">
        <f>SUMIF(62:62,G8,63:63)-SUMIF(62:62,C8,63:63)+100</f>
        <v>105</v>
      </c>
      <c r="I8" s="368" t="s">
        <v>3413</v>
      </c>
      <c r="J8" s="365">
        <f>SUMIF(62:62,I8,63:63)-SUMIF(62:62,C8,63:63)+100</f>
        <v>105</v>
      </c>
      <c r="K8" s="560"/>
      <c r="L8" s="2717"/>
      <c r="M8" s="2718"/>
      <c r="N8" s="2718"/>
      <c r="O8" s="2718"/>
      <c r="P8" s="3772" t="s">
        <v>1683</v>
      </c>
      <c r="Q8" s="3671"/>
      <c r="R8" s="701" t="s">
        <v>14</v>
      </c>
      <c r="S8" s="702">
        <f t="shared" si="0"/>
        <v>105</v>
      </c>
      <c r="T8" s="701" t="s">
        <v>14</v>
      </c>
      <c r="U8" s="702">
        <f t="shared" si="1"/>
        <v>105</v>
      </c>
      <c r="V8" s="701" t="s">
        <v>14</v>
      </c>
      <c r="W8" s="702">
        <f t="shared" si="2"/>
        <v>105</v>
      </c>
      <c r="X8" s="703"/>
      <c r="Y8" s="3670" t="s">
        <v>1683</v>
      </c>
      <c r="Z8" s="3671"/>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49" t="s">
        <v>3401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t="s">
        <v>3415</v>
      </c>
      <c r="D16" s="399"/>
      <c r="E16" s="1904" t="s">
        <v>3415</v>
      </c>
      <c r="F16" s="399"/>
      <c r="G16" s="1904" t="s">
        <v>3415</v>
      </c>
      <c r="H16" s="401"/>
      <c r="I16" s="1904" t="s">
        <v>3415</v>
      </c>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04" t="s">
        <v>3415</v>
      </c>
      <c r="D18" s="401"/>
      <c r="E18" s="1904" t="s">
        <v>3415</v>
      </c>
      <c r="F18" s="401"/>
      <c r="G18" s="1904" t="s">
        <v>3415</v>
      </c>
      <c r="H18" s="399"/>
      <c r="I18" s="1904" t="s">
        <v>3415</v>
      </c>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t="s">
        <v>3415</v>
      </c>
      <c r="D20" s="399"/>
      <c r="E20" s="1904" t="s">
        <v>3415</v>
      </c>
      <c r="F20" s="399"/>
      <c r="G20" s="1904" t="s">
        <v>3415</v>
      </c>
      <c r="H20" s="399"/>
      <c r="I20" s="1904" t="s">
        <v>3415</v>
      </c>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t="s">
        <v>3416</v>
      </c>
      <c r="D22" s="399"/>
      <c r="E22" s="1964" t="s">
        <v>3416</v>
      </c>
      <c r="F22" s="399"/>
      <c r="G22" s="1964" t="s">
        <v>3416</v>
      </c>
      <c r="H22" s="399"/>
      <c r="I22" s="1964" t="s">
        <v>3416</v>
      </c>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t="s">
        <v>3415</v>
      </c>
      <c r="D24" s="399"/>
      <c r="E24" s="1904" t="s">
        <v>3415</v>
      </c>
      <c r="F24" s="399"/>
      <c r="G24" s="1904" t="s">
        <v>3415</v>
      </c>
      <c r="H24" s="399"/>
      <c r="I24" s="1904" t="s">
        <v>3415</v>
      </c>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1783</v>
      </c>
      <c r="C27" s="582" t="s">
        <v>3403</v>
      </c>
      <c r="D27" s="386">
        <v>100</v>
      </c>
      <c r="E27" s="565" t="s">
        <v>3404</v>
      </c>
      <c r="F27" s="386">
        <f>SUMIF(89:89,E27,90:90)-SUMIF(89:89,C27,90:90)+100</f>
        <v>98</v>
      </c>
      <c r="G27" s="582" t="s">
        <v>3403</v>
      </c>
      <c r="H27" s="386">
        <f>SUMIF(89:89,G27,90:90)-SUMIF(89:89,C27,90:90)+100</f>
        <v>100</v>
      </c>
      <c r="I27" s="565" t="s">
        <v>3403</v>
      </c>
      <c r="J27" s="386">
        <f>SUMIF(89:89,I27,90:90)-SUMIF(89:89,C27,90:90)+100</f>
        <v>100</v>
      </c>
      <c r="K27" s="561">
        <v>2</v>
      </c>
      <c r="L27" s="2722"/>
      <c r="M27" s="2716"/>
      <c r="N27" s="2716"/>
      <c r="O27" s="2716"/>
      <c r="P27" s="3712"/>
      <c r="Q27" s="1352" t="str">
        <f t="shared" ref="Q27:Q47" si="11">B27</f>
        <v>楼层</v>
      </c>
      <c r="R27" s="705" t="s">
        <v>14</v>
      </c>
      <c r="S27" s="706">
        <f>F27</f>
        <v>98</v>
      </c>
      <c r="T27" s="705" t="s">
        <v>14</v>
      </c>
      <c r="U27" s="706">
        <f>H27</f>
        <v>100</v>
      </c>
      <c r="V27" s="705" t="s">
        <v>14</v>
      </c>
      <c r="W27" s="706">
        <f>J27</f>
        <v>100</v>
      </c>
      <c r="X27" s="1355"/>
      <c r="Y27" s="3705"/>
      <c r="Z27" s="1356" t="str">
        <f>Q27</f>
        <v>楼层</v>
      </c>
      <c r="AA27" s="1353">
        <f t="shared" si="3"/>
        <v>1.0204081632653061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t="s">
        <v>3406</v>
      </c>
      <c r="D33" s="418">
        <v>100</v>
      </c>
      <c r="E33" s="1967" t="s">
        <v>3406</v>
      </c>
      <c r="F33" s="412">
        <f>SUMIF(101:101,E33,102:102)-SUMIF(101:101,C33,102:102)+100</f>
        <v>100</v>
      </c>
      <c r="G33" s="1967" t="s">
        <v>3406</v>
      </c>
      <c r="H33" s="386">
        <f>SUMIF(101:101,G33,102:102)-SUMIF(101:101,C33,102:102)+100</f>
        <v>100</v>
      </c>
      <c r="I33" s="1967" t="s">
        <v>3406</v>
      </c>
      <c r="J33" s="418">
        <f>SUMIF(101:101,I33,102:102)-SUMIF(101:101,C33,102:102)+100</f>
        <v>100</v>
      </c>
      <c r="K33" s="561"/>
      <c r="L33" s="2722"/>
      <c r="M33" s="2716"/>
      <c r="N33" s="2716"/>
      <c r="O33" s="2716"/>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229.53</v>
      </c>
      <c r="D34" s="127">
        <v>100</v>
      </c>
      <c r="E34" s="381">
        <v>50</v>
      </c>
      <c r="F34" s="376">
        <f>LOOKUP(E34,104:104,105:105)-LOOKUP(C34,104:104,105:105)+100</f>
        <v>102</v>
      </c>
      <c r="G34" s="380">
        <v>67</v>
      </c>
      <c r="H34" s="127">
        <f>LOOKUP(G34,104:104,105:105)-LOOKUP(C34,104:104,105:105)+100</f>
        <v>102</v>
      </c>
      <c r="I34" s="380">
        <v>41</v>
      </c>
      <c r="J34" s="127">
        <f>LOOKUP(I34,104:104,105:105)-LOOKUP(C34,104:104,105:105)+100</f>
        <v>102</v>
      </c>
      <c r="K34" s="562"/>
      <c r="L34" s="2721"/>
      <c r="M34" s="2723"/>
      <c r="N34" s="2723"/>
      <c r="O34" s="2723"/>
      <c r="P34" s="3707"/>
      <c r="Q34" s="707" t="str">
        <f t="shared" si="11"/>
        <v>项目建筑规模</v>
      </c>
      <c r="R34" s="708" t="s">
        <v>14</v>
      </c>
      <c r="S34" s="709">
        <f t="shared" si="12"/>
        <v>102</v>
      </c>
      <c r="T34" s="708" t="s">
        <v>14</v>
      </c>
      <c r="U34" s="709">
        <f t="shared" si="13"/>
        <v>102</v>
      </c>
      <c r="V34" s="708" t="s">
        <v>14</v>
      </c>
      <c r="W34" s="709">
        <f t="shared" si="14"/>
        <v>102</v>
      </c>
      <c r="X34" s="710"/>
      <c r="Y34" s="3709"/>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t="s">
        <v>3409</v>
      </c>
      <c r="D36" s="386">
        <v>100</v>
      </c>
      <c r="E36" s="411" t="s">
        <v>3409</v>
      </c>
      <c r="F36" s="412">
        <f>SUMIF(108:108,E36,109:109)-SUMIF(108:108,C36,109:109)+100</f>
        <v>100</v>
      </c>
      <c r="G36" s="411" t="s">
        <v>3409</v>
      </c>
      <c r="H36" s="386">
        <f>SUMIF(108:108,G36,109:109)-SUMIF(108:108,C36,109:109)+100</f>
        <v>100</v>
      </c>
      <c r="I36" s="411" t="s">
        <v>3409</v>
      </c>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c r="L37" s="2722"/>
      <c r="M37" s="2716"/>
      <c r="N37" s="2716"/>
      <c r="O37" s="2716"/>
      <c r="P37" s="3707"/>
      <c r="Q37" s="1352" t="str">
        <f t="shared" si="11"/>
        <v>成新度</v>
      </c>
      <c r="R37" s="705" t="s">
        <v>14</v>
      </c>
      <c r="S37" s="706">
        <f t="shared" si="12"/>
        <v>100</v>
      </c>
      <c r="T37" s="705" t="s">
        <v>14</v>
      </c>
      <c r="U37" s="706">
        <f t="shared" si="13"/>
        <v>100</v>
      </c>
      <c r="V37" s="705" t="s">
        <v>14</v>
      </c>
      <c r="W37" s="706">
        <f t="shared" si="14"/>
        <v>100</v>
      </c>
      <c r="X37" s="1355"/>
      <c r="Y37" s="370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t="s">
        <v>3409</v>
      </c>
      <c r="D43" s="386">
        <v>100</v>
      </c>
      <c r="E43" s="411" t="s">
        <v>3409</v>
      </c>
      <c r="F43" s="412">
        <f>SUMIF(123:123,E43,124:124)-SUMIF(123:123,C43,124:124)+100</f>
        <v>100</v>
      </c>
      <c r="G43" s="411" t="s">
        <v>3409</v>
      </c>
      <c r="H43" s="386">
        <f>SUMIF(123:123,G43,124:124)-SUMIF(123:123,C43,124:124)+100</f>
        <v>100</v>
      </c>
      <c r="I43" s="411" t="s">
        <v>3409</v>
      </c>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t="s">
        <v>3415</v>
      </c>
      <c r="D44" s="386">
        <v>100</v>
      </c>
      <c r="E44" s="1906" t="s">
        <v>3415</v>
      </c>
      <c r="F44" s="412">
        <f>SUMIF(125:125,E44,126:126)-SUMIF(125:125,C44,126:126)+100</f>
        <v>100</v>
      </c>
      <c r="G44" s="1906" t="s">
        <v>3415</v>
      </c>
      <c r="H44" s="386">
        <f>SUMIF(125:125,G44,126:126)-SUMIF(125:125,C44,126:126)+100</f>
        <v>100</v>
      </c>
      <c r="I44" s="1906" t="s">
        <v>3415</v>
      </c>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v>33000</v>
      </c>
      <c r="F48" s="1157"/>
      <c r="G48" s="1158">
        <v>30896</v>
      </c>
      <c r="H48" s="1159"/>
      <c r="I48" s="1156">
        <v>30000</v>
      </c>
      <c r="J48" s="436"/>
      <c r="K48" s="714"/>
      <c r="L48" s="2724"/>
      <c r="M48" s="2716"/>
      <c r="N48" s="2716"/>
      <c r="O48" s="2716"/>
      <c r="P48" s="3684" t="str">
        <f>A48</f>
        <v>成交单价（元/平方米）</v>
      </c>
      <c r="Q48" s="3702"/>
      <c r="R48" s="3703">
        <f>E48</f>
        <v>33000</v>
      </c>
      <c r="S48" s="3703"/>
      <c r="T48" s="3703">
        <f>G48</f>
        <v>30896</v>
      </c>
      <c r="U48" s="3703"/>
      <c r="V48" s="3703">
        <f>I48</f>
        <v>30000</v>
      </c>
      <c r="W48" s="3703"/>
      <c r="X48" s="397"/>
      <c r="Y48" s="712"/>
      <c r="Z48" s="397"/>
      <c r="AA48" s="397"/>
      <c r="AB48" s="397"/>
      <c r="AC48" s="578"/>
    </row>
    <row r="49" spans="1:29" ht="15.75" thickBot="1">
      <c r="A49" s="437" t="s">
        <v>1793</v>
      </c>
      <c r="B49" s="438"/>
      <c r="C49" s="1160">
        <f>R50</f>
        <v>29433</v>
      </c>
      <c r="D49" s="2317" t="s">
        <v>2137</v>
      </c>
      <c r="E49" s="1161">
        <f>R49</f>
        <v>31441</v>
      </c>
      <c r="F49" s="2318"/>
      <c r="G49" s="1160">
        <f>T49</f>
        <v>28848</v>
      </c>
      <c r="H49" s="2318"/>
      <c r="I49" s="1161">
        <f>V49</f>
        <v>28011</v>
      </c>
      <c r="J49" s="2318"/>
      <c r="K49" s="2320">
        <f>F49+H49+J49</f>
        <v>0</v>
      </c>
      <c r="L49" s="2724"/>
      <c r="M49" s="2716"/>
      <c r="N49" s="2716"/>
      <c r="O49" s="2716"/>
      <c r="P49" s="3684" t="str">
        <f>A49</f>
        <v>比较价值（元/平方米）</v>
      </c>
      <c r="Q49" s="3702"/>
      <c r="R49" s="3703">
        <f>IF(F1="售价",ROUND(PRODUCT(R48,AA7:AA47),0),ROUND(PRODUCT(R48,AA7:AA47),1))</f>
        <v>31441</v>
      </c>
      <c r="S49" s="3703"/>
      <c r="T49" s="3703">
        <f>IF(F1="售价",ROUND(PRODUCT(T48,AB7:AB47),0),ROUND(PRODUCT(T48,AB7:AB47),1))</f>
        <v>28848</v>
      </c>
      <c r="U49" s="3703"/>
      <c r="V49" s="3703">
        <f>IF(F1="售价",ROUND(PRODUCT(V48,AC7:AC47),0),ROUND(PRODUCT(V48,AC7:AC47),1))</f>
        <v>28011</v>
      </c>
      <c r="W49" s="3703"/>
      <c r="X49" s="397"/>
      <c r="Y49" s="397"/>
      <c r="Z49" s="397"/>
      <c r="AA49" s="397"/>
      <c r="AB49" s="397"/>
      <c r="AC49" s="578"/>
    </row>
    <row r="50" spans="1:29" ht="15.75" thickBot="1">
      <c r="A50" s="441" t="s">
        <v>1794</v>
      </c>
      <c r="B50" s="442"/>
      <c r="C50" s="1163">
        <f>R50</f>
        <v>29433</v>
      </c>
      <c r="D50" s="1163"/>
      <c r="E50" s="1163"/>
      <c r="F50" s="1163"/>
      <c r="G50" s="1163"/>
      <c r="H50" s="1163"/>
      <c r="I50" s="1163"/>
      <c r="J50" s="443"/>
      <c r="K50" s="715"/>
      <c r="L50" s="2724"/>
      <c r="M50" s="2716"/>
      <c r="N50" s="2716"/>
      <c r="O50" s="2716"/>
      <c r="P50" s="3773" t="str">
        <f>A50</f>
        <v>估价对象XX用房的比较价值（楼面单价，元/平方米）</v>
      </c>
      <c r="Q50" s="3774"/>
      <c r="R50" s="3775">
        <f>IF(F1="售价",ROUND(IF(D49="简单平均",AVERAGE(R49:V49),R49*F49+T49*H49+V49*J49),0),ROUND(IF(D49="简单平均",AVERAGE(R49:V49),R49*F49+T49*H49+V49*J49),1))</f>
        <v>29433</v>
      </c>
      <c r="S50" s="3775"/>
      <c r="T50" s="3775"/>
      <c r="U50" s="3775"/>
      <c r="V50" s="3775"/>
      <c r="W50" s="377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4.9584936865875839E-2</v>
      </c>
      <c r="F53" s="449" t="str">
        <f>IF(OR(E53&gt;=0.3,E53&lt;=-0.3),"超过30%","")</f>
        <v/>
      </c>
      <c r="G53" s="448">
        <f>IF(G48&lt;G49,G49/G48-1,G48/G49-1)</f>
        <v>7.0992789794786404E-2</v>
      </c>
      <c r="H53" s="449" t="str">
        <f>IF(OR(G53&gt;=0.3,G53&lt;=-0.3),"超过30%","")</f>
        <v/>
      </c>
      <c r="I53" s="448">
        <f>IF(I48&lt;I49,I49/I48-1,I48/I49-1)</f>
        <v>7.1007818357073926E-2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8.9884914032168695E-2</v>
      </c>
      <c r="F54" s="449" t="str">
        <f>IF(OR(E54&gt;=0.2,E54&lt;=-0.2),"超过20%","")</f>
        <v/>
      </c>
      <c r="G54" s="448">
        <f>IF(G49&lt;I49,I49/G49-1,G49/I49-1)</f>
        <v>2.9881118132162321E-2</v>
      </c>
      <c r="H54" s="449" t="str">
        <f>IF(OR(G54&gt;=0.2,G54&lt;=-0.2),"超过20%","")</f>
        <v/>
      </c>
      <c r="I54" s="448">
        <f>IF(I49&lt;E49,E49/I49-1,I49/E49-1)</f>
        <v>0.12245189389882549</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6.8099430346970413E-2</v>
      </c>
      <c r="F55" s="449" t="str">
        <f>IF(OR(E55&gt;=0.3,E55&lt;=-0.3),"超过30%","")</f>
        <v/>
      </c>
      <c r="G55" s="448">
        <f>IF(G48&lt;I48,I48/G48-1,G48/I48-1)</f>
        <v>2.9866666666666708E-2</v>
      </c>
      <c r="H55" s="449" t="str">
        <f>IF(OR(G55&gt;=0.3,G55&lt;=-0.3),"超过30%","")</f>
        <v/>
      </c>
      <c r="I55" s="448">
        <f>IF(I48&lt;E48,E48/I48-1,I48/E48-1)</f>
        <v>0.10000000000000009</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2" t="s">
        <v>3414</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t="s">
        <v>3403</v>
      </c>
      <c r="D89" s="503" t="s">
        <v>3404</v>
      </c>
      <c r="E89" s="503"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1" t="s">
        <v>3407</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0(含)-150</v>
      </c>
      <c r="D103" s="527" t="str">
        <f t="shared" ref="D103:L103" si="23">D104&amp;"(含)"&amp;"-"&amp;E104</f>
        <v>150(含)-300</v>
      </c>
      <c r="E103" s="527" t="str">
        <f t="shared" si="23"/>
        <v>300(含)-450</v>
      </c>
      <c r="F103" s="527" t="str">
        <f t="shared" si="23"/>
        <v>450(含)-1500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150</v>
      </c>
      <c r="E104" s="544">
        <v>300</v>
      </c>
      <c r="F104" s="544">
        <v>450</v>
      </c>
      <c r="G104" s="544">
        <v>1500</v>
      </c>
      <c r="H104" s="544">
        <v>2000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0" t="s">
        <v>3408</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0" t="s">
        <v>3410</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3416</v>
      </c>
      <c r="D117" s="503" t="s">
        <v>3473</v>
      </c>
      <c r="E117" s="503" t="s">
        <v>3474</v>
      </c>
      <c r="F117" s="503" t="s">
        <v>3475</v>
      </c>
      <c r="G117" s="503" t="s">
        <v>3476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t="s">
        <v>3409</v>
      </c>
      <c r="D123" s="503" t="s">
        <v>3411</v>
      </c>
      <c r="E123" s="503" t="s">
        <v>3412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2842</v>
      </c>
      <c r="B1" s="3778"/>
      <c r="C1" s="3778"/>
      <c r="D1" s="3778"/>
      <c r="E1" s="3778"/>
      <c r="F1" s="3778"/>
      <c r="G1" s="3779"/>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6"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7"/>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3184</v>
      </c>
      <c r="B1" s="3780"/>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1" t="s">
        <v>3235</v>
      </c>
      <c r="B1" s="3781"/>
      <c r="C1" s="3781"/>
      <c r="D1" s="3781"/>
      <c r="E1" s="3781"/>
      <c r="F1" s="3782"/>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AH50" sqref="AH50"/>
    </sheetView>
  </sheetViews>
  <sheetFormatPr defaultRowHeight="13.5"/>
  <cols>
    <col min="1" max="1" width="13.875" customWidth="1"/>
    <col min="11" max="17" width="0" hidden="1" customWidth="1"/>
    <col min="25" max="30" width="0" hidden="1" customWidth="1"/>
  </cols>
  <sheetData>
    <row r="1" spans="1:30">
      <c r="A1" s="3221">
        <f>基准地价修正!G23</f>
        <v>45324</v>
      </c>
      <c r="B1" s="3210" t="s">
        <v>3373</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3" t="s">
        <v>2830</v>
      </c>
      <c r="S23" s="3784"/>
      <c r="T23" s="3784"/>
      <c r="U23" s="3784"/>
      <c r="V23" s="3784"/>
      <c r="W23" s="3784"/>
      <c r="X23" s="3165"/>
      <c r="Y23" s="3783" t="s">
        <v>2831</v>
      </c>
      <c r="Z23" s="3784"/>
      <c r="AA23" s="3784"/>
      <c r="AB23" s="3784"/>
      <c r="AC23" s="3784"/>
      <c r="AD23" s="3784"/>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229.53</v>
      </c>
      <c r="C4" s="854">
        <f>项目基本情况!C18</f>
        <v>0</v>
      </c>
      <c r="D4" s="854">
        <f ca="1">结果表!D118</f>
        <v>342</v>
      </c>
      <c r="E4" s="854">
        <f ca="1">结果表!E118</f>
        <v>14921</v>
      </c>
      <c r="F4" s="854">
        <f ca="1">结果表!F118</f>
        <v>256</v>
      </c>
      <c r="G4" s="854">
        <f ca="1">结果表!G118</f>
        <v>11164</v>
      </c>
      <c r="H4" s="854">
        <f ca="1">结果表!H118</f>
        <v>599</v>
      </c>
      <c r="I4" s="854">
        <f ca="1">结果表!I118</f>
        <v>26085</v>
      </c>
    </row>
    <row r="5" spans="1:9" ht="30" customHeight="1">
      <c r="A5" s="3468" t="s">
        <v>927</v>
      </c>
      <c r="B5" s="3468"/>
      <c r="C5" s="3468"/>
      <c r="D5" s="3468" t="str">
        <f ca="1">结果表!D119</f>
        <v>叁佰肆拾贰万元整</v>
      </c>
      <c r="E5" s="3468"/>
      <c r="F5" s="3468" t="str">
        <f ca="1">结果表!F119</f>
        <v>贰佰伍拾陆万元整</v>
      </c>
      <c r="G5" s="3468"/>
      <c r="H5" s="3468" t="str">
        <f ca="1">结果表!H119</f>
        <v>伍佰玖拾玖万元整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599</v>
      </c>
      <c r="E8" s="3469"/>
      <c r="F8" s="3469"/>
      <c r="G8" s="3469"/>
      <c r="H8" s="3469"/>
      <c r="I8" s="3469"/>
    </row>
    <row r="9" spans="1:9" ht="15">
      <c r="A9" s="3468" t="s">
        <v>927</v>
      </c>
      <c r="B9" s="3468"/>
      <c r="C9" s="3468"/>
      <c r="D9" s="3468" t="str">
        <f ca="1">结果表!D123</f>
        <v>伍佰玖拾玖万元整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抵押净值</v>
      </c>
      <c r="B12" s="3469"/>
      <c r="C12" s="3469"/>
      <c r="D12" s="3469">
        <f ca="1">结果表!D126</f>
        <v>254</v>
      </c>
      <c r="E12" s="3469"/>
      <c r="F12" s="3469"/>
      <c r="G12" s="3469"/>
      <c r="H12" s="3469"/>
      <c r="I12" s="3469"/>
    </row>
    <row r="13" spans="1:9" ht="15.75" thickBot="1">
      <c r="A13" s="3473" t="s">
        <v>927</v>
      </c>
      <c r="B13" s="3473"/>
      <c r="C13" s="3473"/>
      <c r="D13" s="3473" t="str">
        <f ca="1">结果表!D127</f>
        <v>贰佰伍拾肆万元整</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45326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2159</v>
      </c>
      <c r="B17" s="3492"/>
      <c r="C17" s="3492"/>
      <c r="D17" s="3492"/>
      <c r="E17" s="3492"/>
      <c r="F17" s="3492"/>
      <c r="G17" s="3492"/>
      <c r="H17" s="3492"/>
    </row>
    <row r="18" spans="1:8" ht="24" customHeight="1">
      <c r="A18" s="3493" t="s">
        <v>2160</v>
      </c>
      <c r="B18" s="3493"/>
      <c r="C18" s="3493"/>
      <c r="D18" s="2343"/>
      <c r="E18" s="3494" t="s">
        <v>2161</v>
      </c>
      <c r="F18" s="3493"/>
      <c r="G18" s="349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(元)</vt:lpstr>
      <vt:lpstr>典型户型修正</vt:lpstr>
      <vt:lpstr>基准地价（汇总）</vt:lpstr>
      <vt:lpstr>Sheet1</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2024-02-04T07:00:46Z</dcterms:modified>
</cp:coreProperties>
</file>