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丰联广场\"/>
    </mc:Choice>
  </mc:AlternateContent>
  <xr:revisionPtr revIDLastSave="0" documentId="13_ncr:1_{8662241E-2B5C-495A-8E78-43E3E7A41D41}" xr6:coauthVersionLast="47" xr6:coauthVersionMax="47" xr10:uidLastSave="{00000000-0000-0000-0000-000000000000}"/>
  <bookViews>
    <workbookView xWindow="-120" yWindow="-120" windowWidth="19440" windowHeight="15000" tabRatio="837"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3" i="43" l="1"/>
  <c r="G64" i="43"/>
  <c r="G65" i="43"/>
  <c r="G66" i="43"/>
  <c r="G67" i="43"/>
  <c r="G68" i="43"/>
  <c r="G69" i="43"/>
  <c r="G70" i="43"/>
  <c r="G62" i="43"/>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s="1"/>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C28"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C31" i="12" l="1"/>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F46" i="36" l="1"/>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C34" i="43" l="1"/>
  <c r="E34" i="43" s="1"/>
  <c r="H46" i="36"/>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6" i="76"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Q49" i="67"/>
  <c r="J14" i="67"/>
  <c r="J13" i="67" s="1"/>
  <c r="J23" i="67" s="1"/>
  <c r="C29" i="15"/>
  <c r="C33" i="15" s="1"/>
  <c r="C31" i="15" s="1"/>
  <c r="J59" i="67"/>
  <c r="J60" i="67" s="1"/>
  <c r="L46" i="67" s="1"/>
  <c r="J19" i="67"/>
  <c r="J17" i="67" s="1"/>
  <c r="C57" i="67"/>
  <c r="C64" i="67" s="1"/>
  <c r="E6" i="76"/>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B21" i="72"/>
  <c r="D7" i="53"/>
  <c r="H102" i="9"/>
  <c r="B49" i="72"/>
  <c r="D5" i="52"/>
  <c r="D119" i="9"/>
  <c r="C105" i="9"/>
  <c r="I4" i="52"/>
  <c r="M54" i="9"/>
  <c r="D56" i="9"/>
  <c r="D58" i="9"/>
  <c r="C97" i="9"/>
  <c r="B22" i="72"/>
  <c r="D6" i="53"/>
  <c r="D5" i="53"/>
  <c r="B20" i="72"/>
  <c r="B51" i="72"/>
  <c r="F4" i="52"/>
  <c r="M55" i="9"/>
  <c r="D59" i="9"/>
  <c r="B48" i="72"/>
  <c r="E4" i="52"/>
  <c r="C73" i="9"/>
  <c r="C78" i="9"/>
  <c r="M48" i="9"/>
  <c r="C6" i="74"/>
  <c r="G14" i="74"/>
  <c r="B6" i="74"/>
  <c r="D6" i="74"/>
  <c r="B31" i="72"/>
  <c r="D15" i="53"/>
  <c r="H108" i="9"/>
  <c r="D8" i="52"/>
  <c r="D122" i="9"/>
  <c r="D123" i="9"/>
  <c r="D9" i="52"/>
  <c r="B53" i="72"/>
  <c r="F5" i="52"/>
  <c r="F119" i="9"/>
  <c r="B52" i="72"/>
  <c r="F118" i="9"/>
  <c r="G118" i="9"/>
  <c r="G4" i="52"/>
  <c r="C64" i="9"/>
  <c r="C63" i="9"/>
  <c r="C67" i="9"/>
  <c r="C68" i="9"/>
  <c r="D54" i="9"/>
  <c r="E118" i="9"/>
  <c r="D118" i="9"/>
  <c r="D4" i="52"/>
  <c r="B47" i="72"/>
  <c r="C85" i="9"/>
  <c r="C95" i="9"/>
  <c r="C96" i="9"/>
  <c r="E96" i="9"/>
  <c r="E97" i="9"/>
  <c r="C86" i="9"/>
  <c r="C93" i="9"/>
  <c r="B30" i="72"/>
  <c r="H107" i="9"/>
  <c r="D13" i="53"/>
  <c r="D14" i="53"/>
  <c r="B32" i="72"/>
  <c r="H5" i="52"/>
  <c r="H119" i="9"/>
  <c r="C81" i="9"/>
  <c r="C72" i="9"/>
  <c r="C79" i="9"/>
  <c r="C80" i="9"/>
  <c r="E80" i="9"/>
  <c r="E81" i="9"/>
  <c r="D53" i="9"/>
  <c r="D52" i="9"/>
  <c r="N58" i="9"/>
  <c r="P57" i="9"/>
  <c r="N60" i="9"/>
  <c r="H101" i="9"/>
  <c r="D45" i="9"/>
  <c r="D55" i="9"/>
  <c r="M53" i="9"/>
  <c r="N57" i="9"/>
  <c r="N59" i="9"/>
  <c r="N61" i="9"/>
  <c r="H4" i="52"/>
  <c r="C104" i="9"/>
  <c r="D5" i="74"/>
  <c r="B5" i="74"/>
  <c r="C5" i="74"/>
  <c r="F14" i="74"/>
  <c r="I118" i="9"/>
  <c r="H118" i="9"/>
  <c r="D14" i="74"/>
  <c r="E14"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<sst xmlns="http://schemas.openxmlformats.org/spreadsheetml/2006/main" count="7680" uniqueCount="3121">
  <si>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</si>
  <si>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</si>
  <si>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</si>
  <si>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</si>
  <si>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</si>
  <si>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</si>
  <si>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</si>
  <si>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</si>
  <si>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</si>
  <si>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</si>
  <si>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</si>
  <si>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</si>
  <si>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</si>
  <si>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</si>
  <si>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</si>
  <si>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</si>
  <si>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</si>
  <si>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</si>
  <si>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</si>
  <si>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</si>
  <si>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</si>
  <si>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</si>
  <si>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</si>
  <si>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</si>
  <si>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</si>
  <si>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</si>
  <si>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</si>
  <si>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</si>
  <si>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</si>
  <si>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</si>
  <si>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</si>
  <si>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</si>
  <si>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</si>
  <si>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</si>
  <si>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</si>
  <si>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</si>
  <si>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</si>
  <si>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</si>
  <si>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</si>
  <si>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</si>
  <si>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</si>
  <si>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</si>
  <si>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</si>
  <si>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</si>
  <si>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</si>
  <si>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</si>
  <si>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</si>
  <si>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</si>
  <si>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</si>
  <si>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</si>
  <si>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</si>
  <si>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</si>
  <si>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</si>
  <si>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</si>
  <si>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</si>
  <si>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</si>
  <si>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</si>
  <si>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</si>
  <si>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</si>
  <si>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</si>
  <si>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</si>
  <si>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</si>
  <si>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</si>
  <si>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</si>
  <si>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</si>
  <si>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</si>
  <si>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</si>
  <si>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</si>
  <si>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</si>
  <si>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</si>
  <si>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</si>
  <si>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</si>
  <si>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</si>
  <si>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</si>
  <si>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</si>
  <si>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</si>
  <si>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</si>
  <si>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</si>
  <si>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</si>
  <si>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</si>
  <si>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</si>
  <si>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</si>
  <si>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</si>
  <si>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</si>
  <si>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</si>
  <si>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</si>
  <si>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</si>
  <si>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</si>
  <si>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</si>
  <si>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</si>
  <si>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</si>
  <si>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</si>
  <si>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</si>
  <si>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</si>
  <si>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</si>
  <si>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</si>
  <si>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</si>
  <si>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</si>
  <si>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</si>
  <si>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</si>
  <si>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</si>
  <si>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</si>
  <si>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</si>
  <si>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</si>
  <si>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</si>
  <si>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</si>
  <si>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</si>
  <si>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</si>
  <si>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</si>
  <si>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</si>
  <si>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</si>
  <si>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</si>
  <si>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</si>
  <si>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</si>
  <si>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</si>
  <si>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</si>
  <si>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</si>
  <si>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</si>
  <si>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</si>
  <si>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</si>
  <si>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</si>
  <si>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</si>
  <si>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</si>
  <si>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</si>
  <si>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</si>
  <si>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</si>
  <si>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</si>
  <si>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</si>
  <si>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</si>
  <si>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</si>
  <si>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</si>
  <si>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</si>
  <si>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</si>
  <si>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</si>
  <si>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</si>
  <si>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</si>
  <si>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</si>
  <si>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</si>
  <si>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</si>
  <si>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</si>
  <si>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</si>
  <si>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</si>
  <si>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</si>
  <si>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</si>
  <si>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</si>
  <si>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</si>
  <si>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</si>
  <si>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</si>
  <si>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</si>
  <si>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</si>
  <si>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</si>
  <si>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</si>
  <si>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</si>
  <si>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</si>
  <si>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</si>
  <si>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</si>
  <si>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</si>
  <si>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</si>
  <si>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</si>
  <si>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</si>
  <si>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</si>
  <si>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</si>
  <si>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</si>
  <si>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</si>
  <si>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</si>
  <si>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</si>
  <si>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</si>
  <si>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</si>
  <si>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</si>
  <si>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</si>
  <si>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</si>
  <si>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</si>
  <si>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</si>
  <si>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</si>
  <si>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</si>
  <si>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</si>
  <si>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</si>
  <si>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</si>
  <si>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</si>
  <si>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</si>
  <si>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</si>
  <si>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</si>
  <si>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</si>
  <si>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</si>
  <si>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</si>
  <si>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</si>
  <si>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</si>
  <si>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</si>
  <si>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</si>
  <si>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</si>
  <si>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</si>
  <si>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</si>
  <si>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</si>
  <si>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</si>
  <si>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</si>
  <si>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</si>
  <si>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</si>
  <si>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</si>
  <si>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</si>
  <si>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</si>
  <si>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</si>
  <si>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</si>
  <si>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</si>
  <si>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</si>
  <si>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</si>
  <si>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</si>
  <si>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</si>
  <si>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</si>
  <si>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</si>
  <si>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</si>
  <si>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</si>
  <si>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</si>
  <si>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</si>
  <si>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</si>
  <si>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</si>
  <si>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</si>
  <si>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</si>
  <si>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</si>
  <si>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</si>
  <si>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</si>
  <si>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</si>
  <si>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</si>
  <si>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</si>
  <si>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</si>
  <si>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</si>
  <si>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</si>
  <si>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</si>
  <si>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</si>
  <si>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</si>
  <si>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</si>
  <si>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</si>
  <si>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</si>
  <si>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</si>
  <si>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</si>
  <si>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</si>
  <si>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</si>
  <si>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</si>
  <si>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</si>
  <si>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</si>
  <si>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</si>
  <si>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</si>
  <si>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</si>
  <si>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</si>
  <si>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</si>
  <si>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</si>
  <si>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</si>
  <si>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</si>
  <si>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</si>
  <si>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</si>
  <si>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</si>
  <si>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</si>
  <si>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</si>
  <si>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</si>
  <si>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</si>
  <si>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</si>
  <si>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</si>
  <si>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</si>
  <si>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</si>
  <si>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</si>
  <si>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</si>
  <si>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</si>
  <si>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</si>
  <si>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</si>
  <si>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</si>
  <si>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</si>
  <si>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</si>
  <si>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</si>
  <si>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</si>
  <si>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</si>
  <si>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</si>
  <si>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</si>
  <si>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</si>
  <si>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</si>
  <si>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</si>
  <si>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</si>
  <si>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</si>
  <si>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</si>
  <si>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</si>
  <si>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</si>
  <si>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</si>
  <si>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</si>
  <si>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</si>
  <si>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</si>
  <si>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</si>
  <si>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</si>
  <si>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</si>
  <si>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</si>
  <si>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</si>
  <si>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</si>
  <si>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</si>
  <si>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</si>
  <si>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</si>
  <si>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</si>
  <si>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</si>
  <si>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</si>
  <si>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</si>
  <si>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</si>
  <si>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</si>
  <si>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</si>
  <si>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</si>
  <si>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</si>
  <si>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</si>
  <si>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</si>
  <si>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</si>
  <si>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</si>
  <si>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</si>
  <si>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</si>
  <si>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</si>
  <si>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</si>
  <si>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</si>
  <si>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</si>
  <si>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</si>
  <si>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</si>
  <si>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</si>
  <si>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</si>
  <si>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</si>
  <si>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</si>
  <si>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</si>
  <si>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</si>
  <si>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</si>
  <si>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</si>
  <si>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</si>
  <si>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</si>
  <si>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</si>
  <si>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</si>
  <si>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</si>
  <si>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</si>
  <si>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</si>
  <si>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</si>
  <si>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</si>
  <si>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</si>
  <si>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</si>
  <si>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</si>
  <si>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</si>
  <si>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</si>
  <si>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</si>
  <si>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</si>
  <si>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</si>
  <si>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</si>
  <si>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</si>
  <si>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</si>
  <si>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</si>
  <si>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</si>
  <si>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</si>
  <si>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</si>
  <si>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</si>
  <si>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</si>
  <si>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</si>
  <si>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</si>
  <si>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</si>
  <si>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</si>
  <si>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</si>
  <si>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</si>
  <si>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</si>
  <si>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</si>
  <si>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</si>
  <si>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</si>
  <si>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</si>
  <si>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</si>
  <si>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</si>
  <si>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</si>
  <si>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</si>
  <si>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</si>
  <si>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</si>
  <si>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</si>
  <si>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</si>
  <si>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</si>
  <si>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</si>
  <si>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</si>
  <si>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</si>
  <si>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</si>
  <si>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</si>
  <si>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</si>
  <si>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</si>
  <si>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</si>
  <si>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</si>
  <si>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</si>
  <si>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</si>
  <si>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</si>
  <si>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</si>
  <si>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</si>
  <si>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</si>
  <si>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</si>
  <si>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</si>
  <si>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</si>
  <si>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</si>
  <si>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</si>
  <si>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</si>
  <si>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</si>
  <si>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</si>
  <si>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</si>
  <si>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</si>
  <si>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</si>
  <si>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</si>
  <si>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</si>
  <si>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</si>
  <si>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</si>
  <si>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</si>
  <si>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</si>
  <si>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</si>
  <si>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</si>
  <si>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</si>
  <si>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</si>
  <si>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</si>
  <si>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</si>
  <si>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</si>
  <si>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</si>
  <si>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</si>
  <si>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</si>
  <si>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</si>
  <si>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</si>
  <si>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</si>
  <si>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</si>
  <si>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</si>
  <si>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</si>
  <si>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</si>
  <si>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</si>
  <si>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</si>
  <si>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</si>
  <si>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</si>
  <si>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</si>
  <si>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</si>
  <si>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</si>
  <si>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</si>
  <si>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</si>
  <si>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</si>
  <si>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</si>
  <si>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</si>
  <si>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</si>
  <si>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</si>
  <si>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</si>
  <si>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</si>
  <si>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</si>
  <si>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</si>
  <si>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</si>
  <si>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</si>
  <si>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</si>
  <si>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</si>
  <si>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</si>
  <si>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</si>
  <si>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</si>
  <si>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</si>
  <si>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</si>
  <si>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</si>
  <si>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</si>
  <si>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</si>
  <si>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</si>
  <si>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</si>
  <si>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</si>
  <si>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</si>
  <si>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</si>
  <si>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</si>
  <si>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</si>
  <si>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</si>
  <si>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</si>
  <si>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</si>
  <si>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</si>
  <si>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</si>
  <si>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</si>
  <si>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</si>
  <si>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</si>
  <si>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</si>
  <si>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</si>
  <si>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</si>
  <si>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</si>
  <si>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</si>
  <si>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</si>
  <si>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</si>
  <si>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</si>
  <si>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</si>
  <si>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</si>
  <si>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</si>
  <si>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</si>
  <si>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</si>
  <si>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</si>
  <si>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</si>
  <si>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</si>
  <si>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</si>
  <si>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</si>
  <si>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</si>
  <si>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</si>
  <si>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</si>
  <si>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</si>
  <si>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</si>
  <si>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</si>
  <si>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</si>
  <si>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</si>
  <si>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</si>
  <si>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</si>
  <si>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</si>
  <si>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</si>
  <si>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</si>
  <si>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</si>
  <si>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</si>
  <si>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</si>
  <si>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</si>
  <si>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</si>
  <si>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</si>
  <si>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</si>
  <si>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</si>
  <si>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</si>
  <si>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</si>
  <si>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</si>
  <si>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</si>
  <si>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</si>
  <si>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</si>
  <si>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</si>
  <si>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</si>
  <si>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</si>
  <si>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</si>
  <si>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</si>
  <si>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</si>
  <si>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</si>
  <si>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</si>
  <si>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</si>
  <si>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</si>
  <si>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</si>
  <si>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</si>
  <si>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</si>
  <si>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</si>
  <si>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</si>
  <si>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</si>
  <si>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</si>
  <si>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</si>
  <si>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</si>
  <si>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</si>
  <si>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</si>
  <si>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</si>
  <si>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</si>
  <si>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</si>
  <si>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</si>
  <si>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</si>
  <si>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</si>
  <si>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</si>
  <si>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</si>
  <si>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</si>
  <si>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</si>
  <si>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</si>
  <si>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</si>
  <si>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</si>
  <si>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</si>
  <si>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</si>
  <si>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</si>
  <si>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</si>
  <si>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</si>
  <si>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</si>
  <si>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</si>
  <si>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</si>
  <si>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</si>
  <si>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</si>
  <si>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</si>
  <si>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</si>
  <si>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</si>
  <si>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</si>
  <si>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</si>
  <si>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</si>
  <si>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</si>
  <si>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</si>
  <si>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</si>
  <si>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</si>
  <si>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</si>
  <si>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</si>
  <si>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</si>
  <si>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</si>
  <si>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</si>
  <si>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</si>
  <si>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</si>
  <si>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</si>
  <si>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</si>
  <si>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</si>
  <si>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</si>
  <si>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</si>
  <si>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</si>
  <si>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</si>
  <si>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</si>
  <si>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</si>
  <si>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</si>
  <si>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</si>
  <si>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</si>
  <si>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</si>
  <si>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</si>
  <si>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</si>
  <si>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</si>
  <si>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</si>
  <si>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</si>
  <si>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</si>
  <si>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</si>
  <si>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</si>
  <si>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</si>
  <si>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</si>
  <si>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</si>
  <si>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</si>
  <si>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</si>
  <si>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</si>
  <si>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</si>
  <si>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</si>
  <si>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</si>
  <si>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</si>
  <si>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</si>
  <si>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</si>
  <si>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</si>
  <si>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</si>
  <si>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</si>
  <si>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</si>
  <si>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</si>
  <si>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</si>
  <si>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</si>
  <si>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</si>
  <si>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</si>
  <si>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</si>
  <si>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</si>
  <si>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</si>
  <si>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</si>
  <si>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</si>
  <si>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</si>
  <si>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</si>
  <si>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</si>
  <si>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</si>
  <si>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</si>
  <si>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</si>
  <si>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</si>
  <si>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</si>
  <si>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</si>
  <si>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</si>
  <si>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</si>
  <si>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</si>
  <si>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</si>
  <si>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</si>
  <si>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</si>
  <si>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</si>
  <si>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</si>
  <si>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</si>
  <si>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</si>
  <si>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</si>
  <si>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</si>
  <si>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</si>
  <si>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</si>
  <si>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</si>
  <si>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</si>
  <si>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</si>
  <si>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</si>
  <si>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</si>
  <si>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</si>
  <si>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</si>
  <si>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</si>
  <si>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</si>
  <si>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</si>
  <si>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</si>
  <si>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</si>
  <si>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</si>
  <si>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</si>
  <si>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</si>
  <si>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</si>
  <si>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</si>
  <si>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</si>
  <si>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</si>
  <si>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</si>
  <si>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</si>
  <si>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</si>
  <si>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</si>
  <si>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</si>
  <si>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</si>
  <si>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</si>
  <si>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</si>
  <si>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</si>
  <si>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</si>
  <si>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</si>
  <si>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</si>
  <si>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</si>
  <si>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</si>
  <si>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</si>
  <si>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</si>
  <si>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</si>
  <si>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</si>
  <si>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</si>
  <si>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</si>
  <si>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</si>
  <si>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</si>
  <si>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</si>
  <si>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</si>
  <si>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</si>
  <si>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</si>
  <si>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</si>
  <si>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</si>
  <si>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</si>
  <si>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</si>
  <si>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</si>
  <si>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</si>
  <si>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</si>
  <si>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</si>
  <si>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</si>
  <si>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</si>
  <si>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</si>
  <si>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</si>
  <si>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</si>
  <si>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</si>
  <si>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</si>
  <si>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</si>
  <si>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</si>
  <si>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</si>
  <si>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</si>
  <si>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</si>
  <si>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</si>
  <si>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</si>
  <si>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</si>
  <si>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</si>
  <si>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</si>
  <si>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</si>
  <si>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</si>
  <si>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</si>
  <si>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</si>
  <si>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</si>
  <si>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</si>
  <si>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</si>
  <si>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</si>
  <si>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</si>
  <si>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</si>
  <si>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</si>
  <si>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</si>
  <si>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</si>
  <si>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</si>
  <si>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</si>
  <si>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</si>
  <si>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</si>
  <si>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</si>
  <si>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</si>
  <si>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</si>
  <si>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</si>
  <si>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</si>
  <si>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</si>
  <si>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</si>
  <si>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</si>
  <si>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</si>
  <si>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</si>
  <si>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</si>
  <si>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</si>
  <si>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</si>
  <si>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</si>
  <si>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</si>
  <si>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</si>
  <si>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</si>
  <si>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</si>
  <si>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</si>
  <si>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</si>
  <si>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</si>
  <si>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</si>
  <si>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</si>
  <si>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</si>
  <si>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</si>
  <si>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</si>
  <si>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</si>
  <si>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</si>
  <si>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</si>
  <si>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</si>
  <si>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</si>
  <si>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</si>
  <si>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</si>
  <si>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</si>
  <si>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</si>
  <si>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</si>
  <si>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</si>
  <si>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</si>
  <si>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</si>
  <si>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</si>
  <si>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</si>
  <si>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</si>
  <si>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</si>
  <si>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</si>
  <si>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</si>
  <si>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</si>
  <si>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</si>
  <si>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</si>
  <si>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</si>
  <si>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</si>
  <si>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</si>
  <si>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</si>
  <si>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</si>
  <si>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</si>
  <si>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</si>
  <si>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</si>
  <si>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</si>
  <si>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</si>
  <si>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</si>
  <si>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</si>
  <si>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</si>
  <si>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</si>
  <si>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</si>
  <si>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</si>
  <si>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</si>
  <si>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</si>
  <si>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</si>
  <si>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</si>
  <si>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</si>
  <si>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</si>
  <si>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</si>
  <si>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</si>
  <si>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</si>
  <si>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</si>
  <si>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</si>
  <si>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</si>
  <si>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</si>
  <si>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</si>
  <si>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</si>
  <si>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</si>
  <si>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</si>
  <si>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</si>
  <si>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</si>
  <si>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</si>
  <si>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</si>
  <si>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</si>
  <si>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</si>
  <si>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</si>
  <si>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</si>
  <si>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</si>
  <si>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</si>
  <si>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</si>
  <si>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</si>
  <si>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</si>
  <si>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</si>
  <si>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</si>
  <si>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</si>
  <si>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</si>
  <si>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</si>
  <si>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</si>
  <si>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</si>
  <si>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</si>
  <si>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</si>
  <si>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</si>
  <si>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</si>
  <si>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</si>
  <si>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</si>
  <si>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</si>
  <si>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</si>
  <si>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</si>
  <si>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</si>
  <si>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</si>
  <si>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</si>
  <si>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</si>
  <si>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</si>
  <si>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</si>
  <si>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</si>
  <si>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</si>
  <si>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</si>
  <si>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</si>
  <si>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</si>
  <si>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</si>
  <si>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</si>
  <si>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</si>
  <si>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</si>
  <si>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</si>
  <si>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</si>
  <si>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</si>
  <si>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</si>
  <si>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</si>
  <si>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</si>
  <si>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</si>
  <si>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</si>
  <si>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</si>
  <si>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</si>
  <si>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</si>
  <si>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</si>
  <si>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</si>
  <si>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</si>
  <si>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</si>
  <si>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</si>
  <si>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</si>
  <si>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</si>
  <si>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</si>
  <si>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</si>
  <si>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</si>
  <si>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</si>
  <si>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</si>
  <si>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</si>
  <si>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</si>
  <si>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</si>
  <si>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</si>
  <si>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</si>
  <si>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</si>
  <si>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</si>
  <si>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</si>
  <si>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</si>
  <si>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</si>
  <si>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</si>
  <si>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</si>
  <si>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</si>
  <si>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</si>
  <si>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</si>
  <si>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</si>
  <si>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</si>
  <si>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</si>
  <si>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</si>
  <si>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</si>
  <si>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</si>
  <si>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</si>
  <si>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</si>
  <si>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</si>
  <si>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</si>
  <si>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</si>
  <si>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</si>
  <si>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</si>
  <si>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</si>
  <si>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</si>
  <si>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</si>
  <si>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</si>
  <si>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</si>
  <si>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</si>
  <si>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</si>
  <si>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</si>
  <si>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</si>
  <si>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</si>
  <si>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</si>
  <si>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</si>
  <si>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</si>
  <si>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</si>
  <si>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</si>
  <si>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</si>
  <si>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</si>
  <si>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</si>
  <si>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</si>
  <si>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</si>
  <si>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</si>
  <si>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</si>
  <si>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</si>
  <si>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</si>
  <si>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</si>
  <si>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</si>
  <si>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</si>
  <si>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</si>
  <si>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</si>
  <si>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</si>
  <si>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</si>
  <si>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</si>
  <si>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</si>
  <si>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</si>
  <si>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</si>
  <si>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</si>
  <si>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</si>
  <si>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</si>
  <si>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</si>
  <si>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</si>
  <si>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</si>
  <si>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</si>
  <si>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</si>
  <si>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</si>
  <si>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</si>
  <si>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</si>
  <si>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</si>
  <si>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</si>
  <si>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</si>
  <si>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</si>
  <si>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</si>
  <si>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</si>
  <si>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</si>
  <si>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</si>
  <si>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</si>
  <si>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</si>
  <si>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</si>
  <si>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</si>
  <si>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</si>
  <si>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</si>
  <si>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</si>
  <si>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</si>
  <si>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</si>
  <si>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</si>
  <si>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</si>
  <si>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</si>
  <si>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</si>
  <si>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</si>
  <si>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</si>
  <si>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</si>
  <si>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</si>
  <si>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</si>
  <si>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</si>
  <si>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</si>
  <si>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</si>
  <si>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</si>
  <si>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</si>
  <si>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</si>
  <si>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</si>
  <si>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</si>
  <si>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</si>
  <si>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</si>
  <si>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</si>
  <si>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</si>
  <si>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</si>
  <si>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</si>
  <si>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</si>
  <si>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</si>
  <si>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</si>
  <si>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</si>
  <si>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</si>
  <si>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</si>
  <si>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</si>
  <si>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</si>
  <si>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</si>
  <si>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</si>
  <si>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</si>
  <si>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</si>
  <si>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</si>
  <si>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</si>
  <si>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</si>
  <si>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</si>
  <si>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</si>
  <si>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</si>
  <si>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</si>
  <si>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</si>
  <si>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</si>
  <si>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</si>
  <si>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</si>
  <si>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</si>
  <si>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</si>
  <si>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</si>
  <si>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</si>
  <si>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</si>
  <si>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</si>
  <si>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</si>
  <si>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</si>
  <si>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</si>
  <si>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</si>
  <si>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</si>
  <si>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</si>
  <si>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</si>
  <si>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</si>
  <si>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</si>
  <si>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</si>
  <si>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</si>
  <si>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</si>
  <si>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</si>
  <si>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</si>
  <si>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</si>
  <si>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</si>
  <si>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</si>
  <si>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</si>
  <si>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</si>
  <si>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</si>
  <si>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</si>
  <si>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</si>
  <si>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</si>
  <si>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</si>
  <si>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</si>
  <si>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</si>
  <si>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</si>
  <si>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</si>
  <si>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</si>
  <si>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</si>
  <si>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</si>
  <si>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</si>
  <si>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</si>
  <si>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</si>
  <si>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</si>
  <si>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</si>
  <si>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</si>
  <si>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</si>
  <si>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</si>
  <si>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</si>
  <si>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</si>
  <si>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</si>
  <si>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</si>
  <si>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</si>
  <si>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</si>
  <si>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</si>
  <si>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</si>
  <si>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</si>
  <si>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</si>
  <si>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</si>
  <si>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</si>
  <si>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</si>
  <si>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</si>
  <si>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</si>
  <si>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</si>
  <si>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</si>
  <si>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</si>
  <si>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</si>
  <si>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</si>
  <si>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</si>
  <si>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</si>
  <si>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</si>
  <si>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</si>
  <si>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</si>
  <si>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</si>
  <si>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</si>
  <si>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</si>
  <si>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</si>
  <si>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</si>
  <si>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</si>
  <si>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</si>
  <si>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</si>
  <si>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</si>
  <si>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</si>
  <si>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</si>
  <si>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</si>
  <si>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</si>
  <si>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</si>
  <si>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</si>
  <si>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</si>
  <si>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</si>
  <si>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</si>
  <si>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</si>
  <si>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</si>
  <si>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</si>
  <si>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</si>
  <si>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</si>
  <si>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</si>
  <si>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</si>
  <si>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</si>
  <si>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</si>
  <si>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</si>
  <si>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</si>
  <si>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</si>
  <si>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</si>
  <si>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</si>
  <si>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</si>
  <si>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</si>
  <si>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</si>
  <si>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</si>
  <si>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</si>
  <si>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</si>
  <si>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</si>
  <si>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</si>
  <si>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</si>
  <si>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</si>
  <si>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</si>
  <si>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</si>
  <si>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</si>
  <si>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</si>
  <si>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</si>
  <si>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</si>
  <si>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</si>
  <si>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</si>
  <si>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</si>
  <si>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</si>
  <si>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</si>
  <si>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</si>
  <si>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</si>
  <si>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</si>
  <si>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</si>
  <si>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</si>
  <si>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</si>
  <si>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</si>
  <si>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</si>
  <si>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</si>
  <si>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</si>
  <si>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</si>
  <si>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</si>
  <si>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</si>
  <si>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</si>
  <si>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</si>
  <si>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</si>
  <si>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</si>
  <si>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</si>
  <si>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</si>
  <si>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</si>
  <si>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</si>
  <si>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</si>
  <si>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</si>
  <si>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</si>
  <si>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</si>
  <si>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</si>
  <si>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</si>
  <si>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</si>
  <si>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</si>
  <si>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</si>
  <si>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</si>
  <si>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</si>
  <si>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</si>
  <si>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</si>
  <si>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</si>
  <si>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</si>
  <si>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</si>
  <si>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</si>
  <si>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</si>
  <si>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</si>
  <si>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</si>
  <si>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</si>
  <si>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</si>
  <si>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</si>
  <si>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</si>
  <si>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</si>
  <si>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</si>
  <si>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</si>
  <si>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</si>
  <si>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</si>
  <si>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</si>
  <si>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</si>
  <si>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</si>
  <si>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</si>
  <si>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</si>
  <si>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</si>
  <si>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</si>
  <si>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</si>
  <si>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</si>
  <si>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</si>
  <si>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</si>
  <si>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</si>
  <si>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</si>
  <si>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</si>
  <si>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</si>
  <si>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</si>
  <si>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</si>
  <si>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</si>
  <si>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</si>
  <si>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</si>
  <si>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</si>
  <si>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</si>
  <si>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</si>
  <si>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</si>
  <si>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</si>
  <si>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</si>
  <si>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</si>
  <si>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</si>
  <si>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</si>
  <si>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</si>
  <si>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</si>
  <si>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</si>
  <si>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</si>
  <si>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</si>
  <si>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</si>
  <si>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</si>
  <si>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</si>
  <si>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</si>
  <si>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</si>
  <si>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</si>
  <si>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</si>
  <si>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</si>
  <si>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</si>
  <si>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</si>
  <si>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</si>
  <si>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</si>
  <si>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</si>
  <si>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</si>
  <si>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</si>
  <si>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</si>
  <si>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</si>
  <si>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</si>
  <si>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</si>
  <si>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</si>
  <si>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</si>
  <si>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</si>
  <si>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</si>
  <si>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</si>
  <si>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</si>
  <si>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</si>
  <si>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</si>
  <si>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</si>
  <si>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</si>
  <si>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</si>
  <si>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</si>
  <si>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</si>
  <si>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</si>
  <si>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</si>
  <si>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</si>
  <si>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</si>
  <si>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</si>
  <si>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</si>
  <si>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</si>
  <si>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</si>
  <si>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</si>
  <si>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</si>
  <si>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</si>
  <si>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</si>
  <si>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</si>
  <si>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</si>
  <si>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</si>
  <si>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</si>
  <si>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</si>
  <si>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</si>
  <si>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</si>
  <si>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</si>
  <si>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</si>
  <si>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</si>
  <si>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</si>
  <si>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</si>
  <si>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</si>
  <si>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</si>
  <si>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</si>
  <si>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</si>
  <si>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</si>
  <si>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</si>
  <si>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</si>
  <si>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</si>
  <si>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</si>
  <si>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</si>
  <si>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</si>
  <si>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</si>
  <si>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</si>
  <si>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</si>
  <si>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</si>
  <si>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</si>
  <si>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</si>
  <si>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</si>
  <si>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</si>
  <si>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</si>
  <si>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</si>
  <si>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</si>
  <si>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</si>
  <si>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</si>
  <si>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</si>
  <si>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</si>
  <si>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</si>
  <si>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</si>
  <si>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</si>
  <si>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</si>
  <si>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</si>
  <si>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</si>
  <si>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</si>
  <si>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</si>
  <si>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</si>
  <si>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</si>
  <si>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</si>
  <si>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</si>
  <si>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</si>
  <si>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</si>
  <si>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</si>
  <si>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</si>
  <si>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</si>
  <si>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</si>
  <si>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</si>
  <si>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</si>
  <si>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</si>
  <si>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</si>
  <si>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</si>
  <si>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</si>
  <si>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</si>
  <si>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</si>
  <si>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</si>
  <si>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</si>
  <si>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</si>
  <si>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</si>
  <si>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</si>
  <si>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</si>
  <si>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</si>
  <si>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</si>
  <si>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</si>
  <si>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</si>
  <si>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</si>
  <si>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</si>
  <si>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</si>
  <si>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</si>
  <si>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</si>
  <si>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</si>
  <si>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</si>
  <si>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</si>
  <si>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</si>
  <si>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</si>
  <si>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</si>
  <si>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</si>
  <si>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</si>
  <si>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</si>
  <si>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</si>
  <si>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</si>
  <si>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</si>
  <si>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</si>
  <si>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</si>
  <si>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</si>
  <si>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</si>
  <si>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</si>
  <si>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</si>
  <si>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</si>
  <si>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</si>
  <si>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</si>
  <si>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</si>
  <si>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</si>
  <si>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</si>
  <si>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</si>
  <si>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</si>
  <si>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</si>
  <si>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</si>
  <si>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</si>
  <si>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</si>
  <si>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</si>
  <si>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</si>
  <si>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</si>
  <si>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</si>
  <si>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</si>
  <si>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</si>
  <si>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</si>
  <si>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</si>
  <si>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</si>
  <si>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</si>
  <si>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</si>
  <si>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</si>
  <si>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</si>
  <si>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</si>
  <si>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</si>
  <si>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</si>
  <si>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</si>
  <si>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</si>
  <si>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</si>
  <si>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</si>
  <si>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</si>
  <si>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</si>
  <si>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</si>
  <si>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</si>
  <si>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</si>
  <si>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</si>
  <si>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</si>
  <si>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</si>
  <si>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</si>
  <si>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</si>
  <si>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</si>
  <si>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</si>
  <si>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</si>
  <si>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</si>
  <si>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</si>
  <si>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</si>
  <si>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</si>
  <si>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</si>
  <si>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</si>
  <si>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</si>
  <si>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</si>
  <si>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</si>
  <si>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</si>
  <si>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</si>
  <si>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</si>
  <si>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</si>
  <si>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</si>
  <si>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</si>
  <si>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</si>
  <si>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</si>
  <si>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</si>
  <si>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</si>
  <si>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</si>
  <si>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</si>
  <si>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</si>
  <si>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</si>
  <si>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</si>
  <si>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</si>
  <si>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</si>
  <si>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</si>
  <si>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</si>
  <si>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</si>
  <si>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</si>
  <si>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</si>
  <si>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</si>
  <si>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</si>
  <si>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</si>
  <si>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</si>
  <si>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</si>
  <si>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</si>
  <si>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</si>
  <si>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</si>
  <si>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</si>
  <si>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</si>
  <si>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</si>
  <si>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</si>
  <si>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</si>
  <si>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</si>
  <si>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</si>
  <si>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</si>
  <si>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</si>
  <si>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</si>
  <si>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</si>
  <si>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</si>
  <si>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</si>
  <si>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</si>
  <si>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</si>
  <si>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</si>
  <si>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</si>
  <si>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</si>
  <si>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</si>
  <si>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</si>
  <si>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</si>
  <si>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</si>
  <si>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</si>
  <si>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</si>
  <si>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</si>
  <si>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</si>
  <si>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</si>
  <si>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</si>
  <si>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</si>
  <si>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</si>
  <si>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</si>
  <si>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</si>
  <si>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</si>
  <si>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</si>
  <si>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</si>
  <si>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</si>
  <si>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</si>
  <si>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</si>
  <si>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</si>
  <si>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</si>
  <si>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</si>
  <si>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</si>
  <si>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</si>
  <si>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</si>
  <si>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</si>
  <si>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</si>
  <si>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</si>
  <si>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</si>
  <si>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</si>
  <si>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</si>
  <si>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</si>
  <si>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</si>
  <si>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</si>
  <si>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</si>
  <si>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</si>
  <si>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</si>
  <si>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</si>
  <si>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</si>
  <si>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</si>
  <si>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</si>
  <si>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</si>
  <si>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</si>
  <si>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</si>
  <si>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</si>
  <si>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</si>
  <si>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</si>
  <si>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</si>
  <si>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</si>
  <si>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</si>
  <si>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</si>
  <si>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</si>
  <si>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</si>
  <si>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</si>
  <si>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</si>
  <si>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</si>
  <si>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</si>
  <si>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</si>
  <si>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</si>
  <si>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</si>
  <si>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</si>
  <si>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</si>
  <si>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</si>
  <si>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</si>
  <si>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</si>
  <si>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</si>
  <si>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</si>
  <si>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</si>
  <si>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</si>
  <si>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</si>
  <si>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</si>
  <si>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</si>
  <si>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</si>
  <si>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</si>
  <si>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</si>
  <si>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</si>
  <si>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</si>
  <si>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</si>
  <si>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</si>
  <si>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</si>
  <si>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</si>
  <si>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</si>
  <si>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</si>
  <si>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</si>
  <si>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</si>
  <si>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</si>
  <si>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</si>
  <si>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</si>
  <si>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</si>
  <si>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</si>
  <si>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</si>
  <si>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</si>
  <si>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</si>
  <si>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</si>
  <si>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</si>
  <si>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</si>
  <si>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</si>
  <si>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</si>
  <si>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</si>
  <si>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</si>
  <si>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</si>
  <si>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</si>
  <si>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</si>
  <si>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</si>
  <si>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</si>
  <si>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</si>
  <si>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</si>
  <si>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</si>
  <si>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</si>
  <si>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</si>
  <si>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</si>
  <si>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</si>
  <si>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</si>
  <si>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</si>
  <si>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</si>
  <si>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</si>
  <si>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</si>
  <si>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</si>
  <si>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</si>
  <si>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</si>
  <si>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</si>
  <si>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</si>
  <si>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</si>
  <si>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</si>
  <si>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</si>
  <si>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</si>
  <si>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</si>
  <si>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</si>
  <si>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</si>
  <si>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</si>
  <si>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</si>
  <si>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</si>
  <si>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</si>
  <si>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</si>
  <si>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</si>
  <si>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</si>
  <si>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</si>
  <si>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</si>
  <si>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</si>
  <si>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</si>
  <si>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</si>
  <si>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</si>
  <si>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</si>
  <si>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</si>
  <si>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</si>
  <si>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</si>
  <si>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</si>
  <si>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</si>
  <si>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</si>
  <si>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</si>
  <si>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</si>
  <si>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</si>
  <si>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</si>
  <si>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</si>
  <si>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</si>
  <si>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</si>
  <si>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</si>
  <si>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</si>
  <si>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</si>
  <si>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</si>
  <si>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</si>
  <si>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</si>
  <si>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</si>
  <si>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</si>
  <si>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</si>
  <si>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</si>
  <si>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</si>
  <si>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</si>
  <si>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</si>
  <si>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</si>
  <si>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</si>
  <si>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</si>
  <si>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</si>
  <si>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</si>
  <si>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</si>
  <si>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</si>
  <si>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</si>
  <si>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</si>
  <si>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</si>
  <si>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</si>
  <si>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</si>
  <si>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</si>
  <si>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</si>
  <si>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</si>
  <si>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</si>
  <si>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</si>
  <si>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</si>
  <si>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</si>
  <si>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</si>
  <si>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</si>
  <si>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</si>
  <si>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</si>
  <si>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</si>
  <si>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</si>
  <si>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</si>
  <si>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</si>
  <si>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</si>
  <si>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</si>
  <si>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</si>
  <si>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</si>
  <si>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</si>
  <si>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</si>
  <si>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</si>
  <si>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</si>
  <si>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</si>
  <si>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</si>
  <si>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</si>
  <si>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</si>
  <si>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</si>
  <si>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</si>
  <si>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</si>
  <si>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</si>
  <si>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</si>
  <si>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</si>
  <si>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</si>
  <si>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</si>
  <si>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</si>
  <si>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</si>
  <si>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</si>
  <si>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</si>
  <si>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</si>
  <si>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</si>
  <si>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</si>
  <si>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</si>
  <si>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</si>
  <si>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</si>
  <si>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</si>
  <si>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</si>
  <si>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</si>
  <si>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</si>
  <si>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</si>
  <si>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</si>
  <si>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</si>
  <si>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</si>
  <si>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</si>
  <si>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</si>
  <si>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</si>
  <si>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</si>
  <si>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</si>
  <si>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</si>
  <si>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</si>
  <si>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</si>
  <si>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</si>
  <si>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</si>
  <si>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</si>
  <si>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</si>
  <si>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</si>
  <si>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</si>
  <si>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</si>
  <si>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</si>
  <si>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</si>
  <si>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</si>
  <si>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</si>
  <si>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</si>
  <si>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</si>
  <si>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</si>
  <si>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</si>
  <si>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</si>
  <si>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</si>
  <si>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</si>
  <si>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</si>
  <si>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</si>
  <si>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</si>
  <si>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</si>
  <si>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</si>
  <si>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</si>
  <si>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</si>
  <si>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</si>
  <si>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</si>
  <si>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</si>
  <si>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</si>
  <si>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</si>
  <si>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</si>
  <si>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</si>
  <si>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</si>
  <si>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</si>
  <si>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</si>
  <si>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</si>
  <si>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</si>
  <si>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</si>
  <si>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</si>
  <si>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</si>
  <si>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</si>
  <si>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</si>
  <si>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</si>
  <si>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</si>
  <si>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</si>
  <si>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</si>
  <si>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</si>
  <si>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</si>
  <si>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</si>
  <si>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</si>
  <si>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</si>
  <si>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</si>
  <si>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</si>
  <si>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</si>
  <si>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</si>
  <si>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</si>
  <si>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</si>
  <si>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</si>
  <si>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</si>
  <si>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</si>
  <si>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</si>
  <si>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</si>
  <si>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</si>
  <si>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</si>
  <si>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</si>
  <si>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</si>
  <si>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</si>
  <si>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</si>
  <si>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</si>
  <si>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</si>
  <si>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</si>
  <si>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</si>
  <si>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</si>
  <si>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</si>
  <si>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</si>
  <si>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</si>
  <si>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</si>
  <si>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</si>
  <si>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</si>
  <si>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</si>
  <si>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</si>
  <si>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</si>
  <si>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</si>
  <si>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</si>
  <si>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</si>
  <si>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</si>
  <si>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</si>
  <si>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</si>
  <si>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</si>
  <si>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</si>
  <si>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</si>
  <si>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</si>
  <si>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</si>
  <si>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</si>
  <si>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</si>
  <si>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</si>
  <si>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</si>
  <si>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</si>
  <si>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</si>
  <si>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</si>
  <si>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</si>
  <si>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</si>
  <si>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</si>
  <si>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</si>
  <si>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</si>
  <si>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</si>
  <si>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</si>
  <si>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</si>
  <si>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</si>
  <si>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</si>
  <si>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</si>
  <si>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</si>
  <si>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</si>
  <si>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</si>
  <si>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</si>
  <si>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</si>
  <si>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</si>
  <si>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</si>
  <si>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</si>
  <si>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</si>
  <si>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</si>
  <si>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</si>
  <si>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</si>
  <si>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</si>
  <si>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</si>
  <si>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</si>
  <si>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</si>
  <si>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</si>
  <si>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</si>
  <si>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</si>
  <si>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</si>
  <si>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</si>
  <si>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</si>
  <si>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</si>
  <si>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</si>
  <si>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</si>
  <si>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</si>
  <si>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</si>
  <si>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</si>
  <si>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</si>
  <si>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</si>
  <si>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</si>
  <si>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</si>
  <si>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</si>
  <si>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</si>
  <si>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</si>
  <si>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</si>
  <si>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</si>
  <si>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</si>
  <si>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</si>
  <si>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</si>
  <si>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</si>
  <si>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</si>
  <si>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</si>
  <si>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</si>
  <si>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</si>
  <si>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</si>
  <si>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</si>
  <si>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</si>
  <si>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</si>
  <si>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</si>
  <si>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</si>
  <si>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</si>
  <si>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</si>
  <si>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</si>
  <si>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</si>
  <si>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</si>
  <si>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</si>
  <si>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</si>
  <si>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</si>
  <si>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</si>
  <si>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</si>
  <si>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</si>
  <si>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</si>
  <si>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</si>
  <si>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</si>
  <si>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</si>
  <si>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</si>
  <si>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</si>
  <si>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</si>
  <si>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</si>
  <si>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</si>
  <si>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</si>
  <si>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</si>
  <si>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</si>
  <si>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</si>
  <si>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</si>
  <si>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</si>
  <si>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</si>
  <si>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</si>
  <si>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</si>
  <si>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</si>
  <si>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</si>
  <si>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</si>
  <si>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</si>
  <si>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</si>
  <si>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</si>
  <si>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</si>
  <si>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</si>
  <si>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</si>
  <si>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</si>
  <si>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</si>
  <si>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</si>
  <si>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</si>
  <si>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</si>
  <si>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</si>
  <si>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</si>
  <si>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</si>
  <si>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</si>
  <si>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</si>
  <si>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</si>
  <si>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</si>
  <si>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</si>
  <si>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</si>
  <si>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</si>
  <si>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</si>
  <si>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</si>
  <si>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</si>
  <si>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</si>
  <si>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</si>
  <si>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</si>
  <si>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</si>
  <si>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</si>
  <si>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</si>
  <si>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</si>
  <si>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</si>
  <si>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</si>
  <si>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</si>
  <si>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</si>
  <si>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</si>
  <si>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</si>
  <si>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</si>
  <si>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</si>
  <si>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</si>
  <si>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</si>
  <si>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</si>
  <si>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</si>
  <si>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</si>
  <si>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</si>
  <si>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</si>
  <si>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</si>
  <si>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</si>
  <si>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</si>
  <si>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</si>
  <si>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</si>
  <si>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</si>
  <si>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</si>
  <si>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</si>
  <si>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</si>
  <si>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</si>
  <si>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</si>
  <si>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</si>
  <si>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</si>
  <si>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</si>
  <si>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</si>
  <si>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</si>
  <si>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</si>
  <si>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</si>
  <si>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</si>
  <si>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</si>
  <si>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</si>
  <si>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</si>
  <si>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</si>
  <si>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</si>
  <si>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</si>
  <si>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</si>
  <si>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</si>
  <si>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</si>
  <si>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</si>
  <si>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</si>
  <si>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</si>
  <si>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</si>
  <si>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</si>
  <si>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</si>
  <si>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</si>
  <si>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</si>
  <si>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</si>
  <si>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</si>
  <si>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</si>
  <si>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</si>
  <si>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</si>
  <si>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</si>
  <si>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</si>
  <si>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</si>
  <si>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</si>
  <si>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</si>
  <si>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</si>
  <si>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</si>
  <si>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</si>
  <si>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</si>
  <si>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</si>
  <si>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</si>
  <si>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</si>
  <si>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</si>
  <si>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</si>
  <si>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</si>
  <si>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</si>
  <si>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</si>
  <si>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</si>
  <si>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</si>
  <si>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</si>
  <si>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</si>
  <si>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</si>
  <si>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</si>
  <si>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</si>
  <si>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</si>
  <si>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</si>
  <si>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</si>
  <si>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</si>
  <si>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</si>
  <si>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</si>
  <si>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</si>
  <si>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</si>
  <si>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</si>
  <si>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</si>
  <si>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</si>
  <si>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</si>
  <si>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</si>
  <si>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</si>
  <si>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</si>
  <si>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</si>
  <si>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</si>
  <si>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</si>
  <si>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</si>
  <si>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</si>
  <si>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</si>
  <si>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</si>
  <si>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</si>
  <si>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</si>
  <si>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</si>
  <si>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</si>
  <si>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</si>
  <si>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</si>
  <si>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</si>
  <si>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</si>
  <si>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</si>
  <si>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</si>
  <si>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</si>
  <si>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</si>
  <si>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</si>
  <si>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</si>
  <si>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</si>
  <si>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</si>
  <si>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</si>
  <si>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</si>
  <si>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</si>
  <si>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</si>
  <si>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</si>
  <si>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</si>
  <si>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</si>
  <si>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</si>
  <si>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</si>
  <si>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</si>
  <si>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</si>
  <si>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</si>
  <si>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</si>
  <si>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</si>
  <si>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</si>
  <si>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</si>
  <si>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</si>
  <si>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</si>
  <si>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</si>
  <si>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</si>
  <si>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</si>
  <si>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</si>
  <si>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</si>
  <si>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</si>
  <si>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</si>
  <si>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</si>
  <si>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</si>
  <si>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</si>
  <si>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</si>
  <si>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</si>
  <si>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</si>
  <si>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</si>
  <si>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</si>
  <si>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</si>
  <si>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</si>
  <si>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</si>
  <si>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</si>
  <si>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</si>
  <si>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</si>
  <si>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</si>
  <si>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</si>
  <si>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</si>
  <si>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</si>
  <si>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</si>
  <si>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</si>
  <si>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</si>
  <si>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</si>
  <si>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</si>
  <si>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</si>
  <si>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</si>
  <si>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</si>
  <si>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</si>
  <si>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</si>
  <si>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</si>
  <si>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</si>
  <si>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</si>
  <si>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</si>
  <si>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</si>
  <si>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</si>
  <si>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</si>
  <si>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</si>
  <si>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</si>
  <si>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</si>
  <si>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</si>
  <si>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</si>
  <si>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</si>
  <si>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</si>
  <si>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</si>
  <si>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</si>
  <si>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</si>
  <si>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</si>
  <si>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</si>
  <si>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</si>
  <si>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</si>
  <si>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</si>
  <si>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</si>
  <si>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</si>
  <si>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</si>
  <si>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</si>
  <si>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</si>
  <si>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</si>
  <si>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</si>
  <si>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</si>
  <si>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</si>
  <si>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</si>
  <si>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</si>
  <si>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</si>
  <si>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</si>
  <si>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</si>
  <si>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</si>
  <si>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</si>
  <si>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</si>
  <si>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</si>
  <si>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</si>
  <si>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</si>
  <si>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</si>
  <si>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</si>
  <si>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</si>
  <si>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</si>
  <si>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</si>
  <si>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</si>
  <si>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</si>
  <si>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</si>
  <si>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</si>
  <si>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</si>
  <si>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</si>
  <si>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</si>
  <si>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</si>
  <si>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</si>
  <si>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</si>
  <si>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</si>
  <si>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</si>
  <si>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</si>
  <si>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</si>
  <si>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</si>
  <si>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</si>
  <si>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</si>
  <si>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</si>
  <si>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</si>
  <si>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</si>
  <si>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</si>
  <si>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</si>
  <si>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</si>
  <si>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</si>
  <si>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</si>
  <si>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</si>
  <si>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</si>
  <si>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</si>
  <si>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</si>
  <si>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</si>
  <si>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</si>
  <si>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</si>
  <si>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</si>
  <si>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</si>
  <si>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</si>
  <si>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</si>
  <si>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</si>
  <si>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</si>
  <si>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</si>
  <si>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</si>
  <si>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</si>
  <si>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</si>
  <si>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</si>
  <si>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</si>
  <si>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</si>
  <si>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</si>
  <si>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</si>
  <si>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</si>
  <si>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</si>
  <si>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</si>
  <si>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</si>
  <si>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</si>
  <si>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</si>
  <si>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</si>
  <si>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</si>
  <si>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</si>
  <si>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</si>
  <si>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</si>
  <si>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</si>
  <si>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</si>
  <si>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</si>
  <si>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</si>
  <si>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</si>
  <si>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</si>
  <si>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</si>
  <si>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</si>
  <si>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</si>
  <si>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</si>
  <si>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</si>
  <si>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</si>
  <si>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</si>
  <si>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</si>
  <si>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</si>
  <si>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</si>
  <si>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</si>
  <si>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</si>
  <si>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</si>
  <si>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</si>
  <si>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</si>
  <si>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</si>
  <si>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</si>
  <si>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</si>
  <si>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</si>
  <si>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</si>
  <si>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</si>
  <si>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</si>
  <si>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</si>
  <si>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</si>
  <si>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</si>
  <si>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</si>
  <si>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</si>
  <si>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</si>
  <si>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</si>
  <si>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</si>
  <si>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</si>
  <si>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</si>
  <si>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</si>
  <si>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</si>
  <si>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</si>
  <si>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</si>
  <si>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</si>
  <si>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</si>
  <si>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</si>
  <si>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</si>
  <si>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</si>
  <si>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</si>
  <si>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</si>
  <si>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</si>
  <si>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</si>
  <si>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</si>
  <si>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</si>
  <si>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</si>
  <si>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</si>
  <si>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</si>
  <si>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</si>
  <si>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</si>
  <si>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</si>
  <si>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</si>
  <si>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</si>
  <si>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</si>
  <si>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</si>
  <si>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</si>
  <si>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</si>
  <si>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</si>
  <si>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</si>
  <si>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</si>
  <si>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</si>
  <si>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</si>
  <si>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</si>
  <si>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</si>
  <si>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</si>
  <si>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</si>
  <si>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</si>
  <si>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</si>
  <si>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</si>
  <si>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</si>
  <si>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</si>
  <si>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</si>
  <si>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</si>
  <si>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</si>
  <si>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</si>
  <si>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</si>
  <si>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</si>
  <si>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</si>
  <si>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</si>
  <si>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</si>
  <si>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</si>
  <si>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</si>
  <si>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</si>
  <si>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</si>
  <si>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</si>
  <si>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</si>
  <si>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</si>
  <si>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</si>
  <si>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</si>
  <si>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</si>
  <si>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</si>
  <si>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</si>
  <si>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</si>
  <si>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</si>
  <si>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</si>
  <si>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</si>
  <si>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</si>
  <si>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</si>
  <si>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</si>
  <si>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</si>
  <si>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</si>
  <si>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</si>
  <si>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</si>
  <si>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</si>
  <si>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</si>
  <si>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</si>
  <si>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</si>
  <si>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</si>
  <si>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</si>
  <si>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</si>
  <si>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</si>
  <si>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</si>
  <si>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</si>
  <si>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</si>
  <si>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</si>
  <si>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</si>
  <si>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</si>
  <si>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</si>
  <si>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</si>
  <si>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</si>
  <si>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</si>
  <si>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</si>
  <si>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</si>
  <si>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</si>
  <si>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</si>
  <si>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</si>
  <si>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</si>
  <si>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</si>
  <si>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</si>
  <si>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</si>
  <si>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</si>
  <si>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</si>
  <si>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</si>
  <si>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</si>
  <si>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</si>
  <si>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</si>
  <si>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</si>
  <si>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</si>
  <si>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</si>
  <si>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</si>
  <si>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</si>
  <si>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</si>
  <si>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</si>
  <si>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</si>
  <si>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</si>
  <si>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</si>
  <si>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</si>
  <si>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</si>
  <si>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</si>
  <si>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</si>
  <si>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</si>
  <si>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</si>
  <si>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</si>
  <si>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</si>
  <si>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</si>
  <si>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</si>
  <si>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</si>
  <si>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</si>
  <si>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</si>
  <si>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</si>
  <si>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</si>
  <si>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</si>
  <si>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</si>
  <si>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</si>
  <si>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</si>
  <si>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</si>
  <si>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</si>
  <si>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</si>
  <si>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</si>
  <si>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</si>
  <si>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</si>
  <si>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</si>
  <si>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</si>
  <si>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</si>
  <si>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</si>
  <si>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</si>
  <si>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</si>
  <si>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</si>
  <si>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</si>
  <si>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</si>
  <si>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</si>
  <si>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</si>
  <si>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</si>
  <si>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</si>
  <si>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</si>
  <si>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</si>
  <si>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</si>
  <si>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</si>
  <si>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</si>
  <si>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</si>
  <si>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</si>
  <si>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</si>
  <si>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</si>
  <si>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</si>
  <si>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</si>
  <si>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</si>
  <si>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</si>
  <si>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</si>
  <si>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</si>
  <si>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</si>
  <si>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</si>
  <si>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</si>
  <si>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</si>
  <si>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</si>
  <si>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</si>
  <si>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</si>
  <si>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</si>
  <si>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</si>
  <si>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</si>
  <si>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</si>
  <si>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</si>
  <si>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</si>
  <si>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</si>
  <si>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</si>
  <si>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</si>
  <si>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</si>
  <si>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</si>
  <si>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</si>
  <si>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</si>
  <si>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</si>
  <si>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</si>
  <si>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</si>
  <si>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</si>
  <si>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</si>
  <si>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</si>
  <si>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</si>
  <si>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</si>
  <si>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</si>
  <si>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</si>
  <si>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</si>
  <si>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</si>
  <si>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</si>
  <si>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</si>
  <si>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</si>
  <si>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</si>
  <si>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</si>
  <si>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</si>
  <si>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</si>
  <si>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</si>
  <si>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</si>
  <si>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</si>
  <si>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</si>
  <si>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</si>
  <si>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</si>
  <si>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</si>
  <si>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</si>
  <si>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</si>
  <si>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</si>
  <si>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</si>
  <si>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</si>
  <si>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</si>
  <si>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</si>
  <si>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</si>
  <si>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</si>
  <si>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</si>
  <si>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</si>
  <si>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</si>
  <si>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</si>
  <si>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</si>
  <si>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</si>
  <si>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</si>
  <si>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</si>
  <si>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</si>
  <si>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</si>
  <si>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</si>
  <si>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</si>
  <si>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</si>
  <si>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</si>
  <si>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</si>
  <si>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</si>
  <si>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</si>
  <si>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</si>
  <si>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</si>
  <si>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</si>
  <si>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</si>
  <si>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</si>
  <si>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</si>
  <si>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</si>
  <si>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</si>
  <si>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</si>
  <si>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</si>
  <si>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</si>
  <si>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</si>
  <si>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</si>
  <si>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</si>
  <si>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</si>
  <si>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</si>
  <si>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</si>
  <si>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</si>
  <si>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</si>
  <si>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</si>
  <si>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</si>
  <si>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</si>
  <si>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</si>
  <si>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</si>
  <si>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</si>
  <si>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</si>
  <si>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</si>
  <si>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</si>
  <si>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</si>
  <si>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</si>
  <si>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</si>
  <si>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</si>
  <si>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</si>
  <si>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</si>
  <si>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</si>
  <si>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</si>
  <si>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</si>
  <si>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</si>
  <si>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</si>
  <si>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</si>
  <si>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</si>
  <si>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</si>
  <si>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</si>
  <si>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</si>
  <si>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</si>
  <si>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</si>
  <si>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</si>
  <si>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</si>
  <si>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</si>
  <si>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</si>
  <si>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</si>
  <si>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</si>
  <si>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</si>
  <si>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</si>
  <si>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</si>
  <si>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</si>
  <si>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</si>
  <si>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</si>
  <si>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</si>
  <si>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</si>
  <si>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</si>
  <si>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</si>
  <si>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</si>
  <si>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</si>
  <si>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</si>
  <si>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</si>
  <si>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</si>
  <si>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</si>
  <si>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</si>
  <si>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</si>
  <si>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</si>
  <si>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</si>
  <si>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</si>
  <si>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</si>
  <si>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</si>
  <si>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</si>
  <si>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</si>
  <si>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</si>
  <si>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</si>
  <si>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</si>
  <si>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</si>
  <si>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</si>
  <si>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</si>
  <si>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</si>
  <si>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</si>
  <si>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</si>
  <si>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</si>
  <si>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</si>
  <si>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</si>
  <si>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</si>
  <si>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</si>
  <si>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</si>
  <si>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</si>
  <si>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</si>
  <si>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</si>
  <si>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</si>
  <si>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</si>
  <si>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</si>
  <si>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</si>
  <si>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</si>
  <si>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</si>
  <si>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</si>
  <si>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</si>
  <si>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</si>
  <si>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</si>
  <si>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</si>
  <si>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</si>
  <si>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</si>
  <si>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</si>
  <si>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</si>
  <si>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</si>
  <si>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</si>
  <si>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</si>
  <si>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</si>
  <si>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</si>
  <si>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</si>
  <si>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</si>
  <si>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</si>
  <si>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</si>
  <si>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</si>
  <si>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</si>
  <si>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</si>
  <si>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</si>
  <si>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</si>
  <si>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</si>
  <si>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</si>
  <si>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</si>
  <si>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</si>
  <si>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</si>
  <si>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</si>
  <si>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</si>
  <si>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</si>
  <si>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</si>
  <si>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</si>
  <si>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</si>
  <si>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</si>
  <si>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</si>
  <si>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</si>
  <si>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</si>
  <si>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</si>
  <si>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</si>
  <si>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</si>
  <si>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</si>
  <si>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</si>
  <si>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</si>
  <si>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</si>
  <si>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</si>
  <si>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</si>
  <si>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</si>
  <si>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</si>
  <si>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</si>
  <si>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</si>
  <si>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</si>
  <si>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</si>
  <si>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</si>
  <si>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</si>
  <si>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</si>
  <si>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</si>
  <si>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</si>
  <si>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</si>
  <si>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</si>
  <si>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</si>
  <si>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</si>
  <si>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</si>
  <si>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</si>
  <si>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</si>
  <si>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</si>
  <si>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</si>
  <si>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</si>
  <si>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</si>
  <si>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</si>
  <si>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</si>
  <si>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</si>
  <si>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</si>
  <si>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</si>
  <si>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</si>
  <si>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</si>
  <si>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</si>
  <si>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</si>
  <si>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</si>
  <si>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</si>
  <si>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</si>
  <si>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</si>
  <si>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</si>
  <si>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</si>
  <si>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</si>
  <si>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</si>
  <si>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</si>
  <si>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</si>
  <si>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</si>
  <si>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</si>
  <si>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</si>
  <si>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</si>
  <si>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</si>
  <si>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</si>
  <si>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</si>
  <si>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</si>
  <si>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</si>
  <si>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</si>
  <si>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</si>
  <si>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</si>
  <si>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</si>
  <si>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</si>
  <si>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</si>
  <si>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</si>
  <si>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</si>
  <si>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</si>
  <si>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</si>
  <si>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</si>
  <si>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</si>
  <si>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</si>
  <si>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</si>
  <si>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</si>
  <si>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</si>
  <si>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</si>
  <si>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</si>
  <si>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</si>
  <si>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</si>
  <si>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</si>
  <si>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</si>
  <si>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</si>
  <si>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</si>
  <si>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</si>
  <si>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</si>
  <si>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</si>
  <si>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</si>
  <si>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</si>
  <si>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</si>
  <si>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</si>
  <si>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</si>
  <si>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</si>
  <si>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</si>
  <si>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</si>
  <si>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</si>
  <si>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</si>
  <si>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</si>
  <si>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</si>
  <si>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</si>
  <si>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</si>
  <si>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</si>
  <si>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</si>
  <si>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</si>
  <si>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</si>
  <si>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</si>
  <si>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</si>
  <si>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</si>
  <si>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</si>
  <si>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</si>
  <si>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</si>
  <si>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</si>
  <si>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</si>
  <si>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</si>
  <si>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</si>
  <si>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</si>
  <si>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</si>
  <si>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</si>
  <si>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</si>
  <si>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</si>
  <si>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</si>
  <si>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</si>
  <si>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</si>
  <si>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</si>
  <si>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</si>
  <si>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</si>
  <si>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</si>
  <si>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</si>
  <si>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</si>
  <si>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</si>
  <si>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</si>
  <si>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</si>
  <si>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</si>
  <si>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</si>
  <si>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</si>
  <si>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</si>
  <si>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</si>
  <si>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</si>
  <si>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</si>
  <si>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</si>
  <si>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</si>
  <si>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</si>
  <si>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</si>
  <si>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</si>
  <si>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</si>
  <si>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</si>
  <si>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</si>
  <si>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</si>
  <si>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</si>
  <si>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</si>
  <si>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</si>
  <si>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</si>
  <si>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</si>
  <si>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</si>
  <si>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</si>
  <si>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</si>
  <si>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</si>
  <si>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</si>
  <si>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</si>
  <si>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</si>
  <si>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</si>
  <si>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</si>
  <si>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</si>
  <si>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</si>
  <si>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</si>
  <si>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</si>
  <si>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</si>
  <si>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</si>
  <si>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</si>
  <si>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</si>
  <si>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</si>
  <si>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</si>
  <si>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</si>
  <si>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</si>
  <si>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</si>
  <si>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</si>
  <si>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</si>
  <si>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</si>
  <si>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</si>
  <si>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</si>
  <si>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</si>
  <si>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</si>
  <si>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</si>
  <si>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</si>
  <si>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</si>
  <si>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</si>
  <si>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</si>
  <si>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</si>
  <si>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</si>
  <si>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</si>
  <si>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</si>
  <si>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</si>
  <si>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</si>
  <si>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</si>
  <si>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</si>
  <si>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</si>
  <si>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</si>
  <si>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</si>
  <si>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</si>
  <si>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</si>
  <si>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</si>
  <si>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</si>
  <si>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</si>
  <si>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</si>
  <si>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</si>
  <si>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</si>
  <si>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</si>
  <si>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</si>
  <si>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</si>
  <si>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</si>
  <si>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</si>
  <si>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</si>
  <si>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</si>
  <si>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</si>
  <si>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</si>
  <si>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</si>
  <si>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</si>
  <si>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</si>
  <si>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</si>
  <si>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</si>
  <si>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</si>
  <si>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</si>
  <si>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</si>
  <si>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</si>
  <si>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</si>
  <si>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</si>
  <si>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</si>
  <si>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</si>
  <si>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</si>
  <si>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</si>
  <si>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</si>
  <si>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</si>
  <si>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</si>
  <si>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</si>
  <si>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</si>
  <si>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</si>
  <si>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</si>
  <si>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</si>
  <si>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</si>
  <si>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</si>
  <si>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</si>
  <si>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</si>
  <si>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</si>
  <si>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</si>
  <si>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</si>
  <si>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</si>
  <si>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</si>
  <si>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</si>
  <si>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</si>
  <si>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</si>
  <si>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</si>
  <si>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</si>
  <si>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</si>
  <si>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</si>
  <si>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</si>
  <si>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</si>
  <si>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</si>
  <si>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</si>
  <si>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</si>
  <si>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</si>
  <si>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</si>
  <si>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</si>
  <si>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</si>
  <si>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</si>
  <si>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</si>
  <si>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</si>
  <si>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</si>
  <si>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</si>
  <si>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</si>
  <si>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</si>
  <si>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</si>
  <si>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</si>
  <si>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</si>
  <si>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</si>
  <si>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</si>
  <si>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</si>
  <si>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</si>
  <si>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</si>
  <si>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</si>
  <si>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</si>
  <si>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</si>
  <si>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</si>
  <si>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</si>
  <si>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</si>
  <si>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</si>
  <si>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</si>
  <si>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</si>
  <si>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</si>
  <si>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</si>
  <si>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</si>
  <si>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</si>
  <si>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</si>
  <si>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</si>
  <si>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</si>
  <si>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</si>
  <si>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</si>
  <si>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</si>
  <si>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</si>
  <si>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</si>
  <si>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</si>
  <si>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</si>
  <si>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</si>
  <si>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</si>
  <si>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</si>
  <si>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</si>
  <si>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</si>
  <si>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</si>
  <si>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</si>
  <si>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</si>
  <si>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</si>
  <si>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</si>
  <si>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</si>
  <si>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</si>
  <si>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</si>
  <si>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</si>
  <si>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</si>
  <si>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</si>
  <si>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</si>
  <si>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</si>
  <si>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</si>
  <si>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</si>
  <si>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</si>
  <si>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</si>
  <si>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</si>
  <si>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</si>
  <si>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</si>
  <si>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</si>
  <si>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</si>
  <si>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</si>
  <si>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</si>
  <si>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</si>
  <si>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</si>
  <si>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</si>
  <si>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</si>
  <si>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</si>
  <si>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</si>
  <si>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</si>
  <si>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</si>
  <si>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</si>
  <si>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</si>
  <si>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</si>
  <si>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</si>
  <si>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</si>
  <si>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</si>
  <si>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</si>
  <si>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</si>
  <si>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</si>
  <si>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</si>
  <si>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</si>
  <si>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</si>
  <si>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</si>
  <si>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</si>
  <si>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</si>
  <si>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</si>
  <si>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</si>
  <si>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</si>
  <si>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</si>
  <si>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</si>
  <si>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</si>
  <si>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</si>
  <si>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</si>
  <si>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</si>
  <si>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</si>
  <si>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</si>
  <si>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</si>
  <si>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</si>
  <si>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</si>
  <si>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</si>
  <si>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</si>
  <si>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</si>
  <si>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</si>
  <si>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</si>
  <si>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</si>
  <si>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</si>
  <si>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</si>
  <si>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</si>
  <si>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</si>
  <si>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</si>
  <si>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</si>
  <si>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</si>
  <si>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</si>
  <si>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</si>
  <si>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</si>
  <si>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</si>
  <si>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</si>
  <si>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</si>
  <si>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</si>
  <si>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</si>
  <si>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</si>
  <si>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</si>
  <si>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</si>
  <si>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</si>
  <si>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</si>
  <si>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</si>
  <si>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</si>
  <si>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</si>
  <si>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</si>
  <si>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</si>
  <si>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</si>
  <si>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</si>
  <si>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</si>
  <si>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</si>
  <si>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</si>
  <si>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</si>
  <si>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</si>
  <si>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</si>
  <si>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</si>
  <si>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</si>
  <si>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</si>
  <si>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</si>
  <si>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</si>
  <si>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</si>
  <si>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</si>
  <si>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</si>
  <si>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</si>
  <si>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</si>
  <si>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</si>
  <si>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</si>
  <si>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</si>
  <si>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</si>
  <si>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</si>
  <si>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</si>
  <si>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</si>
  <si>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</si>
  <si>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</si>
  <si>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</si>
  <si>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</si>
  <si>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</si>
  <si>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</si>
  <si>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</si>
  <si>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</si>
  <si>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</si>
  <si>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</si>
  <si>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</si>
  <si>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</si>
  <si>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</si>
  <si>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</si>
  <si>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</si>
  <si>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</si>
  <si>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</si>
  <si>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</si>
  <si>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</si>
  <si>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</si>
  <si>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</si>
  <si>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</si>
  <si>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</si>
  <si>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</si>
  <si>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</si>
  <si>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</si>
  <si>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</si>
  <si>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</si>
  <si>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</si>
  <si>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</si>
  <si>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</si>
  <si>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</si>
  <si>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</si>
  <si>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</si>
  <si>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</si>
  <si>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</si>
  <si>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</si>
  <si>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</si>
  <si>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</si>
  <si>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</si>
  <si>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</si>
  <si>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</si>
  <si>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</si>
  <si>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</si>
  <si>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</si>
  <si>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</si>
  <si>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</si>
  <si>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</si>
  <si>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</si>
  <si>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</si>
  <si>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</si>
  <si>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</si>
  <si>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</si>
  <si>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</si>
  <si>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</si>
  <si>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</si>
  <si>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</si>
  <si>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</si>
  <si>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</si>
  <si>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</si>
  <si>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</si>
  <si>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</si>
  <si>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</si>
  <si>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</si>
  <si>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</si>
  <si>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</si>
  <si>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</si>
  <si>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</si>
  <si>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北京市</t>
  </si>
  <si>
    <t>自然人</t>
  </si>
  <si>
    <t>出让</t>
  </si>
  <si>
    <t>容积率修正</t>
  </si>
  <si>
    <t>商务金融用地</t>
  </si>
  <si>
    <t>宗地容积率</t>
  </si>
  <si>
    <t>不临65条商业街</t>
  </si>
  <si>
    <t>与级别开发程度一致</t>
  </si>
  <si>
    <t>较好</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</si>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</sst>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2022年6月27日（评估专业人员实地查勘之日）</v>
      </c>
    </row>
    <row r="13" spans="1:2" s="1157" customFormat="1">
      <c r="A13" s="1155" t="s">
        <v>766</v>
      </c>
      <c r="B13" s="1156" t="str">
        <f>'预评函-1'!A18</f>
        <v>本次估价的“房地产价值”是指在正常市场情况下，在价值时点2022年6月27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80" zoomScaleNormal="100" zoomScaleSheetLayoutView="80" workbookViewId="0">
      <selection activeCell="D42" sqref="D42"/>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北京市房地产抵押价值预评估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v>44739</v>
      </c>
      <c r="C3" s="2051" t="s">
        <v>2458</v>
      </c>
      <c r="D3" s="2050">
        <f>B3</f>
        <v>44739</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t="s">
        <v>3110</v>
      </c>
      <c r="C9" s="2072"/>
      <c r="D9" s="3383"/>
      <c r="E9" s="2071"/>
      <c r="F9" s="2073"/>
      <c r="G9" s="2345"/>
      <c r="H9" s="2345"/>
      <c r="I9" s="2345"/>
      <c r="J9" s="2118"/>
      <c r="K9" s="2295"/>
      <c r="L9" s="2292"/>
      <c r="M9" s="2292"/>
      <c r="N9" s="2118"/>
      <c r="O9" s="2129"/>
      <c r="P9" s="2118"/>
      <c r="Q9" s="2118"/>
      <c r="R9" s="2118"/>
    </row>
    <row r="10" spans="1:28" ht="13.5" thickTop="1">
      <c r="A10" s="2074" t="s">
        <v>2466</v>
      </c>
      <c r="B10" s="2075" t="s">
        <v>3111</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3113</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c r="E14" s="2086"/>
      <c r="F14" s="2086"/>
      <c r="G14" s="2086"/>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t="s">
        <v>208</v>
      </c>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t="s">
        <v>209</v>
      </c>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44739</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44739</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北京市房地产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44739</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IF(项目基本情况!B11="自然人","——",ROUND(F34*F35/10000,2))</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44739</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44739</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2022年6月27日（评估专业人员实地查勘之日）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27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44739</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0.3</v>
      </c>
      <c r="D61" s="914">
        <v>0.25</v>
      </c>
      <c r="E61" s="218">
        <f>'数据-汇总表'!E11</f>
        <v>0</v>
      </c>
      <c r="F61" s="855" t="e">
        <f t="shared" si="15"/>
        <v>#DIV/0!</v>
      </c>
      <c r="G61" s="1927" t="s">
        <v>2158</v>
      </c>
      <c r="H61" s="856" t="str">
        <f>项目基本情况!C37</f>
        <v>一级</v>
      </c>
      <c r="I61" s="860">
        <f>SUMIF(修正!A57:A68,H61,修正!E57:E68)</f>
        <v>0.3</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0.3</v>
      </c>
      <c r="D62" s="914">
        <v>0.25</v>
      </c>
      <c r="E62" s="218">
        <f>'数据-汇总表'!E12</f>
        <v>0</v>
      </c>
      <c r="F62" s="855" t="e">
        <f t="shared" si="15"/>
        <v>#DIV/0!</v>
      </c>
      <c r="G62" s="861" t="s">
        <v>2160</v>
      </c>
      <c r="H62" s="856" t="str">
        <f>IF(G62="商业",项目基本情况!B37,IF(G62="办公",项目基本情况!C37,IF(G62="住宅",项目基本情况!D37,项目基本情况!E37)))</f>
        <v>一级</v>
      </c>
      <c r="I62" s="860">
        <f>SUMIF(修正!A57:A68,H62,修正!F57:F68)</f>
        <v>0.3</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0.2</v>
      </c>
      <c r="D65" s="914">
        <v>0.25</v>
      </c>
      <c r="E65" s="218">
        <f>'数据-汇总表'!E15</f>
        <v>0</v>
      </c>
      <c r="F65" s="855" t="e">
        <f t="shared" si="15"/>
        <v>#DIV/0!</v>
      </c>
      <c r="G65" s="1928" t="s">
        <v>2158</v>
      </c>
      <c r="H65" s="866" t="str">
        <f>项目基本情况!C37</f>
        <v>一级</v>
      </c>
      <c r="I65" s="862">
        <f>SUMIF(修正!A57:A68,H65,修正!G57:G68)</f>
        <v>0.2</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0.3</v>
      </c>
      <c r="D56" s="914">
        <v>0.25</v>
      </c>
      <c r="E56" s="218">
        <f>'数据-汇总表'!E11</f>
        <v>0</v>
      </c>
      <c r="F56" s="642" t="e">
        <f t="shared" si="15"/>
        <v>#DIV/0!</v>
      </c>
      <c r="G56" s="1927" t="s">
        <v>2158</v>
      </c>
      <c r="H56" s="856" t="str">
        <f>项目基本情况!C37</f>
        <v>一级</v>
      </c>
      <c r="I56" s="748">
        <f>SUMIF(修正!A57:A68,H56,修正!E57:E68)</f>
        <v>0.3</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0.3</v>
      </c>
      <c r="D57" s="914">
        <v>0.25</v>
      </c>
      <c r="E57" s="218">
        <f>'数据-汇总表'!E12</f>
        <v>0</v>
      </c>
      <c r="F57" s="642" t="e">
        <f t="shared" si="15"/>
        <v>#DIV/0!</v>
      </c>
      <c r="G57" s="861" t="s">
        <v>2160</v>
      </c>
      <c r="H57" s="856" t="str">
        <f>IF(G57="商业",项目基本情况!B37,IF(G57="办公",项目基本情况!C37,IF(G57="住宅",项目基本情况!D37,项目基本情况!E37)))</f>
        <v>一级</v>
      </c>
      <c r="I57" s="748">
        <f>SUMIF(修正!A57:A68,H57,修正!F57:F68)</f>
        <v>0.3</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0.2</v>
      </c>
      <c r="D60" s="914">
        <v>0.25</v>
      </c>
      <c r="E60" s="218">
        <f>'数据-汇总表'!E15</f>
        <v>0</v>
      </c>
      <c r="F60" s="642" t="e">
        <f t="shared" si="15"/>
        <v>#DIV/0!</v>
      </c>
      <c r="G60" s="1928" t="s">
        <v>2158</v>
      </c>
      <c r="H60" s="866" t="str">
        <f>项目基本情况!C37</f>
        <v>一级</v>
      </c>
      <c r="I60" s="748">
        <f>SUMIF(修正!A57:A68,H60,修正!G57:G68)</f>
        <v>0.2</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view="pageBreakPreview" zoomScale="90" zoomScaleNormal="80" zoomScaleSheetLayoutView="90" workbookViewId="0">
      <selection activeCell="E64" sqref="E64"/>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0</v>
      </c>
      <c r="E1" s="3130"/>
      <c r="F1" s="3130"/>
      <c r="G1" s="3130"/>
      <c r="H1" s="3130"/>
      <c r="I1" s="3130"/>
      <c r="J1" s="3130"/>
      <c r="L1" s="3131" t="s">
        <v>2190</v>
      </c>
      <c r="M1" s="3132">
        <f>SUMPRODUCT((区片价!B5:B9=I2)*(区片价!C3:G3=E2)*(区片价!C5:G9))</f>
        <v>32510</v>
      </c>
      <c r="N1" s="2254">
        <f>SUMPRODUCT((因素修正幅度!B5:B9=I2)*(因素修正幅度!C3:G3=E2)*(因素修正幅度!C5:G9))</f>
        <v>8.2000000000000003E-2</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0</v>
      </c>
      <c r="C2" s="3138" t="s">
        <v>2197</v>
      </c>
      <c r="D2" s="2695" t="s">
        <v>2198</v>
      </c>
      <c r="E2" s="3139" t="s">
        <v>27</v>
      </c>
      <c r="F2" s="2695" t="s">
        <v>2199</v>
      </c>
      <c r="G2" s="2695" t="str">
        <f>IF(E2="商业",项目基本情况!B37,IF(E2="办公",项目基本情况!C37,IF(E2="住宅",项目基本情况!D37,IF(E2="工业",项目基本情况!E37,项目基本情况!F37))))</f>
        <v>一级</v>
      </c>
      <c r="H2" s="2695" t="s">
        <v>2200</v>
      </c>
      <c r="I2" s="2695" t="str">
        <f>IF(E2="商业",项目基本情况!B38,IF(E2="办公",项目基本情况!C38,IF(E2="住宅",项目基本情况!D38,IF(E2="工业",项目基本情况!E38,项目基本情况!F38))))</f>
        <v>Ⅰ—04</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1.5206</v>
      </c>
      <c r="T2" s="3133">
        <f t="shared" ref="T2:T16" si="0">ROUND($C$5*$C$22*$C$23*$C$24*S2*$C$28,0)</f>
        <v>41703</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t="e">
        <f>ROUND(B2*10000/D1,0)</f>
        <v>#DIV/0!</v>
      </c>
      <c r="C3" s="3138" t="s">
        <v>2203</v>
      </c>
      <c r="D3" s="2695" t="s">
        <v>2204</v>
      </c>
      <c r="E3" s="3139" t="s">
        <v>3115</v>
      </c>
      <c r="F3" s="1935" t="s">
        <v>3116</v>
      </c>
      <c r="G3" s="3144">
        <v>7.96</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1.2072000000000001</v>
      </c>
      <c r="T3" s="3133">
        <f t="shared" si="0"/>
        <v>33108</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1.0430999999999999</v>
      </c>
      <c r="T4" s="3133">
        <f t="shared" si="0"/>
        <v>28608</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34136</v>
      </c>
      <c r="D5" s="3147">
        <f>ROUND(C6+C20,0)</f>
        <v>32510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0.94389999999999996</v>
      </c>
      <c r="T5" s="3133">
        <f t="shared" si="0"/>
        <v>25887</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32510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0.89959999999999996</v>
      </c>
      <c r="T6" s="3133">
        <f t="shared" si="0"/>
        <v>24672</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一级</v>
      </c>
      <c r="Y7" s="3167" t="s">
        <v>2219</v>
      </c>
      <c r="Z7" s="3168">
        <f>G3</f>
        <v>7.96</v>
      </c>
      <c r="AA7" s="3134"/>
      <c r="AB7" s="3134"/>
      <c r="AC7" s="3134"/>
      <c r="AD7" s="3135"/>
      <c r="AE7" s="3135"/>
      <c r="AF7" s="3135"/>
      <c r="AG7" s="3135"/>
      <c r="AH7" s="3135"/>
      <c r="AI7" s="3135"/>
      <c r="AJ7" s="3136"/>
    </row>
    <row r="8" spans="1:36" ht="25.5">
      <c r="A8" s="3169"/>
      <c r="B8" s="174" t="s">
        <v>2220</v>
      </c>
      <c r="C8" s="3170" t="s">
        <v>3117</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1.05</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40" t="s">
        <v>2262</v>
      </c>
      <c r="E20" s="3641"/>
      <c r="F20" s="3640" t="s">
        <v>2259</v>
      </c>
      <c r="G20" s="3641"/>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3.5</v>
      </c>
      <c r="D21" s="2259" t="str">
        <f>IF(OR(G2="八级",G2="九级",G2="十级",G2="十一级",G2="十二级"),"五通一平","七通一平")</f>
        <v>七通一平</v>
      </c>
      <c r="E21" s="3232">
        <f>SUMPRODUCT((修正!B1:M1=G2)*(修正!B17:M17))</f>
        <v>375</v>
      </c>
      <c r="F21" s="3233" t="s">
        <v>3118</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44739</v>
      </c>
      <c r="H23" s="3245" t="s">
        <v>3101</v>
      </c>
      <c r="I23" s="3246" t="str">
        <f>IF(H23="季度增幅（自定义）",SUMIF(N25:N28,E2,O25:O28),"")</f>
        <v/>
      </c>
      <c r="J23" s="3247"/>
      <c r="K23" s="3218"/>
      <c r="L23" s="3248" t="s">
        <v>2268</v>
      </c>
      <c r="M23" s="3249">
        <f>ROUND(SUMIF(地价!B2:G2,E2,地价!B13:G13),0)</f>
        <v>348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0.73619999999999997</v>
      </c>
      <c r="D24" s="3252" t="s">
        <v>2271</v>
      </c>
      <c r="E24" s="3253">
        <f>存贷款利率!E20/100</f>
        <v>4.3499999999999997E-2</v>
      </c>
      <c r="F24" s="3252" t="s">
        <v>2263</v>
      </c>
      <c r="G24" s="3254">
        <f>SUMIF(M30:Q30,E2,M33:Q33)</f>
        <v>5.5E-2</v>
      </c>
      <c r="H24" s="3252" t="s">
        <v>2272</v>
      </c>
      <c r="I24" s="3255">
        <v>21.61</v>
      </c>
      <c r="J24" s="3256">
        <f>IF(E2="住宅",70,IF(E2="商业",40,50))</f>
        <v>50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3114</v>
      </c>
      <c r="C25" s="3262">
        <f>IF(B25="容积率修正",IF(G3&lt;10,D26,J26),C27)</f>
        <v>0.90800000000000003</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0.90800000000000003</v>
      </c>
      <c r="E26" s="3269">
        <f>ROUNDDOWN(G3,1)</f>
        <v>7.9</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0.90890000000000004</v>
      </c>
      <c r="G26" s="3269">
        <f>ROUNDUP(G3,1)</f>
        <v>8</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0.90739999999999998</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1.0718000000000001</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24902</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6226</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19198</v>
      </c>
      <c r="D37" s="3309"/>
      <c r="E37" s="174">
        <f>ROUND(C37*D37/10000,0)</f>
        <v>0</v>
      </c>
      <c r="F37" s="174">
        <f>SUMIF(修正!A57:A68,G2,修正!B57:B68)</f>
        <v>0.7</v>
      </c>
      <c r="G37" s="174">
        <f>ROUND(IF(E2="工业",C37*$M$42,C37*$M$41),0)</f>
        <v>4800</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10970</v>
      </c>
      <c r="D38" s="3309"/>
      <c r="E38" s="174">
        <f t="shared" ref="E38:E42" si="4">ROUND(C38*D38/10000,0)</f>
        <v>0</v>
      </c>
      <c r="F38" s="174">
        <f>SUMIF(修正!A57:A68,G2,修正!C57:C68)</f>
        <v>0.4</v>
      </c>
      <c r="G38" s="174">
        <f>ROUND(IF(E2="工业",C38*$M$42,C38*$M$41),0)</f>
        <v>2743</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8228</v>
      </c>
      <c r="D39" s="3309"/>
      <c r="E39" s="174">
        <f t="shared" si="4"/>
        <v>0</v>
      </c>
      <c r="F39" s="174">
        <f>SUMIF(修正!A57:A68,G2,修正!D57:D68)</f>
        <v>0.3</v>
      </c>
      <c r="G39" s="174">
        <f>ROUND(IF(E2="工业",C39*$M$42,C39*$M$41),0)</f>
        <v>2057</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8228</v>
      </c>
      <c r="D40" s="3309"/>
      <c r="E40" s="174">
        <f t="shared" si="4"/>
        <v>0</v>
      </c>
      <c r="F40" s="178">
        <f>SUMIF(修正!A57:A68,G2,修正!E57:E68)</f>
        <v>0.3</v>
      </c>
      <c r="G40" s="174">
        <f>ROUND(IF(E2="工业",C40*$M$42,C40*$M$41),0)</f>
        <v>2057</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0.3</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0.2</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5.5E-2</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1.0718000000000001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t="s">
        <v>3120</v>
      </c>
      <c r="D62" s="2978">
        <f>SUMIF($J$61:$N$61,C62,J62:N62)</f>
        <v>2.0400000000000001E-2</v>
      </c>
      <c r="E62" s="2979">
        <f>ROUND(SUM(D62:D70),4)</f>
        <v>7.1800000000000003E-2</v>
      </c>
      <c r="F62" s="2980">
        <f>IF(E2="办公",SUMIF(L1:L12,G2,N1:N12),"——")</f>
        <v>8.2000000000000003E-2</v>
      </c>
      <c r="G62" s="2981">
        <f>H62</f>
        <v>1.0200000000000001E-2</v>
      </c>
      <c r="H62" s="2982">
        <f t="shared" ref="H62:H70" si="12">IFERROR(ROUNDDOWN($F$62*I62/2,4),"——")</f>
        <v>1.0200000000000001E-2</v>
      </c>
      <c r="I62" s="2983">
        <v>0.25</v>
      </c>
      <c r="J62" s="2984">
        <f t="shared" ref="J62:J70" si="13">K62+$G62</f>
        <v>2.0400000000000001E-2</v>
      </c>
      <c r="K62" s="2984">
        <f t="shared" ref="K62:K70" si="14">$L62+$G62</f>
        <v>1.0200000000000001E-2</v>
      </c>
      <c r="L62" s="2984">
        <v>0</v>
      </c>
      <c r="M62" s="2984">
        <f t="shared" ref="M62:N70" si="15">L62-$G62</f>
        <v>-1.0200000000000001E-2</v>
      </c>
      <c r="N62" s="2984">
        <f t="shared" si="15"/>
        <v>-2.0400000000000001E-2</v>
      </c>
    </row>
    <row r="63" spans="1:14" s="1939" customFormat="1" ht="38.25">
      <c r="A63" s="2971" t="s">
        <v>2317</v>
      </c>
      <c r="B63" s="2985" t="str">
        <f>估价对象房地状况!C18</f>
        <v>估价对象周边道路状况、公共交通通达情况、停车便捷程度，综合评价交通便捷度较好</v>
      </c>
      <c r="C63" s="2977" t="s">
        <v>3120</v>
      </c>
      <c r="D63" s="2978">
        <f t="shared" ref="D63:D70" si="16">SUMIF($J$61:$N$61,C63,J63:N63)</f>
        <v>2.12E-2</v>
      </c>
      <c r="E63" s="2986"/>
      <c r="F63" s="2987"/>
      <c r="G63" s="2981">
        <f t="shared" ref="G63:G70" si="17">H63</f>
        <v>1.06E-2</v>
      </c>
      <c r="H63" s="2982">
        <f t="shared" si="12"/>
        <v>1.06E-2</v>
      </c>
      <c r="I63" s="2983">
        <v>0.26</v>
      </c>
      <c r="J63" s="2984">
        <f t="shared" si="13"/>
        <v>2.12E-2</v>
      </c>
      <c r="K63" s="2984">
        <f t="shared" si="14"/>
        <v>1.06E-2</v>
      </c>
      <c r="L63" s="2984">
        <v>0</v>
      </c>
      <c r="M63" s="2984">
        <f t="shared" si="15"/>
        <v>-1.06E-2</v>
      </c>
      <c r="N63" s="2984">
        <f t="shared" si="15"/>
        <v>-2.12E-2</v>
      </c>
    </row>
    <row r="64" spans="1:14" s="1939" customFormat="1" ht="36">
      <c r="A64" s="2988" t="s">
        <v>2839</v>
      </c>
      <c r="B64" s="2985">
        <f>估价对象房地状况!C19</f>
        <v>0</v>
      </c>
      <c r="C64" s="2977" t="s">
        <v>3120</v>
      </c>
      <c r="D64" s="2978">
        <f t="shared" si="16"/>
        <v>8.9999999999999993E-3</v>
      </c>
      <c r="E64" s="2986"/>
      <c r="F64" s="2987"/>
      <c r="G64" s="2981">
        <f t="shared" si="17"/>
        <v>4.4999999999999997E-3</v>
      </c>
      <c r="H64" s="2982">
        <f t="shared" si="12"/>
        <v>4.4999999999999997E-3</v>
      </c>
      <c r="I64" s="2983">
        <v>0.11</v>
      </c>
      <c r="J64" s="2984">
        <f t="shared" si="13"/>
        <v>8.9999999999999993E-3</v>
      </c>
      <c r="K64" s="2984">
        <f t="shared" si="14"/>
        <v>4.4999999999999997E-3</v>
      </c>
      <c r="L64" s="2984">
        <v>0</v>
      </c>
      <c r="M64" s="2984">
        <f t="shared" si="15"/>
        <v>-4.4999999999999997E-3</v>
      </c>
      <c r="N64" s="2984">
        <f t="shared" si="15"/>
        <v>-8.9999999999999993E-3</v>
      </c>
    </row>
    <row r="65" spans="1:33" s="1939" customFormat="1" ht="36.75">
      <c r="A65" s="2971" t="s">
        <v>2318</v>
      </c>
      <c r="B65" s="2989" t="s">
        <v>2319</v>
      </c>
      <c r="C65" s="2977" t="s">
        <v>3119</v>
      </c>
      <c r="D65" s="2978">
        <f t="shared" si="16"/>
        <v>2E-3</v>
      </c>
      <c r="E65" s="2986"/>
      <c r="F65" s="2987"/>
      <c r="G65" s="2981">
        <f t="shared" si="17"/>
        <v>2E-3</v>
      </c>
      <c r="H65" s="2982">
        <f t="shared" si="12"/>
        <v>2E-3</v>
      </c>
      <c r="I65" s="2983">
        <v>0.05</v>
      </c>
      <c r="J65" s="2984">
        <f t="shared" si="13"/>
        <v>4.0000000000000001E-3</v>
      </c>
      <c r="K65" s="2984">
        <f t="shared" si="14"/>
        <v>2E-3</v>
      </c>
      <c r="L65" s="2984">
        <v>0</v>
      </c>
      <c r="M65" s="2984">
        <f t="shared" si="15"/>
        <v>-2E-3</v>
      </c>
      <c r="N65" s="2984">
        <f t="shared" si="15"/>
        <v>-4.0000000000000001E-3</v>
      </c>
    </row>
    <row r="66" spans="1:33" s="1939" customFormat="1" ht="24">
      <c r="A66" s="2971" t="s">
        <v>2320</v>
      </c>
      <c r="B66" s="2985">
        <f>估价对象房地状况!C24</f>
        <v>0</v>
      </c>
      <c r="C66" s="2977" t="s">
        <v>3119</v>
      </c>
      <c r="D66" s="2978">
        <f t="shared" si="16"/>
        <v>2E-3</v>
      </c>
      <c r="E66" s="2986"/>
      <c r="F66" s="2987"/>
      <c r="G66" s="2981">
        <f t="shared" si="17"/>
        <v>2E-3</v>
      </c>
      <c r="H66" s="2982">
        <f t="shared" si="12"/>
        <v>2E-3</v>
      </c>
      <c r="I66" s="2983">
        <v>0.05</v>
      </c>
      <c r="J66" s="2984">
        <f t="shared" si="13"/>
        <v>4.0000000000000001E-3</v>
      </c>
      <c r="K66" s="2984">
        <f t="shared" si="14"/>
        <v>2E-3</v>
      </c>
      <c r="L66" s="2984">
        <v>0</v>
      </c>
      <c r="M66" s="2984">
        <f t="shared" si="15"/>
        <v>-2E-3</v>
      </c>
      <c r="N66" s="2984">
        <f t="shared" si="15"/>
        <v>-4.0000000000000001E-3</v>
      </c>
    </row>
    <row r="67" spans="1:33" s="1939" customFormat="1" ht="24">
      <c r="A67" s="2971" t="s">
        <v>2321</v>
      </c>
      <c r="B67" s="2990" t="s">
        <v>2322</v>
      </c>
      <c r="C67" s="2977" t="s">
        <v>3119</v>
      </c>
      <c r="D67" s="2978">
        <f t="shared" si="16"/>
        <v>2.3999999999999998E-3</v>
      </c>
      <c r="E67" s="2986"/>
      <c r="F67" s="2987"/>
      <c r="G67" s="2981">
        <f t="shared" si="17"/>
        <v>2.3999999999999998E-3</v>
      </c>
      <c r="H67" s="2982">
        <f t="shared" si="12"/>
        <v>2.3999999999999998E-3</v>
      </c>
      <c r="I67" s="2983">
        <v>0.06</v>
      </c>
      <c r="J67" s="2984">
        <f t="shared" si="13"/>
        <v>4.7999999999999996E-3</v>
      </c>
      <c r="K67" s="2984">
        <f t="shared" si="14"/>
        <v>2.3999999999999998E-3</v>
      </c>
      <c r="L67" s="2984">
        <v>0</v>
      </c>
      <c r="M67" s="2984">
        <f t="shared" si="15"/>
        <v>-2.3999999999999998E-3</v>
      </c>
      <c r="N67" s="2984">
        <f t="shared" si="15"/>
        <v>-4.7999999999999996E-3</v>
      </c>
    </row>
    <row r="68" spans="1:33" s="1939" customFormat="1" ht="25.5">
      <c r="A68" s="2971" t="s">
        <v>2323</v>
      </c>
      <c r="B68" s="2992" t="str">
        <f>估价对象房地状况!C21</f>
        <v>估价对象所在区域公共配套设施齐备情况</v>
      </c>
      <c r="C68" s="2977" t="s">
        <v>3120</v>
      </c>
      <c r="D68" s="2978">
        <f t="shared" si="16"/>
        <v>4.7999999999999996E-3</v>
      </c>
      <c r="E68" s="2986"/>
      <c r="F68" s="2987"/>
      <c r="G68" s="2981">
        <f t="shared" si="17"/>
        <v>2.3999999999999998E-3</v>
      </c>
      <c r="H68" s="2982">
        <f t="shared" si="12"/>
        <v>2.3999999999999998E-3</v>
      </c>
      <c r="I68" s="2983">
        <v>0.06</v>
      </c>
      <c r="J68" s="2984">
        <f t="shared" si="13"/>
        <v>4.7999999999999996E-3</v>
      </c>
      <c r="K68" s="2984">
        <f t="shared" si="14"/>
        <v>2.3999999999999998E-3</v>
      </c>
      <c r="L68" s="2984">
        <v>0</v>
      </c>
      <c r="M68" s="2984">
        <f t="shared" si="15"/>
        <v>-2.3999999999999998E-3</v>
      </c>
      <c r="N68" s="2984">
        <f t="shared" si="15"/>
        <v>-4.7999999999999996E-3</v>
      </c>
    </row>
    <row r="69" spans="1:33" s="1939" customFormat="1" ht="24">
      <c r="A69" s="2971" t="s">
        <v>2324</v>
      </c>
      <c r="B69" s="2992" t="str">
        <f>估价对象房地状况!C22</f>
        <v>估价对象所在区域基础设施水平</v>
      </c>
      <c r="C69" s="2977" t="s">
        <v>3120</v>
      </c>
      <c r="D69" s="2978">
        <f t="shared" si="16"/>
        <v>7.1999999999999998E-3</v>
      </c>
      <c r="E69" s="2986"/>
      <c r="F69" s="2987"/>
      <c r="G69" s="2981">
        <f t="shared" si="17"/>
        <v>3.5999999999999999E-3</v>
      </c>
      <c r="H69" s="2982">
        <f t="shared" si="12"/>
        <v>3.5999999999999999E-3</v>
      </c>
      <c r="I69" s="2983">
        <v>0.09</v>
      </c>
      <c r="J69" s="2984">
        <f t="shared" si="13"/>
        <v>7.1999999999999998E-3</v>
      </c>
      <c r="K69" s="2984">
        <f t="shared" si="14"/>
        <v>3.5999999999999999E-3</v>
      </c>
      <c r="L69" s="2984">
        <v>0</v>
      </c>
      <c r="M69" s="2984">
        <f t="shared" si="15"/>
        <v>-3.5999999999999999E-3</v>
      </c>
      <c r="N69" s="2984">
        <f t="shared" si="15"/>
        <v>-7.1999999999999998E-3</v>
      </c>
    </row>
    <row r="70" spans="1:33" s="1939" customFormat="1" ht="26.25" thickBot="1">
      <c r="A70" s="2993" t="s">
        <v>2325</v>
      </c>
      <c r="B70" s="2999" t="str">
        <f>估价对象房地状况!C20</f>
        <v>区域自然环境：；人文环境；综合评价环境状况一般</v>
      </c>
      <c r="C70" s="2977" t="s">
        <v>3119</v>
      </c>
      <c r="D70" s="2978">
        <f t="shared" si="16"/>
        <v>2.8E-3</v>
      </c>
      <c r="E70" s="2995"/>
      <c r="F70" s="2987"/>
      <c r="G70" s="2981">
        <f t="shared" si="17"/>
        <v>2.8E-3</v>
      </c>
      <c r="H70" s="2982">
        <f t="shared" si="12"/>
        <v>2.8E-3</v>
      </c>
      <c r="I70" s="2996">
        <v>7.0000000000000007E-2</v>
      </c>
      <c r="J70" s="2984">
        <f t="shared" si="13"/>
        <v>5.5999999999999999E-3</v>
      </c>
      <c r="K70" s="2984">
        <f t="shared" si="14"/>
        <v>2.8E-3</v>
      </c>
      <c r="L70" s="2984">
        <v>0</v>
      </c>
      <c r="M70" s="2984">
        <f t="shared" si="15"/>
        <v>-2.8E-3</v>
      </c>
      <c r="N70" s="2984">
        <f t="shared" si="15"/>
        <v>-5.5999999999999999E-3</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f t="shared" ref="H94:H102" si="28">IFERROR(ROUNDDOWN($F$62*I94/2,4),"——")</f>
        <v>1.0200000000000001E-2</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f t="shared" si="28"/>
        <v>1.06E-2</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f t="shared" si="28"/>
        <v>4.4999999999999997E-3</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f t="shared" si="28"/>
        <v>2E-3</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f t="shared" si="28"/>
        <v>2E-3</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f t="shared" si="28"/>
        <v>2.3999999999999998E-3</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f t="shared" si="28"/>
        <v>2.3999999999999998E-3</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f t="shared" si="28"/>
        <v>3.5999999999999999E-3</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f t="shared" si="28"/>
        <v>2.8E-3</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7.96</v>
      </c>
      <c r="C117" s="3022" t="s">
        <v>2343</v>
      </c>
      <c r="D117" s="3023">
        <f>SUMPRODUCT((A119:A123=F117)*(B118:M118=H117)*B119:M123)</f>
        <v>0.90380000000000005</v>
      </c>
      <c r="E117" s="2695" t="s">
        <v>2198</v>
      </c>
      <c r="F117" s="3024" t="str">
        <f>E2</f>
        <v>办公</v>
      </c>
      <c r="G117" s="2695" t="s">
        <v>2199</v>
      </c>
      <c r="H117" s="3024" t="str">
        <f>G2</f>
        <v>一级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0.90920000000000001</v>
      </c>
      <c r="C119" s="3033">
        <f>B119</f>
        <v>0.90920000000000001</v>
      </c>
      <c r="D119" s="3033">
        <f>ROUND(0.949-0.014*B117,4)</f>
        <v>0.83760000000000001</v>
      </c>
      <c r="E119" s="3033">
        <f>D119</f>
        <v>0.83760000000000001</v>
      </c>
      <c r="F119" s="3033">
        <f>E119</f>
        <v>0.83760000000000001</v>
      </c>
      <c r="G119" s="3033">
        <f>F119</f>
        <v>0.83760000000000001</v>
      </c>
      <c r="H119" s="3033">
        <f>G119</f>
        <v>0.83760000000000001</v>
      </c>
      <c r="I119" s="3033">
        <f>ROUND(0.8486-0.018*B117,4)</f>
        <v>0.70530000000000004</v>
      </c>
      <c r="J119" s="3033">
        <f t="shared" ref="J119:M122" si="37">I119</f>
        <v>0.70530000000000004</v>
      </c>
      <c r="K119" s="3033">
        <f t="shared" si="37"/>
        <v>0.70530000000000004</v>
      </c>
      <c r="L119" s="3033">
        <f t="shared" si="37"/>
        <v>0.70530000000000004</v>
      </c>
      <c r="M119" s="3034">
        <f t="shared" si="37"/>
        <v>0.70530000000000004</v>
      </c>
    </row>
    <row r="120" spans="1:14">
      <c r="A120" s="3032" t="s">
        <v>2255</v>
      </c>
      <c r="B120" s="3033">
        <f>ROUND(0.993-0.0112*B117,4)</f>
        <v>0.90380000000000005</v>
      </c>
      <c r="C120" s="3033">
        <f>B120</f>
        <v>0.90380000000000005</v>
      </c>
      <c r="D120" s="3033">
        <f>ROUND(0.9415-0.0142*B117,4)</f>
        <v>0.82850000000000001</v>
      </c>
      <c r="E120" s="3033">
        <f t="shared" ref="E120:H121" si="38">D120</f>
        <v>0.82850000000000001</v>
      </c>
      <c r="F120" s="3033">
        <f t="shared" si="38"/>
        <v>0.82850000000000001</v>
      </c>
      <c r="G120" s="3033">
        <f t="shared" si="38"/>
        <v>0.82850000000000001</v>
      </c>
      <c r="H120" s="3033">
        <f t="shared" si="38"/>
        <v>0.82850000000000001</v>
      </c>
      <c r="I120" s="3033">
        <f>ROUND(0.838-0.0182*B117,4)</f>
        <v>0.69310000000000005</v>
      </c>
      <c r="J120" s="3033">
        <f t="shared" si="37"/>
        <v>0.69310000000000005</v>
      </c>
      <c r="K120" s="3033">
        <f t="shared" si="37"/>
        <v>0.69310000000000005</v>
      </c>
      <c r="L120" s="3033">
        <f t="shared" si="37"/>
        <v>0.69310000000000005</v>
      </c>
      <c r="M120" s="3034">
        <f t="shared" si="37"/>
        <v>0.69310000000000005</v>
      </c>
    </row>
    <row r="121" spans="1:14">
      <c r="A121" s="3032" t="s">
        <v>2256</v>
      </c>
      <c r="B121" s="3033">
        <f>ROUND(0.9448-0.0115*B117,4)</f>
        <v>0.85329999999999995</v>
      </c>
      <c r="C121" s="3033">
        <f>B121</f>
        <v>0.85329999999999995</v>
      </c>
      <c r="D121" s="3033">
        <f>ROUND(0.937-0.0145*B117,4)</f>
        <v>0.8216</v>
      </c>
      <c r="E121" s="3033">
        <f t="shared" si="38"/>
        <v>0.8216</v>
      </c>
      <c r="F121" s="3033">
        <f t="shared" si="38"/>
        <v>0.8216</v>
      </c>
      <c r="G121" s="3033">
        <f t="shared" si="38"/>
        <v>0.8216</v>
      </c>
      <c r="H121" s="3033">
        <f t="shared" si="38"/>
        <v>0.8216</v>
      </c>
      <c r="I121" s="3033">
        <f>ROUND(0.7965-0.0185*B117,4)</f>
        <v>0.6492</v>
      </c>
      <c r="J121" s="3033">
        <f t="shared" si="37"/>
        <v>0.6492</v>
      </c>
      <c r="K121" s="3033">
        <f t="shared" si="37"/>
        <v>0.6492</v>
      </c>
      <c r="L121" s="3033">
        <f t="shared" si="37"/>
        <v>0.6492</v>
      </c>
      <c r="M121" s="3034">
        <f t="shared" si="37"/>
        <v>0.6492</v>
      </c>
    </row>
    <row r="122" spans="1:14" ht="13.5" thickBot="1">
      <c r="A122" s="3035" t="s">
        <v>2257</v>
      </c>
      <c r="B122" s="3036">
        <f>ROUND(0.7836-0.012*B117,4)</f>
        <v>0.68810000000000004</v>
      </c>
      <c r="C122" s="3036">
        <f>B122</f>
        <v>0.68810000000000004</v>
      </c>
      <c r="D122" s="3036">
        <f>ROUND(0.753-0.015*B117,4)</f>
        <v>0.63360000000000005</v>
      </c>
      <c r="E122" s="3036">
        <f>D122</f>
        <v>0.63360000000000005</v>
      </c>
      <c r="F122" s="3036">
        <f>E122</f>
        <v>0.63360000000000005</v>
      </c>
      <c r="G122" s="3036">
        <f>ROUND(0.6612-0.018*B117,4)</f>
        <v>0.51790000000000003</v>
      </c>
      <c r="H122" s="3036">
        <f>G122</f>
        <v>0.51790000000000003</v>
      </c>
      <c r="I122" s="3036">
        <f>ROUND(0.5905-0.019*B117,4)</f>
        <v>0.43930000000000002</v>
      </c>
      <c r="J122" s="3036">
        <f t="shared" si="37"/>
        <v>0.43930000000000002</v>
      </c>
      <c r="K122" s="3036">
        <f t="shared" si="37"/>
        <v>0.43930000000000002</v>
      </c>
      <c r="L122" s="3036">
        <f t="shared" si="37"/>
        <v>0.43930000000000002</v>
      </c>
      <c r="M122" s="3037">
        <f t="shared" si="37"/>
        <v>0.43930000000000002</v>
      </c>
    </row>
    <row r="123" spans="1:14">
      <c r="A123" s="3038" t="s">
        <v>2926</v>
      </c>
      <c r="B123" s="3033">
        <f>ROUND(0.9404-0.0106*B117,4)</f>
        <v>0.85599999999999998</v>
      </c>
      <c r="C123" s="3033">
        <f>B123</f>
        <v>0.85599999999999998</v>
      </c>
      <c r="D123" s="3033">
        <f>ROUND(0.8955-0.0135*B117,4)</f>
        <v>0.78800000000000003</v>
      </c>
      <c r="E123" s="3033">
        <f t="shared" ref="E123" si="39">D123</f>
        <v>0.78800000000000003</v>
      </c>
      <c r="F123" s="3033">
        <f t="shared" ref="F123" si="40">E123</f>
        <v>0.78800000000000003</v>
      </c>
      <c r="G123" s="3033">
        <f t="shared" ref="G123" si="41">F123</f>
        <v>0.78800000000000003</v>
      </c>
      <c r="H123" s="3033">
        <f t="shared" ref="H123" si="42">G123</f>
        <v>0.78800000000000003</v>
      </c>
      <c r="I123" s="3033">
        <f>ROUND(0.7632-0.0166*B117,4)</f>
        <v>0.63109999999999999</v>
      </c>
      <c r="J123" s="3033">
        <f t="shared" ref="J123" si="43">I123</f>
        <v>0.63109999999999999</v>
      </c>
      <c r="K123" s="3033">
        <f t="shared" ref="K123" si="44">J123</f>
        <v>0.63109999999999999</v>
      </c>
      <c r="L123" s="3033">
        <f t="shared" ref="L123" si="45">K123</f>
        <v>0.63109999999999999</v>
      </c>
      <c r="M123" s="3034">
        <f t="shared" ref="M123" si="46">L123</f>
        <v>0.63109999999999999</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0.90890000000000004</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0.8609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0</v>
      </c>
      <c r="C2" s="1940" t="s">
        <v>2357</v>
      </c>
      <c r="D2" s="1940" t="s">
        <v>2358</v>
      </c>
      <c r="E2" s="2291">
        <f ca="1">SUMIF(E6:E13,"&lt;&gt;#ref!",E6:E13)</f>
        <v>0</v>
      </c>
      <c r="F2" s="2465"/>
      <c r="G2" s="2465"/>
      <c r="H2" s="2465"/>
      <c r="I2" s="2465"/>
      <c r="J2" s="2465"/>
      <c r="K2" s="2465"/>
      <c r="L2" s="2465"/>
      <c r="M2" s="2465"/>
      <c r="N2" s="2465"/>
      <c r="O2" s="2465"/>
      <c r="P2" s="2465"/>
    </row>
    <row r="3" spans="1:16" ht="15.75">
      <c r="A3" s="1940" t="s">
        <v>2359</v>
      </c>
      <c r="B3" s="2281" t="e">
        <f ca="1">ROUND(B2*10000/E2,0)</f>
        <v>#DIV/0!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0</v>
      </c>
      <c r="C6" s="1940" t="s">
        <v>2357</v>
      </c>
      <c r="D6" s="2465"/>
      <c r="E6" s="2291">
        <f ca="1">SUMIF(INDIRECT("'"&amp;A6&amp;"'"&amp;"!C:C"),"建筑面积",INDIRECT("'"&amp;A6&amp;"'"&amp;"!D:D"))</f>
        <v>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44739</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44739</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2022-06-27T07:33:17Z</dcterms:modified>
</cp:coreProperties>
</file>