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3"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假设开发法" sheetId="12" state="hidden" r:id="rId18"/>
    <sheet name="结果表商业" sheetId="79" r:id="rId19"/>
    <sheet name="比较法-商业" sheetId="33" r:id="rId20"/>
    <sheet name="收益法 (元)" sheetId="67" r:id="rId21"/>
    <sheet name="收益法商业" sheetId="77" state="hidden" r:id="rId22"/>
    <sheet name="比较法-商业 (租金)" sheetId="80" r:id="rId23"/>
    <sheet name="比较法-商业租金" sheetId="78" state="hidden" r:id="rId24"/>
    <sheet name="典型户型修正" sheetId="31" r:id="rId25"/>
    <sheet name="结果表仓储" sheetId="9" r:id="rId26"/>
    <sheet name="收益法仓储" sheetId="15"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土地比较法-工业" sheetId="40" state="hidden" r:id="rId34"/>
    <sheet name="修正" sheetId="45" state="hidden" r:id="rId35"/>
    <sheet name="容积率修正" sheetId="46" state="hidden" r:id="rId36"/>
    <sheet name="比较法-仓储" sheetId="36" r:id="rId37"/>
    <sheet name="成本法" sheetId="68" r:id="rId38"/>
    <sheet name="成本法 (元)" sheetId="69" state="hidden" r:id="rId39"/>
    <sheet name="基准地价修正" sheetId="43" r:id="rId40"/>
    <sheet name="地价" sheetId="71" state="hidden" r:id="rId41"/>
    <sheet name="土地比较法-住宅、综合" sheetId="39"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6" r:id="rId48"/>
  </sheets>
  <externalReferences>
    <externalReference r:id="rId49"/>
  </externalReferences>
  <definedNames>
    <definedName name="_xlnm._FilterDatabase" localSheetId="30" hidden="1">'比较法-办公'!$A$1:$L$50</definedName>
    <definedName name="_xlnm._FilterDatabase" localSheetId="36"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2" hidden="1">'比较法-商业 (租金)'!$A$1:$L$49</definedName>
    <definedName name="_xlnm._FilterDatabase" localSheetId="23" hidden="1">'比较法-商业租金'!$A$1:$L$49</definedName>
    <definedName name="_xlnm._FilterDatabase" localSheetId="2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估价师及机构信息!$A$1:$F$24</definedName>
    <definedName name="_xlnm.Print_Area" localSheetId="20">'收益法 (元)'!$A$1:$AK$69</definedName>
    <definedName name="_xlnm.Print_Area" localSheetId="26">收益法仓储!$A$1:$AK$69</definedName>
    <definedName name="_xlnm.Print_Area" localSheetId="21">收益法商业!$A$1:$AK$69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2">'比较法-商业 (租金)'!$B$116:$M$116</definedName>
    <definedName name="商业层高" localSheetId="23">'比较法-商业租金'!$B$116:$M$116</definedName>
    <definedName name="商业层高" localSheetId="5">'[1]比较法-商业'!$B$112:$M$112</definedName>
    <definedName name="商业层高">'比较法-商业'!$B$116:$M$116</definedName>
    <definedName name="商业成新度" localSheetId="22">'比较法-商业 (租金)'!$B$109:$M$109</definedName>
    <definedName name="商业成新度" localSheetId="23">'比较法-商业租金'!$B$109:$M$109</definedName>
    <definedName name="商业成新度">'比较法-商业'!$B$109:$M$109</definedName>
    <definedName name="商业繁华度" localSheetId="5">[1]定义!$L$1:$L$6</definedName>
    <definedName name="商业繁华度">定义!$L$1:$L$6</definedName>
    <definedName name="商业公共部分装修" localSheetId="22">'比较法-商业 (租金)'!$B$107:$M$107</definedName>
    <definedName name="商业公共部分装修" localSheetId="23">'比较法-商业租金'!$B$107:$M$107</definedName>
    <definedName name="商业公共部分装修" localSheetId="5">'[1]比较法-商业'!$B$103:$M$103</definedName>
    <definedName name="商业公共部分装修">'比较法-商业'!$B$107:$M$107</definedName>
    <definedName name="商业基础设施水平" localSheetId="22">'比较法-商业 (租金)'!$B$112:$M$112</definedName>
    <definedName name="商业基础设施水平" localSheetId="23">'比较法-商业租金'!$B$112:$M$112</definedName>
    <definedName name="商业基础设施水平" localSheetId="5">'[1]比较法-商业'!$B$108:$M$108</definedName>
    <definedName name="商业基础设施水平">'比较法-商业'!$B$112:$M$112</definedName>
    <definedName name="商业建筑结构" localSheetId="22">'比较法-商业 (租金)'!$B$105:$M$105</definedName>
    <definedName name="商业建筑结构" localSheetId="23">'比较法-商业租金'!$B$105:$M$105</definedName>
    <definedName name="商业建筑结构" localSheetId="5">'[1]比较法-商业'!$B$101:$M$101</definedName>
    <definedName name="商业建筑结构">'比较法-商业'!$B$105:$M$105</definedName>
    <definedName name="商业交易情况" localSheetId="22">'比较法-商业 (租金)'!$A$61:$M$61</definedName>
    <definedName name="商业交易情况" localSheetId="23">'比较法-商业租金'!$A$61:$M$61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2">'比较法-商业 (租金)'!$B$120:$M$120</definedName>
    <definedName name="商业进深比" localSheetId="23">'比较法-商业租金'!$B$120:$M$120</definedName>
    <definedName name="商业进深比" localSheetId="5">'[1]比较法-商业'!$B$116:$M$116</definedName>
    <definedName name="商业进深比">'比较法-商业'!$B$120:$M$120</definedName>
    <definedName name="商业类型" localSheetId="22">'比较法-商业 (租金)'!$B$100:$M$100</definedName>
    <definedName name="商业类型" localSheetId="23">'比较法-商业租金'!$B$100:$M$100</definedName>
    <definedName name="商业类型" localSheetId="5">'[1]比较法-商业'!$B$96:$M$96</definedName>
    <definedName name="商业类型">'比较法-商业'!$B$100:$M$100</definedName>
    <definedName name="商业临街状况" localSheetId="22">'比较法-商业 (租金)'!$B$86:$M$86</definedName>
    <definedName name="商业临街状况" localSheetId="23">'比较法-商业租金'!$B$86:$M$86</definedName>
    <definedName name="商业临街状况" localSheetId="5">'[1]比较法-商业'!$B$82:$M$82</definedName>
    <definedName name="商业临街状况">'比较法-商业'!$B$86:$M$86</definedName>
    <definedName name="商业楼层" localSheetId="22">'比较法-商业 (租金)'!$B$92:$M$92</definedName>
    <definedName name="商业楼层" localSheetId="23">'比较法-商业租金'!$B$92:$M$92</definedName>
    <definedName name="商业楼层" localSheetId="5">'[1]比较法-商业'!$B$88:$M$88</definedName>
    <definedName name="商业楼层">'比较法-商业'!$B$92:$M$92</definedName>
    <definedName name="商业内部装修" localSheetId="22">'比较法-商业 (租金)'!$B$122:$M$122</definedName>
    <definedName name="商业内部装修" localSheetId="23">'比较法-商业租金'!$B$122:$M$122</definedName>
    <definedName name="商业内部装修" localSheetId="5">'[1]比较法-商业'!$B$118:$M$118</definedName>
    <definedName name="商业内部装修">'比较法-商业'!$B$122:$M$122</definedName>
    <definedName name="商业人流量" localSheetId="22">'比较法-商业 (租金)'!$B$90:$M$90</definedName>
    <definedName name="商业人流量" localSheetId="23">'比较法-商业租金'!$B$90:$M$90</definedName>
    <definedName name="商业人流量" localSheetId="5">'[1]比较法-商业'!$B$86:$M$86</definedName>
    <definedName name="商业人流量">'比较法-商业'!$B$90:$M$90</definedName>
    <definedName name="商业业态" localSheetId="22">'比较法-商业 (租金)'!$B$114:$M$114</definedName>
    <definedName name="商业业态" localSheetId="23">'比较法-商业租金'!$B$114:$M$114</definedName>
    <definedName name="商业业态" localSheetId="5">'[1]比较法-商业'!$B$110:$M$110</definedName>
    <definedName name="商业业态">'比较法-商业'!$B$114:$M$114</definedName>
    <definedName name="商业用途" localSheetId="22">'比较法-商业 (租金)'!$B$63:$M$63</definedName>
    <definedName name="商业用途" localSheetId="23">'比较法-商业租金'!$B$63:$M$63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D4" i="73" l="1"/>
  <c r="E20" i="43"/>
  <c r="O17" i="43"/>
  <c r="G20" i="43"/>
  <c r="C20" i="43"/>
  <c r="C29" i="43"/>
  <c r="E29" i="43"/>
  <c r="C33" i="43"/>
  <c r="E33" i="43"/>
  <c r="C34" i="43"/>
  <c r="E34" i="43"/>
  <c r="C35" i="43"/>
  <c r="E35" i="43"/>
  <c r="C36" i="43"/>
  <c r="E36" i="43"/>
  <c r="C37" i="43"/>
  <c r="E37" i="43"/>
  <c r="C38" i="43"/>
  <c r="E38" i="43"/>
  <c r="C39" i="43"/>
  <c r="E39" i="43"/>
  <c r="C26"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7" i="1"/>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57" i="15"/>
  <c r="J55" i="15"/>
  <c r="J58" i="15"/>
  <c r="J59" i="15"/>
  <c r="J60" i="15"/>
  <c r="L46" i="15"/>
  <c r="B2" i="15"/>
  <c r="D19" i="9"/>
  <c r="G19" i="9"/>
  <c r="C20" i="79"/>
  <c r="F6" i="67"/>
  <c r="F8" i="67"/>
  <c r="F7" i="67"/>
  <c r="F9" i="67"/>
  <c r="C6" i="67"/>
  <c r="F11" i="67"/>
  <c r="C10" i="67"/>
  <c r="C5" i="67"/>
  <c r="C32" i="67"/>
  <c r="F43" i="67"/>
  <c r="C14" i="67"/>
  <c r="C15" i="67"/>
  <c r="F16" i="67"/>
  <c r="C16" i="67"/>
  <c r="C17" i="67"/>
  <c r="C18" i="67"/>
  <c r="C19" i="67"/>
  <c r="C20" i="67"/>
  <c r="F24" i="67"/>
  <c r="C23" i="67"/>
  <c r="F26" i="67"/>
  <c r="C26" i="67"/>
  <c r="C24" i="67"/>
  <c r="C27" i="67"/>
  <c r="C29" i="67"/>
  <c r="C33" i="67"/>
  <c r="R6" i="1"/>
  <c r="F35" i="67"/>
  <c r="C34" i="67"/>
  <c r="C31"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79"/>
  <c r="G20" i="79"/>
  <c r="R24" i="31"/>
  <c r="S24" i="31"/>
  <c r="R25" i="31"/>
  <c r="S25" i="31"/>
  <c r="S22" i="31"/>
  <c r="F34" i="9"/>
  <c r="D77" i="80"/>
  <c r="F15" i="80"/>
  <c r="AA15" i="80"/>
  <c r="D79" i="80"/>
  <c r="F17" i="80"/>
  <c r="AA17" i="80"/>
  <c r="F33" i="80"/>
  <c r="AA33" i="80"/>
  <c r="F38" i="80"/>
  <c r="AA38" i="80"/>
  <c r="R48" i="80"/>
  <c r="H15" i="80"/>
  <c r="AB15" i="80"/>
  <c r="H17" i="80"/>
  <c r="AB17" i="80"/>
  <c r="H33" i="80"/>
  <c r="AB33" i="80"/>
  <c r="H38" i="80"/>
  <c r="AB38" i="80"/>
  <c r="T48" i="80"/>
  <c r="J15" i="80"/>
  <c r="AC15" i="80"/>
  <c r="J17" i="80"/>
  <c r="AC17" i="80"/>
  <c r="J33" i="80"/>
  <c r="AC33" i="80"/>
  <c r="J38" i="80"/>
  <c r="AC38" i="80"/>
  <c r="V48" i="80"/>
  <c r="R49" i="80"/>
  <c r="C49" i="80"/>
  <c r="U6" i="1"/>
  <c r="F52" i="67"/>
  <c r="F49" i="67"/>
  <c r="I14" i="3"/>
  <c r="D15" i="4"/>
  <c r="F8" i="1"/>
  <c r="I20" i="43"/>
  <c r="G3" i="43"/>
  <c r="E22" i="43"/>
  <c r="G22" i="43"/>
  <c r="F22" i="43"/>
  <c r="D22" i="43"/>
  <c r="C21" i="43"/>
  <c r="D76" i="43"/>
  <c r="D77" i="43"/>
  <c r="D72" i="43"/>
  <c r="D73" i="43"/>
  <c r="E70" i="43"/>
  <c r="B68" i="43"/>
  <c r="C24" i="43"/>
  <c r="C6" i="69"/>
  <c r="F19" i="6"/>
  <c r="D129" i="76"/>
  <c r="B130" i="80"/>
  <c r="B128" i="80"/>
  <c r="J45" i="80"/>
  <c r="AC45" i="80"/>
  <c r="B126" i="80"/>
  <c r="D125" i="80"/>
  <c r="E125" i="80"/>
  <c r="F125" i="80"/>
  <c r="G125" i="80"/>
  <c r="D123" i="80"/>
  <c r="E123" i="80"/>
  <c r="F123" i="80"/>
  <c r="G123" i="80"/>
  <c r="H123" i="80"/>
  <c r="I123" i="80"/>
  <c r="J123" i="80"/>
  <c r="K123" i="80"/>
  <c r="L123" i="80"/>
  <c r="M123" i="80"/>
  <c r="D121" i="80"/>
  <c r="E121" i="80"/>
  <c r="F121" i="80"/>
  <c r="G121" i="80"/>
  <c r="H121" i="80"/>
  <c r="I121" i="80"/>
  <c r="J121" i="80"/>
  <c r="K121" i="80"/>
  <c r="L121" i="80"/>
  <c r="M121" i="80"/>
  <c r="D117" i="80"/>
  <c r="E117" i="80"/>
  <c r="F117" i="80"/>
  <c r="G117" i="80"/>
  <c r="D115" i="80"/>
  <c r="E115" i="80"/>
  <c r="F115" i="80"/>
  <c r="G115" i="80"/>
  <c r="H115" i="80"/>
  <c r="I115" i="80"/>
  <c r="J115" i="80"/>
  <c r="K115" i="80"/>
  <c r="L115" i="80"/>
  <c r="M115" i="80"/>
  <c r="D113" i="80"/>
  <c r="E113" i="80"/>
  <c r="F113" i="80"/>
  <c r="G113" i="80"/>
  <c r="H113" i="80"/>
  <c r="I113" i="80"/>
  <c r="J113" i="80"/>
  <c r="K113" i="80"/>
  <c r="L113" i="80"/>
  <c r="M113" i="80"/>
  <c r="D111" i="80"/>
  <c r="E111" i="80"/>
  <c r="F111" i="80"/>
  <c r="G111" i="80"/>
  <c r="H111" i="80"/>
  <c r="I111" i="80"/>
  <c r="J111" i="80"/>
  <c r="K111" i="80"/>
  <c r="L111" i="80"/>
  <c r="M111" i="80"/>
  <c r="G109" i="80"/>
  <c r="F109" i="80"/>
  <c r="E109" i="80"/>
  <c r="D109" i="80"/>
  <c r="C109"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J31" i="80"/>
  <c r="AC31" i="80"/>
  <c r="B96" i="80"/>
  <c r="B94" i="80"/>
  <c r="J29" i="80"/>
  <c r="AC29" i="80"/>
  <c r="B92" i="80"/>
  <c r="D91" i="80"/>
  <c r="E91" i="80"/>
  <c r="F91" i="80"/>
  <c r="G91" i="80"/>
  <c r="H91" i="80"/>
  <c r="I91" i="80"/>
  <c r="J91" i="80"/>
  <c r="K91" i="80"/>
  <c r="L91" i="80"/>
  <c r="M91" i="80"/>
  <c r="B90" i="80"/>
  <c r="B88" i="80"/>
  <c r="J26" i="80"/>
  <c r="AC26" i="80"/>
  <c r="D87" i="80"/>
  <c r="E87" i="80"/>
  <c r="F87" i="80"/>
  <c r="G87" i="80"/>
  <c r="H87" i="80"/>
  <c r="I87" i="80"/>
  <c r="J87" i="80"/>
  <c r="K87" i="80"/>
  <c r="L87" i="80"/>
  <c r="M87" i="80"/>
  <c r="D85" i="80"/>
  <c r="E85" i="80"/>
  <c r="F85" i="80"/>
  <c r="G85" i="80"/>
  <c r="D83" i="80"/>
  <c r="E83" i="80"/>
  <c r="F83" i="80"/>
  <c r="G83" i="80"/>
  <c r="D81" i="80"/>
  <c r="E81" i="80"/>
  <c r="F81" i="80"/>
  <c r="G81" i="80"/>
  <c r="E79" i="80"/>
  <c r="F79" i="80"/>
  <c r="G79"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G66" i="80"/>
  <c r="H66" i="80"/>
  <c r="I66" i="80"/>
  <c r="C63" i="80"/>
  <c r="I54" i="80"/>
  <c r="J54" i="80"/>
  <c r="G54" i="80"/>
  <c r="H54" i="80"/>
  <c r="E54" i="80"/>
  <c r="F54" i="80"/>
  <c r="P49" i="80"/>
  <c r="P48" i="80"/>
  <c r="V47" i="80"/>
  <c r="T47" i="80"/>
  <c r="R47" i="80"/>
  <c r="P47" i="80"/>
  <c r="Q46" i="80"/>
  <c r="Z46" i="80"/>
  <c r="J46" i="80"/>
  <c r="AC46" i="80"/>
  <c r="H46" i="80"/>
  <c r="AB46" i="80"/>
  <c r="F46" i="80"/>
  <c r="AA46" i="80"/>
  <c r="Q45" i="80"/>
  <c r="Z45" i="80"/>
  <c r="H45" i="80"/>
  <c r="AB45" i="80"/>
  <c r="Q44" i="80"/>
  <c r="Z44" i="80"/>
  <c r="J44" i="80"/>
  <c r="AC44" i="80"/>
  <c r="H44" i="80"/>
  <c r="AB44" i="80"/>
  <c r="F44" i="80"/>
  <c r="AA44" i="80"/>
  <c r="Q43" i="80"/>
  <c r="Z43" i="80"/>
  <c r="H43" i="80"/>
  <c r="AB43" i="80"/>
  <c r="Q42" i="80"/>
  <c r="Z42" i="80"/>
  <c r="J42" i="80"/>
  <c r="AC42" i="80"/>
  <c r="H42" i="80"/>
  <c r="AB42" i="80"/>
  <c r="F42" i="80"/>
  <c r="AA42" i="80"/>
  <c r="Q41" i="80"/>
  <c r="Z41" i="80"/>
  <c r="J41" i="80"/>
  <c r="AC41" i="80"/>
  <c r="H41" i="80"/>
  <c r="AB41" i="80"/>
  <c r="F41" i="80"/>
  <c r="AA41" i="80"/>
  <c r="Q40" i="80"/>
  <c r="Z40" i="80"/>
  <c r="J40" i="80"/>
  <c r="AC40" i="80"/>
  <c r="H40" i="80"/>
  <c r="AB40" i="80"/>
  <c r="F40" i="80"/>
  <c r="AA40" i="80"/>
  <c r="Q39" i="80"/>
  <c r="Z39" i="80"/>
  <c r="J39" i="80"/>
  <c r="AC39" i="80"/>
  <c r="H39" i="80"/>
  <c r="AB39" i="80"/>
  <c r="F39" i="80"/>
  <c r="AA39" i="80"/>
  <c r="Q38" i="80"/>
  <c r="Z38" i="80"/>
  <c r="Q37" i="80"/>
  <c r="Z37" i="80"/>
  <c r="J37" i="80"/>
  <c r="AC37" i="80"/>
  <c r="H37" i="80"/>
  <c r="AB37" i="80"/>
  <c r="F37" i="80"/>
  <c r="AA37" i="80"/>
  <c r="Q36" i="80"/>
  <c r="Z36" i="80"/>
  <c r="H36" i="80"/>
  <c r="AB36" i="80"/>
  <c r="Q35" i="80"/>
  <c r="Z35" i="80"/>
  <c r="J35" i="80"/>
  <c r="AC35" i="80"/>
  <c r="H35" i="80"/>
  <c r="AB35" i="80"/>
  <c r="F35" i="80"/>
  <c r="AA35" i="80"/>
  <c r="Q34" i="80"/>
  <c r="Z34" i="80"/>
  <c r="J34" i="80"/>
  <c r="AC34" i="80"/>
  <c r="H34" i="80"/>
  <c r="AB34" i="80"/>
  <c r="F34" i="80"/>
  <c r="AA34" i="80"/>
  <c r="Q33" i="80"/>
  <c r="Z33" i="80"/>
  <c r="Q32" i="80"/>
  <c r="Z32" i="80"/>
  <c r="J32" i="80"/>
  <c r="AC32" i="80"/>
  <c r="H32" i="80"/>
  <c r="AB32" i="80"/>
  <c r="F32" i="80"/>
  <c r="AA32" i="80"/>
  <c r="Q31" i="80"/>
  <c r="Z31" i="80"/>
  <c r="H31" i="80"/>
  <c r="AB31" i="80"/>
  <c r="Q30" i="80"/>
  <c r="Z30" i="80"/>
  <c r="J30" i="80"/>
  <c r="AC30" i="80"/>
  <c r="H30" i="80"/>
  <c r="AB30" i="80"/>
  <c r="F30" i="80"/>
  <c r="AA30" i="80"/>
  <c r="Q29" i="80"/>
  <c r="Z29" i="80"/>
  <c r="H29" i="80"/>
  <c r="AB29" i="80"/>
  <c r="Q28" i="80"/>
  <c r="Z28" i="80"/>
  <c r="J28" i="80"/>
  <c r="AC28" i="80"/>
  <c r="H28" i="80"/>
  <c r="AB28" i="80"/>
  <c r="F28" i="80"/>
  <c r="AA28" i="80"/>
  <c r="Q27" i="80"/>
  <c r="Z27" i="80"/>
  <c r="H27" i="80"/>
  <c r="AB27" i="80"/>
  <c r="Q26" i="80"/>
  <c r="Z26" i="80"/>
  <c r="H26" i="80"/>
  <c r="AB26" i="80"/>
  <c r="Q25" i="80"/>
  <c r="Z25" i="80"/>
  <c r="J25" i="80"/>
  <c r="AC25" i="80"/>
  <c r="H25" i="80"/>
  <c r="U25" i="80"/>
  <c r="F25" i="80"/>
  <c r="AA25" i="80"/>
  <c r="Q23" i="80"/>
  <c r="Z23" i="80"/>
  <c r="H23" i="80"/>
  <c r="AB23" i="80"/>
  <c r="C23" i="80"/>
  <c r="Q21" i="80"/>
  <c r="Z21" i="80"/>
  <c r="J21" i="80"/>
  <c r="AC21" i="80"/>
  <c r="H21" i="80"/>
  <c r="AB21" i="80"/>
  <c r="F21" i="80"/>
  <c r="AA21" i="80"/>
  <c r="C21" i="80"/>
  <c r="Q19" i="80"/>
  <c r="Z19" i="80"/>
  <c r="J19" i="80"/>
  <c r="AC19" i="80"/>
  <c r="H19" i="80"/>
  <c r="AB19" i="80"/>
  <c r="F19" i="80"/>
  <c r="AA19" i="80"/>
  <c r="C19" i="80"/>
  <c r="Q17" i="80"/>
  <c r="Z17" i="80"/>
  <c r="C17" i="80"/>
  <c r="Q15" i="80"/>
  <c r="Z15" i="80"/>
  <c r="C15" i="80"/>
  <c r="Q14" i="80"/>
  <c r="Z14" i="80"/>
  <c r="J14" i="80"/>
  <c r="AC14" i="80"/>
  <c r="H14" i="80"/>
  <c r="AB14" i="80"/>
  <c r="F14" i="80"/>
  <c r="AA14" i="80"/>
  <c r="Q13" i="80"/>
  <c r="Z13" i="80"/>
  <c r="J13" i="80"/>
  <c r="AC13" i="80"/>
  <c r="F13" i="80"/>
  <c r="AA13" i="80"/>
  <c r="Q12" i="80"/>
  <c r="Z12" i="80"/>
  <c r="J12" i="80"/>
  <c r="AC12" i="80"/>
  <c r="H12" i="80"/>
  <c r="AB12" i="80"/>
  <c r="F12" i="80"/>
  <c r="AA12" i="80"/>
  <c r="Q11" i="80"/>
  <c r="Z11" i="80"/>
  <c r="J11" i="80"/>
  <c r="AC11" i="80"/>
  <c r="H11" i="80"/>
  <c r="AB11" i="80"/>
  <c r="F11" i="80"/>
  <c r="AA11" i="80"/>
  <c r="Q10" i="80"/>
  <c r="Z10" i="80"/>
  <c r="J10" i="80"/>
  <c r="AC10" i="80"/>
  <c r="H10" i="80"/>
  <c r="AB10" i="80"/>
  <c r="F10" i="80"/>
  <c r="AA10" i="80"/>
  <c r="Q9" i="80"/>
  <c r="Z9" i="80"/>
  <c r="J9" i="80"/>
  <c r="AC9" i="80"/>
  <c r="H9" i="80"/>
  <c r="AB9" i="80"/>
  <c r="F9" i="80"/>
  <c r="AA9" i="80"/>
  <c r="J8" i="80"/>
  <c r="AC8" i="80"/>
  <c r="H8" i="80"/>
  <c r="AB8" i="80"/>
  <c r="F8" i="80"/>
  <c r="AA8" i="80"/>
  <c r="D2" i="80"/>
  <c r="U8" i="80"/>
  <c r="F23" i="80"/>
  <c r="AA23" i="80"/>
  <c r="J23" i="80"/>
  <c r="AC23" i="80"/>
  <c r="F26" i="80"/>
  <c r="F27" i="80"/>
  <c r="AA27" i="80"/>
  <c r="J27" i="80"/>
  <c r="AC27" i="80"/>
  <c r="F29" i="80"/>
  <c r="AA29" i="80"/>
  <c r="F31" i="80"/>
  <c r="AA31" i="80"/>
  <c r="F36" i="80"/>
  <c r="AA36" i="80"/>
  <c r="J36" i="80"/>
  <c r="AC36" i="80"/>
  <c r="F43" i="80"/>
  <c r="AA43" i="80"/>
  <c r="J43" i="80"/>
  <c r="AC43" i="80"/>
  <c r="F45" i="80"/>
  <c r="AA45" i="80"/>
  <c r="S8" i="80"/>
  <c r="W8" i="80"/>
  <c r="S9" i="80"/>
  <c r="W9" i="80"/>
  <c r="U10" i="80"/>
  <c r="S11" i="80"/>
  <c r="W11" i="80"/>
  <c r="U12" i="80"/>
  <c r="S13" i="80"/>
  <c r="W13" i="80"/>
  <c r="U14" i="80"/>
  <c r="U15" i="80"/>
  <c r="U17" i="80"/>
  <c r="U19" i="80"/>
  <c r="U21" i="80"/>
  <c r="U23" i="80"/>
  <c r="S25" i="80"/>
  <c r="W25" i="80"/>
  <c r="AB25" i="80"/>
  <c r="U9" i="80"/>
  <c r="S10" i="80"/>
  <c r="W10" i="80"/>
  <c r="U11" i="80"/>
  <c r="S12" i="80"/>
  <c r="W12" i="80"/>
  <c r="U13" i="80"/>
  <c r="S14" i="80"/>
  <c r="W14" i="80"/>
  <c r="S15" i="80"/>
  <c r="W15" i="80"/>
  <c r="S17" i="80"/>
  <c r="W17" i="80"/>
  <c r="S19" i="80"/>
  <c r="W19" i="80"/>
  <c r="S21" i="80"/>
  <c r="W21" i="80"/>
  <c r="S23" i="80"/>
  <c r="W23" i="80"/>
  <c r="AA26"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120" i="79"/>
  <c r="E111" i="79"/>
  <c r="H112" i="79"/>
  <c r="E109" i="79"/>
  <c r="A124" i="79"/>
  <c r="E107" i="79"/>
  <c r="A122" i="79"/>
  <c r="H106" i="79"/>
  <c r="H105" i="79"/>
  <c r="H104" i="79"/>
  <c r="D101" i="79"/>
  <c r="C101" i="79"/>
  <c r="C91" i="79"/>
  <c r="E90" i="79"/>
  <c r="D89" i="79"/>
  <c r="C89" i="79"/>
  <c r="C87" i="79"/>
  <c r="H77" i="79"/>
  <c r="D77" i="79"/>
  <c r="C76" i="79"/>
  <c r="F59" i="79"/>
  <c r="E59" i="79"/>
  <c r="D59" i="79"/>
  <c r="F56" i="79"/>
  <c r="O55" i="79"/>
  <c r="N55" i="79"/>
  <c r="M55" i="79"/>
  <c r="K55" i="79"/>
  <c r="J55" i="79"/>
  <c r="I55" i="79"/>
  <c r="F55" i="79"/>
  <c r="O53" i="79"/>
  <c r="O54" i="79"/>
  <c r="N54" i="79"/>
  <c r="N53" i="79"/>
  <c r="K49" i="79"/>
  <c r="F48" i="79"/>
  <c r="O52" i="79"/>
  <c r="E48" i="79"/>
  <c r="N52" i="79"/>
  <c r="D48" i="79"/>
  <c r="M52" i="79"/>
  <c r="F33" i="79"/>
  <c r="B30" i="79"/>
  <c r="D27" i="79"/>
  <c r="D30" i="79"/>
  <c r="C30" i="79"/>
  <c r="C25" i="79"/>
  <c r="C24" i="79"/>
  <c r="C17" i="79"/>
  <c r="D14" i="79"/>
  <c r="D17" i="79"/>
  <c r="C18" i="79"/>
  <c r="D18" i="79"/>
  <c r="L4" i="79"/>
  <c r="K4" i="79"/>
  <c r="H1" i="79"/>
  <c r="B130" i="78"/>
  <c r="B128" i="78"/>
  <c r="B126" i="78"/>
  <c r="D125" i="78"/>
  <c r="E125" i="78"/>
  <c r="F125" i="78"/>
  <c r="G125" i="78"/>
  <c r="D123" i="78"/>
  <c r="E123" i="78"/>
  <c r="F123" i="78"/>
  <c r="G123" i="78"/>
  <c r="H123" i="78"/>
  <c r="I123" i="78"/>
  <c r="J123" i="78"/>
  <c r="K123" i="78"/>
  <c r="L123" i="78"/>
  <c r="M123" i="78"/>
  <c r="D121" i="78"/>
  <c r="E121" i="78"/>
  <c r="F121" i="78"/>
  <c r="G121" i="78"/>
  <c r="H121" i="78"/>
  <c r="I121" i="78"/>
  <c r="J121" i="78"/>
  <c r="K121" i="78"/>
  <c r="L121" i="78"/>
  <c r="M121" i="78"/>
  <c r="D117" i="78"/>
  <c r="E117" i="78"/>
  <c r="F117" i="78"/>
  <c r="G117" i="78"/>
  <c r="D115" i="78"/>
  <c r="E115" i="78"/>
  <c r="F115" i="78"/>
  <c r="G115" i="78"/>
  <c r="H115" i="78"/>
  <c r="I115" i="78"/>
  <c r="J115" i="78"/>
  <c r="K115" i="78"/>
  <c r="L115" i="78"/>
  <c r="M115" i="78"/>
  <c r="D113" i="78"/>
  <c r="E113" i="78"/>
  <c r="F113" i="78"/>
  <c r="G113" i="78"/>
  <c r="H113" i="78"/>
  <c r="I113" i="78"/>
  <c r="J113" i="78"/>
  <c r="K113" i="78"/>
  <c r="L113" i="78"/>
  <c r="M113" i="78"/>
  <c r="D111" i="78"/>
  <c r="E111" i="78"/>
  <c r="F111" i="78"/>
  <c r="G111" i="78"/>
  <c r="H111" i="78"/>
  <c r="I111" i="78"/>
  <c r="J111" i="78"/>
  <c r="K111" i="78"/>
  <c r="L111" i="78"/>
  <c r="M111" i="78"/>
  <c r="G109" i="78"/>
  <c r="F109" i="78"/>
  <c r="E109" i="78"/>
  <c r="D109" i="78"/>
  <c r="C109"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B96" i="78"/>
  <c r="B94" i="78"/>
  <c r="B92" i="78"/>
  <c r="D91" i="78"/>
  <c r="E91" i="78"/>
  <c r="F91" i="78"/>
  <c r="G91" i="78"/>
  <c r="H91" i="78"/>
  <c r="I91" i="78"/>
  <c r="J91" i="78"/>
  <c r="K91" i="78"/>
  <c r="L91" i="78"/>
  <c r="M91" i="78"/>
  <c r="B90" i="78"/>
  <c r="B88" i="78"/>
  <c r="D87" i="78"/>
  <c r="E87" i="78"/>
  <c r="F87" i="78"/>
  <c r="G87" i="78"/>
  <c r="H87" i="78"/>
  <c r="I87" i="78"/>
  <c r="J87" i="78"/>
  <c r="K87" i="78"/>
  <c r="L87" i="78"/>
  <c r="M87" i="78"/>
  <c r="D85" i="78"/>
  <c r="E85" i="78"/>
  <c r="F85" i="78"/>
  <c r="G85" i="78"/>
  <c r="D83" i="78"/>
  <c r="E83" i="78"/>
  <c r="F83" i="78"/>
  <c r="G83" i="78"/>
  <c r="D81" i="78"/>
  <c r="E81" i="78"/>
  <c r="F81" i="78"/>
  <c r="G81" i="78"/>
  <c r="D79" i="78"/>
  <c r="E79" i="78"/>
  <c r="F79" i="78"/>
  <c r="G79" i="78"/>
  <c r="D77" i="78"/>
  <c r="E77" i="78"/>
  <c r="F77" i="78"/>
  <c r="G77" i="78"/>
  <c r="B74" i="78"/>
  <c r="B72" i="78"/>
  <c r="B70" i="78"/>
  <c r="D69" i="78"/>
  <c r="E69" i="78"/>
  <c r="F69" i="78"/>
  <c r="G69" i="78"/>
  <c r="H69" i="78"/>
  <c r="I69" i="78"/>
  <c r="J69" i="78"/>
  <c r="K69" i="78"/>
  <c r="L69" i="78"/>
  <c r="M69" i="78"/>
  <c r="M67" i="78"/>
  <c r="L67" i="78"/>
  <c r="K67" i="78"/>
  <c r="J67" i="78"/>
  <c r="I67" i="78"/>
  <c r="H67" i="78"/>
  <c r="G67" i="78"/>
  <c r="F67" i="78"/>
  <c r="E67" i="78"/>
  <c r="D67" i="78"/>
  <c r="C67"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AC45" i="78"/>
  <c r="H45" i="78"/>
  <c r="AB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J33" i="78"/>
  <c r="AC33" i="78"/>
  <c r="H33" i="78"/>
  <c r="AB33" i="78"/>
  <c r="F33" i="78"/>
  <c r="AA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5" i="78"/>
  <c r="Z15" i="78"/>
  <c r="J15" i="78"/>
  <c r="AC15" i="78"/>
  <c r="H15" i="78"/>
  <c r="AB15" i="78"/>
  <c r="F15" i="78"/>
  <c r="AA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J11" i="78"/>
  <c r="AC11" i="78"/>
  <c r="H11" i="78"/>
  <c r="AB11" i="78"/>
  <c r="F11" i="78"/>
  <c r="AA11" i="78"/>
  <c r="Q10" i="78"/>
  <c r="Z10" i="78"/>
  <c r="J10" i="78"/>
  <c r="AC10" i="78"/>
  <c r="H10" i="78"/>
  <c r="AB10" i="78"/>
  <c r="F10" i="78"/>
  <c r="AA10" i="78"/>
  <c r="Q9" i="78"/>
  <c r="Z9" i="78"/>
  <c r="J9" i="78"/>
  <c r="AC9" i="78"/>
  <c r="H9" i="78"/>
  <c r="AB9" i="78"/>
  <c r="F9" i="78"/>
  <c r="AA9" i="78"/>
  <c r="J8" i="78"/>
  <c r="W8" i="78"/>
  <c r="H8" i="78"/>
  <c r="AB8" i="78"/>
  <c r="F8" i="78"/>
  <c r="S8" i="78"/>
  <c r="C30" i="36"/>
  <c r="D2" i="78"/>
  <c r="U8" i="78"/>
  <c r="H103" i="79"/>
  <c r="D120" i="79"/>
  <c r="H111" i="79"/>
  <c r="D126" i="79"/>
  <c r="D127" i="79"/>
  <c r="A126" i="79"/>
  <c r="K120" i="79"/>
  <c r="D121" i="79"/>
  <c r="C92" i="79"/>
  <c r="C94" i="79"/>
  <c r="H109" i="79"/>
  <c r="AA8" i="78"/>
  <c r="AC8" i="78"/>
  <c r="U13" i="78"/>
  <c r="S15" i="78"/>
  <c r="W15" i="78"/>
  <c r="S17" i="78"/>
  <c r="W17" i="78"/>
  <c r="S19" i="78"/>
  <c r="W19" i="78"/>
  <c r="S21" i="78"/>
  <c r="W21" i="78"/>
  <c r="AA23" i="78"/>
  <c r="S23" i="78"/>
  <c r="U23" i="78"/>
  <c r="W25" i="78"/>
  <c r="U9" i="78"/>
  <c r="S10" i="78"/>
  <c r="W10" i="78"/>
  <c r="U11" i="78"/>
  <c r="S12" i="78"/>
  <c r="W12" i="78"/>
  <c r="S14" i="78"/>
  <c r="W14" i="78"/>
  <c r="S9" i="78"/>
  <c r="W9" i="78"/>
  <c r="U10" i="78"/>
  <c r="S11" i="78"/>
  <c r="W11" i="78"/>
  <c r="U12" i="78"/>
  <c r="S13" i="78"/>
  <c r="W13" i="78"/>
  <c r="U14" i="78"/>
  <c r="U15" i="78"/>
  <c r="U17" i="78"/>
  <c r="U19" i="78"/>
  <c r="U21" i="78"/>
  <c r="S25"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S46" i="78"/>
  <c r="W46"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S45" i="78"/>
  <c r="W45" i="78"/>
  <c r="U46" i="78"/>
  <c r="Q72" i="77"/>
  <c r="F33" i="77"/>
  <c r="F61" i="77"/>
  <c r="Q59" i="77"/>
  <c r="F59" i="77"/>
  <c r="Q58" i="77"/>
  <c r="Q51" i="77"/>
  <c r="J50" i="77"/>
  <c r="M47" i="77"/>
  <c r="D46" i="77"/>
  <c r="F31" i="77"/>
  <c r="F23" i="77"/>
  <c r="F21" i="77"/>
  <c r="F20" i="77"/>
  <c r="M19" i="77"/>
  <c r="F18" i="77"/>
  <c r="M17" i="77"/>
  <c r="F17" i="77"/>
  <c r="F15" i="77"/>
  <c r="B7" i="4"/>
  <c r="D124" i="79"/>
  <c r="D125" i="79"/>
  <c r="H110" i="79"/>
  <c r="D23" i="77"/>
  <c r="D22" i="77"/>
  <c r="D24" i="77"/>
  <c r="D38" i="43"/>
  <c r="D14" i="9"/>
  <c r="D3" i="4"/>
  <c r="A15" i="51"/>
  <c r="C76" i="9"/>
  <c r="I107" i="40"/>
  <c r="K6" i="4"/>
  <c r="N56" i="79"/>
  <c r="K56" i="79"/>
  <c r="M56" i="79"/>
  <c r="J56" i="79"/>
  <c r="J57" i="79"/>
  <c r="J59" i="79"/>
  <c r="J61" i="79"/>
  <c r="B22" i="31"/>
  <c r="N56" i="9"/>
  <c r="M56" i="9"/>
  <c r="K56" i="9"/>
  <c r="E16" i="74"/>
  <c r="F16" i="74"/>
  <c r="E17" i="74"/>
  <c r="F17" i="74"/>
  <c r="E18" i="74"/>
  <c r="F18" i="74"/>
  <c r="E19" i="74"/>
  <c r="F19" i="74"/>
  <c r="E20" i="74"/>
  <c r="F20" i="74"/>
  <c r="E21" i="74"/>
  <c r="F21" i="74"/>
  <c r="E22" i="74"/>
  <c r="F22" i="74"/>
  <c r="E23" i="74"/>
  <c r="F23" i="74"/>
  <c r="B3" i="74"/>
  <c r="C91" i="9"/>
  <c r="B8" i="72"/>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5" i="73"/>
  <c r="F3" i="73"/>
  <c r="F6" i="73"/>
  <c r="D3" i="73"/>
  <c r="D6" i="73"/>
  <c r="D7" i="73"/>
  <c r="F11" i="77"/>
  <c r="M11" i="77"/>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D36" i="71"/>
  <c r="Q35" i="71"/>
  <c r="P35" i="71"/>
  <c r="O35" i="71"/>
  <c r="N35" i="71"/>
  <c r="Q34" i="71"/>
  <c r="P34" i="71"/>
  <c r="O34" i="71"/>
  <c r="N34" i="71"/>
  <c r="Q33" i="71"/>
  <c r="P33" i="71"/>
  <c r="O33" i="71"/>
  <c r="N33" i="71"/>
  <c r="Q32" i="71"/>
  <c r="F33" i="71"/>
  <c r="F34" i="71"/>
  <c r="F35" i="71"/>
  <c r="V35" i="71"/>
  <c r="P32" i="71"/>
  <c r="E33" i="71"/>
  <c r="O32" i="71"/>
  <c r="C33" i="71"/>
  <c r="N32" i="71"/>
  <c r="B33" i="71"/>
  <c r="B34"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D28" i="71"/>
  <c r="T27" i="71"/>
  <c r="Q27" i="71"/>
  <c r="P27" i="71"/>
  <c r="O27" i="71"/>
  <c r="N27" i="71"/>
  <c r="D27" i="71"/>
  <c r="Q26" i="71"/>
  <c r="P26" i="71"/>
  <c r="O26" i="71"/>
  <c r="N26" i="71"/>
  <c r="Q25" i="71"/>
  <c r="P25" i="71"/>
  <c r="O25" i="71"/>
  <c r="N25" i="71"/>
  <c r="Q24" i="71"/>
  <c r="F25" i="71"/>
  <c r="F26" i="71"/>
  <c r="F27" i="71"/>
  <c r="V27" i="71"/>
  <c r="P24" i="71"/>
  <c r="E25" i="71"/>
  <c r="O24" i="71"/>
  <c r="C25" i="71"/>
  <c r="N24" i="71"/>
  <c r="B25" i="71"/>
  <c r="D24" i="71"/>
  <c r="Q23" i="71"/>
  <c r="P23" i="71"/>
  <c r="O23" i="71"/>
  <c r="N23" i="71"/>
  <c r="Q22" i="71"/>
  <c r="P22" i="71"/>
  <c r="O22" i="71"/>
  <c r="N22" i="71"/>
  <c r="Q21" i="71"/>
  <c r="P21" i="71"/>
  <c r="O21" i="71"/>
  <c r="N21" i="71"/>
  <c r="Q20" i="71"/>
  <c r="F21" i="71"/>
  <c r="F22" i="71"/>
  <c r="F23" i="71"/>
  <c r="V23" i="71"/>
  <c r="P20" i="71"/>
  <c r="E21" i="71"/>
  <c r="O20" i="71"/>
  <c r="C21" i="71"/>
  <c r="N20" i="71"/>
  <c r="B21" i="71"/>
  <c r="D20" i="71"/>
  <c r="Q19" i="71"/>
  <c r="P19" i="71"/>
  <c r="O19" i="71"/>
  <c r="N19" i="71"/>
  <c r="Q18" i="71"/>
  <c r="AB18" i="71"/>
  <c r="P18" i="71"/>
  <c r="AA18" i="71"/>
  <c r="O18" i="71"/>
  <c r="Y18" i="71"/>
  <c r="Z18" i="71"/>
  <c r="N18" i="71"/>
  <c r="X18" i="71"/>
  <c r="Q17" i="71"/>
  <c r="P17" i="71"/>
  <c r="AA17" i="71"/>
  <c r="O17" i="71"/>
  <c r="Y17" i="71"/>
  <c r="Z17" i="71"/>
  <c r="N17" i="71"/>
  <c r="X17" i="71"/>
  <c r="Q16" i="71"/>
  <c r="AB16" i="71"/>
  <c r="P16" i="71"/>
  <c r="O16" i="71"/>
  <c r="N16" i="71"/>
  <c r="D16" i="71"/>
  <c r="Q15" i="71"/>
  <c r="P15" i="71"/>
  <c r="AA15" i="71"/>
  <c r="O15" i="71"/>
  <c r="N15" i="71"/>
  <c r="X15" i="71"/>
  <c r="Q14" i="71"/>
  <c r="P14" i="71"/>
  <c r="AA14" i="71"/>
  <c r="O14" i="71"/>
  <c r="N14" i="71"/>
  <c r="X14" i="71"/>
  <c r="Q13" i="71"/>
  <c r="AB13" i="71"/>
  <c r="P13" i="71"/>
  <c r="AA13" i="71"/>
  <c r="O13" i="71"/>
  <c r="Y13" i="71"/>
  <c r="Z13" i="71"/>
  <c r="N13" i="71"/>
  <c r="X13" i="71"/>
  <c r="Q12" i="71"/>
  <c r="AB12" i="71"/>
  <c r="P12" i="71"/>
  <c r="O12" i="71"/>
  <c r="N12" i="71"/>
  <c r="D12" i="71"/>
  <c r="Q11" i="71"/>
  <c r="P11" i="71"/>
  <c r="O11" i="71"/>
  <c r="N11" i="71"/>
  <c r="Q10" i="71"/>
  <c r="P10" i="71"/>
  <c r="AA10" i="71"/>
  <c r="O10" i="71"/>
  <c r="N10" i="71"/>
  <c r="X10" i="71"/>
  <c r="Q9" i="71"/>
  <c r="AB9" i="71"/>
  <c r="P9" i="71"/>
  <c r="AA9" i="71"/>
  <c r="O9" i="71"/>
  <c r="Y9" i="71"/>
  <c r="Z9" i="71"/>
  <c r="N9" i="71"/>
  <c r="X9" i="71"/>
  <c r="Q8" i="71"/>
  <c r="AB8" i="71"/>
  <c r="P8" i="71"/>
  <c r="O8" i="71"/>
  <c r="N8" i="71"/>
  <c r="D8" i="71"/>
  <c r="O7" i="71"/>
  <c r="N7" i="71"/>
  <c r="X11" i="71"/>
  <c r="AA11" i="71"/>
  <c r="B9" i="71"/>
  <c r="B10" i="71"/>
  <c r="B11" i="71"/>
  <c r="S11" i="71"/>
  <c r="X8" i="71"/>
  <c r="E9" i="71"/>
  <c r="E10" i="71"/>
  <c r="E11" i="71"/>
  <c r="U11" i="71"/>
  <c r="AA8" i="71"/>
  <c r="F9" i="71"/>
  <c r="F10" i="71"/>
  <c r="F11" i="71"/>
  <c r="V11" i="71"/>
  <c r="Y10" i="71"/>
  <c r="Z10" i="71"/>
  <c r="AB10" i="71"/>
  <c r="Y11" i="71"/>
  <c r="Z11" i="71"/>
  <c r="AB11" i="71"/>
  <c r="B13" i="71"/>
  <c r="B14" i="71"/>
  <c r="B15" i="71"/>
  <c r="S15" i="71"/>
  <c r="X12" i="71"/>
  <c r="E13" i="71"/>
  <c r="E14" i="71"/>
  <c r="E15" i="71"/>
  <c r="U15" i="71"/>
  <c r="AA12" i="71"/>
  <c r="F13" i="71"/>
  <c r="F14" i="71"/>
  <c r="F15" i="71"/>
  <c r="V15" i="71"/>
  <c r="Y14" i="71"/>
  <c r="Z14" i="71"/>
  <c r="AB14" i="71"/>
  <c r="Y15" i="71"/>
  <c r="Z15" i="71"/>
  <c r="AB15" i="71"/>
  <c r="B17" i="71"/>
  <c r="B18" i="71"/>
  <c r="B19" i="71"/>
  <c r="S19" i="71"/>
  <c r="X16" i="71"/>
  <c r="E17" i="71"/>
  <c r="E18" i="71"/>
  <c r="E19" i="71"/>
  <c r="U19" i="71"/>
  <c r="AA16" i="71"/>
  <c r="F17" i="71"/>
  <c r="F18" i="71"/>
  <c r="F19" i="71"/>
  <c r="V19" i="71"/>
  <c r="AB17" i="71"/>
  <c r="B22" i="71"/>
  <c r="B23" i="71"/>
  <c r="S23" i="71"/>
  <c r="E22" i="71"/>
  <c r="E23" i="71"/>
  <c r="U23" i="71"/>
  <c r="B26" i="71"/>
  <c r="B27" i="71"/>
  <c r="S27" i="71"/>
  <c r="E26" i="71"/>
  <c r="E27" i="71"/>
  <c r="U27" i="71"/>
  <c r="B30" i="71"/>
  <c r="B31" i="71"/>
  <c r="S31" i="71"/>
  <c r="B35" i="71"/>
  <c r="S35" i="71"/>
  <c r="B39" i="71"/>
  <c r="S39" i="71"/>
  <c r="B43" i="71"/>
  <c r="S43" i="71"/>
  <c r="N47" i="71"/>
  <c r="C9" i="71"/>
  <c r="Y8" i="71"/>
  <c r="Z8" i="71"/>
  <c r="C13" i="71"/>
  <c r="Y12" i="71"/>
  <c r="Z12" i="71"/>
  <c r="C17" i="71"/>
  <c r="Y16" i="71"/>
  <c r="Z16"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M19" i="43"/>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8" i="1"/>
  <c r="E21" i="6"/>
  <c r="K8" i="1"/>
  <c r="AP8" i="1"/>
  <c r="AP9" i="1"/>
  <c r="AP10" i="1"/>
  <c r="AP11" i="1"/>
  <c r="AP12" i="1"/>
  <c r="AP13" i="1"/>
  <c r="E32"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2" i="1"/>
  <c r="AO10" i="1"/>
  <c r="AO11" i="1"/>
  <c r="AO13" i="1"/>
  <c r="B10" i="70"/>
  <c r="B11" i="70"/>
  <c r="B13" i="70"/>
  <c r="B9"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S1" i="4"/>
  <c r="B1" i="4"/>
  <c r="B37" i="48"/>
  <c r="B2" i="72"/>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M76" i="43"/>
  <c r="N76" i="43"/>
  <c r="K76" i="43"/>
  <c r="J76" i="43"/>
  <c r="M75" i="43"/>
  <c r="N75" i="43"/>
  <c r="K75" i="43"/>
  <c r="J75" i="43"/>
  <c r="D75" i="43"/>
  <c r="M74" i="43"/>
  <c r="N74" i="43"/>
  <c r="K74" i="43"/>
  <c r="J74" i="43"/>
  <c r="D74" i="43"/>
  <c r="M73" i="43"/>
  <c r="N73" i="43"/>
  <c r="K73" i="43"/>
  <c r="J73" i="43"/>
  <c r="M72" i="43"/>
  <c r="N72" i="43"/>
  <c r="K72" i="43"/>
  <c r="J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B8" i="1"/>
  <c r="E8" i="1"/>
  <c r="A9" i="1"/>
  <c r="A10" i="1"/>
  <c r="A11" i="1"/>
  <c r="A12" i="1"/>
  <c r="A13" i="1"/>
  <c r="B13" i="1"/>
  <c r="E13" i="1"/>
  <c r="A6" i="1"/>
  <c r="G1" i="77"/>
  <c r="B11" i="1"/>
  <c r="E11" i="1"/>
  <c r="K12" i="1"/>
  <c r="K10" i="1"/>
  <c r="M10" i="1"/>
  <c r="O10"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L112" i="3"/>
  <c r="BK112" i="3"/>
  <c r="BJ112" i="3"/>
  <c r="BI112" i="3"/>
  <c r="BH112" i="3"/>
  <c r="BG112" i="3"/>
  <c r="BF112" i="3"/>
  <c r="BE112" i="3"/>
  <c r="BD112" i="3"/>
  <c r="BC112" i="3"/>
  <c r="BB112" i="3"/>
  <c r="AX112" i="3"/>
  <c r="AW112" i="3"/>
  <c r="AV112" i="3"/>
  <c r="AC112" i="3"/>
  <c r="H112" i="3"/>
  <c r="G112" i="3"/>
  <c r="BT111" i="3"/>
  <c r="BS111" i="3"/>
  <c r="BR111" i="3"/>
  <c r="BQ111" i="3"/>
  <c r="BK111" i="3"/>
  <c r="BJ111" i="3"/>
  <c r="BI111" i="3"/>
  <c r="BH111" i="3"/>
  <c r="BG111" i="3"/>
  <c r="BF111" i="3"/>
  <c r="BE111" i="3"/>
  <c r="BD111" i="3"/>
  <c r="BC111" i="3"/>
  <c r="BB111" i="3"/>
  <c r="BA111" i="3"/>
  <c r="AX111" i="3"/>
  <c r="AW111" i="3"/>
  <c r="AV111" i="3"/>
  <c r="AC111" i="3"/>
  <c r="H111" i="3"/>
  <c r="BT110" i="3"/>
  <c r="BS110" i="3"/>
  <c r="BR110" i="3"/>
  <c r="BQ110" i="3"/>
  <c r="BL110" i="3"/>
  <c r="BK110" i="3"/>
  <c r="BJ110" i="3"/>
  <c r="BI110" i="3"/>
  <c r="BH110" i="3"/>
  <c r="BG110" i="3"/>
  <c r="BF110" i="3"/>
  <c r="BE110" i="3"/>
  <c r="BD110" i="3"/>
  <c r="BC110" i="3"/>
  <c r="BB110" i="3"/>
  <c r="BA110" i="3"/>
  <c r="AX110" i="3"/>
  <c r="AW110" i="3"/>
  <c r="AV110" i="3"/>
  <c r="AC110" i="3"/>
  <c r="H110" i="3"/>
  <c r="BT109" i="3"/>
  <c r="BS109" i="3"/>
  <c r="BR109" i="3"/>
  <c r="BQ109" i="3"/>
  <c r="BL109" i="3"/>
  <c r="BK109" i="3"/>
  <c r="BJ109" i="3"/>
  <c r="BI109" i="3"/>
  <c r="BH109" i="3"/>
  <c r="BG109" i="3"/>
  <c r="BF109" i="3"/>
  <c r="BE109" i="3"/>
  <c r="BD109" i="3"/>
  <c r="BC109" i="3"/>
  <c r="BB109" i="3"/>
  <c r="BA109" i="3"/>
  <c r="AX109" i="3"/>
  <c r="AW109" i="3"/>
  <c r="AV109" i="3"/>
  <c r="AC109" i="3"/>
  <c r="H109" i="3"/>
  <c r="BT108" i="3"/>
  <c r="BS108" i="3"/>
  <c r="BR108" i="3"/>
  <c r="BQ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L106" i="3"/>
  <c r="BK106" i="3"/>
  <c r="BJ106" i="3"/>
  <c r="BI106" i="3"/>
  <c r="BH106" i="3"/>
  <c r="BG106" i="3"/>
  <c r="BF106" i="3"/>
  <c r="BE106" i="3"/>
  <c r="BD106" i="3"/>
  <c r="BC106" i="3"/>
  <c r="BB106" i="3"/>
  <c r="AX106" i="3"/>
  <c r="AW106" i="3"/>
  <c r="AV106" i="3"/>
  <c r="AC106" i="3"/>
  <c r="H106" i="3"/>
  <c r="G106" i="3"/>
  <c r="BT105" i="3"/>
  <c r="BS105" i="3"/>
  <c r="BR105" i="3"/>
  <c r="BQ105" i="3"/>
  <c r="BK105" i="3"/>
  <c r="BJ105" i="3"/>
  <c r="BI105" i="3"/>
  <c r="BH105" i="3"/>
  <c r="BG105" i="3"/>
  <c r="BF105" i="3"/>
  <c r="BE105" i="3"/>
  <c r="BD105" i="3"/>
  <c r="BC105" i="3"/>
  <c r="BB105" i="3"/>
  <c r="BA105" i="3"/>
  <c r="AX105" i="3"/>
  <c r="AW105" i="3"/>
  <c r="AV105" i="3"/>
  <c r="AC105" i="3"/>
  <c r="H105" i="3"/>
  <c r="G105" i="3"/>
  <c r="BT104" i="3"/>
  <c r="BS104" i="3"/>
  <c r="BR104" i="3"/>
  <c r="BQ104" i="3"/>
  <c r="BL104" i="3"/>
  <c r="BK104" i="3"/>
  <c r="BJ104" i="3"/>
  <c r="BI104" i="3"/>
  <c r="BH104" i="3"/>
  <c r="BG104" i="3"/>
  <c r="BF104" i="3"/>
  <c r="BE104" i="3"/>
  <c r="BD104" i="3"/>
  <c r="BC104" i="3"/>
  <c r="BB104" i="3"/>
  <c r="BA104" i="3"/>
  <c r="AX104" i="3"/>
  <c r="AW104" i="3"/>
  <c r="AV104" i="3"/>
  <c r="AC104" i="3"/>
  <c r="H104" i="3"/>
  <c r="G104" i="3"/>
  <c r="BT103" i="3"/>
  <c r="BS103" i="3"/>
  <c r="BR103" i="3"/>
  <c r="BQ103" i="3"/>
  <c r="BL103" i="3"/>
  <c r="BK103" i="3"/>
  <c r="BJ103" i="3"/>
  <c r="BI103" i="3"/>
  <c r="BH103" i="3"/>
  <c r="BG103" i="3"/>
  <c r="BF103" i="3"/>
  <c r="BE103" i="3"/>
  <c r="BD103" i="3"/>
  <c r="BC103" i="3"/>
  <c r="BB103" i="3"/>
  <c r="AX103" i="3"/>
  <c r="AW103" i="3"/>
  <c r="AV103" i="3"/>
  <c r="AC103" i="3"/>
  <c r="H103" i="3"/>
  <c r="G103" i="3"/>
  <c r="BT102" i="3"/>
  <c r="BS102" i="3"/>
  <c r="BR102" i="3"/>
  <c r="BQ102" i="3"/>
  <c r="BL102" i="3"/>
  <c r="BK102" i="3"/>
  <c r="BJ102" i="3"/>
  <c r="BI102" i="3"/>
  <c r="BH102" i="3"/>
  <c r="BG102" i="3"/>
  <c r="BF102" i="3"/>
  <c r="BE102" i="3"/>
  <c r="BD102" i="3"/>
  <c r="BC102" i="3"/>
  <c r="BB102" i="3"/>
  <c r="BA102" i="3"/>
  <c r="AX102" i="3"/>
  <c r="AW102" i="3"/>
  <c r="AV102" i="3"/>
  <c r="AC102" i="3"/>
  <c r="H102" i="3"/>
  <c r="G102" i="3"/>
  <c r="BT101" i="3"/>
  <c r="BS101" i="3"/>
  <c r="BR101" i="3"/>
  <c r="BQ101" i="3"/>
  <c r="BK101" i="3"/>
  <c r="BJ101" i="3"/>
  <c r="BI101" i="3"/>
  <c r="BH101" i="3"/>
  <c r="BG101" i="3"/>
  <c r="BF101" i="3"/>
  <c r="BE101" i="3"/>
  <c r="BD101" i="3"/>
  <c r="BC101" i="3"/>
  <c r="BB101" i="3"/>
  <c r="BA101" i="3"/>
  <c r="AX101" i="3"/>
  <c r="AW101" i="3"/>
  <c r="AV101" i="3"/>
  <c r="AC101" i="3"/>
  <c r="H101" i="3"/>
  <c r="G101" i="3"/>
  <c r="BT100" i="3"/>
  <c r="BS100" i="3"/>
  <c r="BR100" i="3"/>
  <c r="BQ100" i="3"/>
  <c r="BL100" i="3"/>
  <c r="BK100" i="3"/>
  <c r="BJ100" i="3"/>
  <c r="BI100" i="3"/>
  <c r="BH100" i="3"/>
  <c r="BG100" i="3"/>
  <c r="BF100" i="3"/>
  <c r="BE100" i="3"/>
  <c r="BD100" i="3"/>
  <c r="BC100" i="3"/>
  <c r="BB100" i="3"/>
  <c r="BA100" i="3"/>
  <c r="AX100" i="3"/>
  <c r="AW100" i="3"/>
  <c r="AV100" i="3"/>
  <c r="AC100" i="3"/>
  <c r="H100" i="3"/>
  <c r="G100" i="3"/>
  <c r="BT99" i="3"/>
  <c r="BS99" i="3"/>
  <c r="BR99" i="3"/>
  <c r="BQ99" i="3"/>
  <c r="BL99" i="3"/>
  <c r="BK99" i="3"/>
  <c r="BJ99" i="3"/>
  <c r="BI99" i="3"/>
  <c r="BH99" i="3"/>
  <c r="BG99" i="3"/>
  <c r="BF99" i="3"/>
  <c r="BE99" i="3"/>
  <c r="BD99" i="3"/>
  <c r="BC99" i="3"/>
  <c r="BB99" i="3"/>
  <c r="AX99" i="3"/>
  <c r="AW99" i="3"/>
  <c r="AV99" i="3"/>
  <c r="AC99" i="3"/>
  <c r="H99" i="3"/>
  <c r="G99" i="3"/>
  <c r="BT98" i="3"/>
  <c r="BS98" i="3"/>
  <c r="BR98" i="3"/>
  <c r="BQ98" i="3"/>
  <c r="BL98" i="3"/>
  <c r="BK98" i="3"/>
  <c r="BJ98" i="3"/>
  <c r="BI98" i="3"/>
  <c r="BH98" i="3"/>
  <c r="BG98" i="3"/>
  <c r="BF98" i="3"/>
  <c r="BE98" i="3"/>
  <c r="BD98" i="3"/>
  <c r="BC98" i="3"/>
  <c r="BB98" i="3"/>
  <c r="BA98" i="3"/>
  <c r="AX98" i="3"/>
  <c r="AW98" i="3"/>
  <c r="AV98" i="3"/>
  <c r="AC98" i="3"/>
  <c r="H98" i="3"/>
  <c r="G98" i="3"/>
  <c r="BT97" i="3"/>
  <c r="BS97" i="3"/>
  <c r="BR97" i="3"/>
  <c r="BQ97" i="3"/>
  <c r="BL97" i="3"/>
  <c r="BK97" i="3"/>
  <c r="BJ97" i="3"/>
  <c r="BI97" i="3"/>
  <c r="BH97" i="3"/>
  <c r="BG97" i="3"/>
  <c r="BF97" i="3"/>
  <c r="BE97" i="3"/>
  <c r="BD97" i="3"/>
  <c r="BC97" i="3"/>
  <c r="BB97" i="3"/>
  <c r="AX97" i="3"/>
  <c r="AW97" i="3"/>
  <c r="AV97" i="3"/>
  <c r="AC97" i="3"/>
  <c r="H97" i="3"/>
  <c r="G97" i="3"/>
  <c r="BT96" i="3"/>
  <c r="BS96" i="3"/>
  <c r="BR96" i="3"/>
  <c r="BQ96" i="3"/>
  <c r="BL96" i="3"/>
  <c r="BK96" i="3"/>
  <c r="BJ96" i="3"/>
  <c r="BI96" i="3"/>
  <c r="BH96" i="3"/>
  <c r="BG96" i="3"/>
  <c r="BF96" i="3"/>
  <c r="BE96" i="3"/>
  <c r="BD96" i="3"/>
  <c r="BC96" i="3"/>
  <c r="BB96" i="3"/>
  <c r="AX96" i="3"/>
  <c r="AW96" i="3"/>
  <c r="AV96" i="3"/>
  <c r="AC96" i="3"/>
  <c r="H96" i="3"/>
  <c r="G96" i="3"/>
  <c r="BT95" i="3"/>
  <c r="BS95" i="3"/>
  <c r="BR95" i="3"/>
  <c r="BQ95" i="3"/>
  <c r="BL95" i="3"/>
  <c r="BK95" i="3"/>
  <c r="BJ95" i="3"/>
  <c r="BI95" i="3"/>
  <c r="BH95" i="3"/>
  <c r="BG95" i="3"/>
  <c r="BF95" i="3"/>
  <c r="BE95" i="3"/>
  <c r="BD95" i="3"/>
  <c r="BC95" i="3"/>
  <c r="BB95" i="3"/>
  <c r="BA95" i="3"/>
  <c r="AX95" i="3"/>
  <c r="AW95" i="3"/>
  <c r="AV95" i="3"/>
  <c r="AC95" i="3"/>
  <c r="H95" i="3"/>
  <c r="G95" i="3"/>
  <c r="BT94" i="3"/>
  <c r="BS94" i="3"/>
  <c r="BR94" i="3"/>
  <c r="BQ94" i="3"/>
  <c r="BL94" i="3"/>
  <c r="BK94" i="3"/>
  <c r="BJ94" i="3"/>
  <c r="BI94" i="3"/>
  <c r="BH94" i="3"/>
  <c r="BG94" i="3"/>
  <c r="BF94" i="3"/>
  <c r="BE94" i="3"/>
  <c r="BD94" i="3"/>
  <c r="BC94" i="3"/>
  <c r="BB94" i="3"/>
  <c r="AX94" i="3"/>
  <c r="AW94" i="3"/>
  <c r="AV94" i="3"/>
  <c r="AC94" i="3"/>
  <c r="H94" i="3"/>
  <c r="G94" i="3"/>
  <c r="BT93" i="3"/>
  <c r="BS93" i="3"/>
  <c r="BR93" i="3"/>
  <c r="BQ93" i="3"/>
  <c r="BL93" i="3"/>
  <c r="BK93" i="3"/>
  <c r="BJ93" i="3"/>
  <c r="BI93" i="3"/>
  <c r="BH93" i="3"/>
  <c r="BG93" i="3"/>
  <c r="BF93" i="3"/>
  <c r="BE93" i="3"/>
  <c r="BD93" i="3"/>
  <c r="BC93" i="3"/>
  <c r="BB93" i="3"/>
  <c r="AX93" i="3"/>
  <c r="AW93" i="3"/>
  <c r="AV93" i="3"/>
  <c r="AC93" i="3"/>
  <c r="H93" i="3"/>
  <c r="G93" i="3"/>
  <c r="BT92" i="3"/>
  <c r="BS92" i="3"/>
  <c r="BR92" i="3"/>
  <c r="BQ92" i="3"/>
  <c r="BL92" i="3"/>
  <c r="BK92" i="3"/>
  <c r="BJ92" i="3"/>
  <c r="BI92" i="3"/>
  <c r="BH92" i="3"/>
  <c r="BG92" i="3"/>
  <c r="BF92" i="3"/>
  <c r="BE92" i="3"/>
  <c r="BD92" i="3"/>
  <c r="BC92" i="3"/>
  <c r="BB92" i="3"/>
  <c r="AX92" i="3"/>
  <c r="AW92" i="3"/>
  <c r="AV92" i="3"/>
  <c r="AC92" i="3"/>
  <c r="H92" i="3"/>
  <c r="G92" i="3"/>
  <c r="BT91" i="3"/>
  <c r="BS91" i="3"/>
  <c r="BR91" i="3"/>
  <c r="BQ91" i="3"/>
  <c r="BL91" i="3"/>
  <c r="BK91" i="3"/>
  <c r="BJ91" i="3"/>
  <c r="BI91" i="3"/>
  <c r="BH91" i="3"/>
  <c r="BG91" i="3"/>
  <c r="BF91" i="3"/>
  <c r="BE91" i="3"/>
  <c r="BD91" i="3"/>
  <c r="BC91" i="3"/>
  <c r="BB91" i="3"/>
  <c r="BA91" i="3"/>
  <c r="AX91" i="3"/>
  <c r="AW91" i="3"/>
  <c r="AV91" i="3"/>
  <c r="AC91" i="3"/>
  <c r="H91" i="3"/>
  <c r="G91" i="3"/>
  <c r="BT90" i="3"/>
  <c r="BS90" i="3"/>
  <c r="BR90" i="3"/>
  <c r="BQ90" i="3"/>
  <c r="BL90" i="3"/>
  <c r="BK90" i="3"/>
  <c r="BJ90" i="3"/>
  <c r="BI90" i="3"/>
  <c r="BH90" i="3"/>
  <c r="BG90" i="3"/>
  <c r="BF90" i="3"/>
  <c r="BE90" i="3"/>
  <c r="BD90" i="3"/>
  <c r="BC90" i="3"/>
  <c r="BB90" i="3"/>
  <c r="AX90" i="3"/>
  <c r="AW90" i="3"/>
  <c r="AV90" i="3"/>
  <c r="AC90" i="3"/>
  <c r="H90" i="3"/>
  <c r="G90" i="3"/>
  <c r="BT89" i="3"/>
  <c r="BS89" i="3"/>
  <c r="BR89" i="3"/>
  <c r="BQ89" i="3"/>
  <c r="BL89" i="3"/>
  <c r="BK89" i="3"/>
  <c r="BJ89" i="3"/>
  <c r="BI89" i="3"/>
  <c r="BH89" i="3"/>
  <c r="BG89" i="3"/>
  <c r="BF89" i="3"/>
  <c r="BE89" i="3"/>
  <c r="BD89" i="3"/>
  <c r="BC89" i="3"/>
  <c r="BB89" i="3"/>
  <c r="BA89" i="3"/>
  <c r="AX89" i="3"/>
  <c r="AW89" i="3"/>
  <c r="AV89" i="3"/>
  <c r="AC89" i="3"/>
  <c r="H89" i="3"/>
  <c r="G89" i="3"/>
  <c r="BT88" i="3"/>
  <c r="BS88" i="3"/>
  <c r="BR88" i="3"/>
  <c r="BQ88" i="3"/>
  <c r="BK88" i="3"/>
  <c r="BJ88" i="3"/>
  <c r="BI88" i="3"/>
  <c r="BH88" i="3"/>
  <c r="BG88" i="3"/>
  <c r="BF88" i="3"/>
  <c r="BE88" i="3"/>
  <c r="BD88" i="3"/>
  <c r="BC88" i="3"/>
  <c r="BB88" i="3"/>
  <c r="BA88" i="3"/>
  <c r="AX88" i="3"/>
  <c r="AW88" i="3"/>
  <c r="AV88" i="3"/>
  <c r="AC88" i="3"/>
  <c r="H88" i="3"/>
  <c r="BT87" i="3"/>
  <c r="BS87" i="3"/>
  <c r="BR87" i="3"/>
  <c r="BQ87" i="3"/>
  <c r="BL87" i="3"/>
  <c r="BK87" i="3"/>
  <c r="BJ87" i="3"/>
  <c r="BI87" i="3"/>
  <c r="BH87" i="3"/>
  <c r="BG87" i="3"/>
  <c r="BF87" i="3"/>
  <c r="BE87" i="3"/>
  <c r="BD87" i="3"/>
  <c r="BC87" i="3"/>
  <c r="BB87" i="3"/>
  <c r="BA87" i="3"/>
  <c r="AZ87" i="3"/>
  <c r="AX87" i="3"/>
  <c r="AW87" i="3"/>
  <c r="AV87" i="3"/>
  <c r="AC87" i="3"/>
  <c r="H87" i="3"/>
  <c r="G87" i="3"/>
  <c r="BT86" i="3"/>
  <c r="BS86" i="3"/>
  <c r="BR86" i="3"/>
  <c r="BQ86" i="3"/>
  <c r="BL86" i="3"/>
  <c r="BK86" i="3"/>
  <c r="BJ86" i="3"/>
  <c r="BI86" i="3"/>
  <c r="BH86" i="3"/>
  <c r="BG86" i="3"/>
  <c r="BF86" i="3"/>
  <c r="BE86" i="3"/>
  <c r="BD86" i="3"/>
  <c r="BC86" i="3"/>
  <c r="BB86" i="3"/>
  <c r="BA86" i="3"/>
  <c r="AX86" i="3"/>
  <c r="AW86" i="3"/>
  <c r="AV86" i="3"/>
  <c r="AC86" i="3"/>
  <c r="H86" i="3"/>
  <c r="G86" i="3"/>
  <c r="BT85" i="3"/>
  <c r="BS85" i="3"/>
  <c r="BR85" i="3"/>
  <c r="BQ85" i="3"/>
  <c r="BK85" i="3"/>
  <c r="BJ85" i="3"/>
  <c r="BI85" i="3"/>
  <c r="BH85" i="3"/>
  <c r="BG85" i="3"/>
  <c r="BF85" i="3"/>
  <c r="BE85" i="3"/>
  <c r="BD85" i="3"/>
  <c r="BC85" i="3"/>
  <c r="BB85" i="3"/>
  <c r="BA85" i="3"/>
  <c r="AX85" i="3"/>
  <c r="AW85" i="3"/>
  <c r="AV85" i="3"/>
  <c r="AC85" i="3"/>
  <c r="H85" i="3"/>
  <c r="G85" i="3"/>
  <c r="BT84" i="3"/>
  <c r="BS84" i="3"/>
  <c r="BR84" i="3"/>
  <c r="BQ84" i="3"/>
  <c r="BL84" i="3"/>
  <c r="BK84" i="3"/>
  <c r="BJ84" i="3"/>
  <c r="BI84" i="3"/>
  <c r="BH84" i="3"/>
  <c r="BG84" i="3"/>
  <c r="BF84" i="3"/>
  <c r="BE84" i="3"/>
  <c r="BD84" i="3"/>
  <c r="BC84" i="3"/>
  <c r="BB84" i="3"/>
  <c r="BA84" i="3"/>
  <c r="AZ84" i="3"/>
  <c r="AX84" i="3"/>
  <c r="AW84" i="3"/>
  <c r="AV84" i="3"/>
  <c r="AC84" i="3"/>
  <c r="H84" i="3"/>
  <c r="G84" i="3"/>
  <c r="BT83" i="3"/>
  <c r="BS83" i="3"/>
  <c r="BR83" i="3"/>
  <c r="BQ83" i="3"/>
  <c r="BL83" i="3"/>
  <c r="BK83" i="3"/>
  <c r="BJ83" i="3"/>
  <c r="BI83" i="3"/>
  <c r="BH83" i="3"/>
  <c r="BG83" i="3"/>
  <c r="BF83" i="3"/>
  <c r="BE83" i="3"/>
  <c r="BD83" i="3"/>
  <c r="BC83" i="3"/>
  <c r="BB83" i="3"/>
  <c r="AX83" i="3"/>
  <c r="AW83" i="3"/>
  <c r="AV83" i="3"/>
  <c r="AC83" i="3"/>
  <c r="H83" i="3"/>
  <c r="G83" i="3"/>
  <c r="BT82" i="3"/>
  <c r="BS82" i="3"/>
  <c r="BR82" i="3"/>
  <c r="BQ82" i="3"/>
  <c r="BL82" i="3"/>
  <c r="BK82" i="3"/>
  <c r="BJ82" i="3"/>
  <c r="BI82" i="3"/>
  <c r="BH82" i="3"/>
  <c r="BG82" i="3"/>
  <c r="BF82" i="3"/>
  <c r="BE82" i="3"/>
  <c r="BD82" i="3"/>
  <c r="BC82" i="3"/>
  <c r="BB82" i="3"/>
  <c r="AX82" i="3"/>
  <c r="AW82" i="3"/>
  <c r="AV82" i="3"/>
  <c r="AC82" i="3"/>
  <c r="H82" i="3"/>
  <c r="G82" i="3"/>
  <c r="BT81" i="3"/>
  <c r="BS81" i="3"/>
  <c r="BR81" i="3"/>
  <c r="BQ81" i="3"/>
  <c r="BL81" i="3"/>
  <c r="BK81" i="3"/>
  <c r="BJ81" i="3"/>
  <c r="BI81" i="3"/>
  <c r="BH81" i="3"/>
  <c r="BG81" i="3"/>
  <c r="BF81" i="3"/>
  <c r="BE81" i="3"/>
  <c r="BD81" i="3"/>
  <c r="BC81" i="3"/>
  <c r="BB81" i="3"/>
  <c r="AX81" i="3"/>
  <c r="AW81" i="3"/>
  <c r="AV81" i="3"/>
  <c r="AC81" i="3"/>
  <c r="H81" i="3"/>
  <c r="G81" i="3"/>
  <c r="BT80" i="3"/>
  <c r="BS80" i="3"/>
  <c r="BR80" i="3"/>
  <c r="BQ80" i="3"/>
  <c r="BK80" i="3"/>
  <c r="BJ80" i="3"/>
  <c r="BI80" i="3"/>
  <c r="BH80" i="3"/>
  <c r="BG80" i="3"/>
  <c r="BF80" i="3"/>
  <c r="BE80" i="3"/>
  <c r="BD80" i="3"/>
  <c r="BC80" i="3"/>
  <c r="BB80" i="3"/>
  <c r="BA80" i="3"/>
  <c r="AX80" i="3"/>
  <c r="AW80" i="3"/>
  <c r="AV80" i="3"/>
  <c r="AC80" i="3"/>
  <c r="H80" i="3"/>
  <c r="BT79" i="3"/>
  <c r="BS79" i="3"/>
  <c r="BR79" i="3"/>
  <c r="BQ79" i="3"/>
  <c r="BL79" i="3"/>
  <c r="BK79" i="3"/>
  <c r="BJ79" i="3"/>
  <c r="BI79" i="3"/>
  <c r="BH79" i="3"/>
  <c r="BG79" i="3"/>
  <c r="BF79" i="3"/>
  <c r="BE79" i="3"/>
  <c r="BD79" i="3"/>
  <c r="BC79" i="3"/>
  <c r="BB79" i="3"/>
  <c r="BA79" i="3"/>
  <c r="AX79" i="3"/>
  <c r="AW79" i="3"/>
  <c r="AV79" i="3"/>
  <c r="AC79" i="3"/>
  <c r="H79" i="3"/>
  <c r="BT78" i="3"/>
  <c r="BS78" i="3"/>
  <c r="BR78" i="3"/>
  <c r="BQ78" i="3"/>
  <c r="BL78" i="3"/>
  <c r="BK78" i="3"/>
  <c r="BJ78" i="3"/>
  <c r="BI78" i="3"/>
  <c r="BH78" i="3"/>
  <c r="BG78" i="3"/>
  <c r="BF78" i="3"/>
  <c r="BE78" i="3"/>
  <c r="BD78" i="3"/>
  <c r="BC78" i="3"/>
  <c r="BB78" i="3"/>
  <c r="BA78" i="3"/>
  <c r="AZ78" i="3"/>
  <c r="AX78" i="3"/>
  <c r="AW78" i="3"/>
  <c r="AV78" i="3"/>
  <c r="AC78" i="3"/>
  <c r="H78" i="3"/>
  <c r="G78" i="3"/>
  <c r="BT77" i="3"/>
  <c r="BS77" i="3"/>
  <c r="BR77" i="3"/>
  <c r="BQ77" i="3"/>
  <c r="BL77" i="3"/>
  <c r="BK77" i="3"/>
  <c r="BJ77" i="3"/>
  <c r="BI77" i="3"/>
  <c r="BH77" i="3"/>
  <c r="BG77" i="3"/>
  <c r="BF77" i="3"/>
  <c r="BE77" i="3"/>
  <c r="BD77" i="3"/>
  <c r="BC77" i="3"/>
  <c r="BB77" i="3"/>
  <c r="BA77" i="3"/>
  <c r="AX77" i="3"/>
  <c r="AW77" i="3"/>
  <c r="AV77" i="3"/>
  <c r="AC77" i="3"/>
  <c r="H77" i="3"/>
  <c r="G77" i="3"/>
  <c r="BT76" i="3"/>
  <c r="BS76" i="3"/>
  <c r="BR76" i="3"/>
  <c r="BQ76" i="3"/>
  <c r="BK76" i="3"/>
  <c r="BJ76" i="3"/>
  <c r="BI76" i="3"/>
  <c r="BH76" i="3"/>
  <c r="BG76" i="3"/>
  <c r="BF76" i="3"/>
  <c r="BE76" i="3"/>
  <c r="BD76" i="3"/>
  <c r="BC76" i="3"/>
  <c r="BB76" i="3"/>
  <c r="BA76" i="3"/>
  <c r="AX76" i="3"/>
  <c r="AW76" i="3"/>
  <c r="AV76" i="3"/>
  <c r="AC76" i="3"/>
  <c r="H76" i="3"/>
  <c r="BT75" i="3"/>
  <c r="BS75" i="3"/>
  <c r="BR75" i="3"/>
  <c r="BQ75" i="3"/>
  <c r="BL75" i="3"/>
  <c r="BK75" i="3"/>
  <c r="BJ75" i="3"/>
  <c r="BI75" i="3"/>
  <c r="BH75" i="3"/>
  <c r="BG75" i="3"/>
  <c r="BF75" i="3"/>
  <c r="BE75" i="3"/>
  <c r="BD75" i="3"/>
  <c r="BC75" i="3"/>
  <c r="BB75" i="3"/>
  <c r="BA75" i="3"/>
  <c r="AX75" i="3"/>
  <c r="AW75" i="3"/>
  <c r="AV75" i="3"/>
  <c r="AC75" i="3"/>
  <c r="H75" i="3"/>
  <c r="BT74" i="3"/>
  <c r="BS74" i="3"/>
  <c r="BR74" i="3"/>
  <c r="BQ74" i="3"/>
  <c r="BL74" i="3"/>
  <c r="BK74" i="3"/>
  <c r="BJ74" i="3"/>
  <c r="BI74" i="3"/>
  <c r="BH74" i="3"/>
  <c r="BG74" i="3"/>
  <c r="BF74" i="3"/>
  <c r="BE74" i="3"/>
  <c r="BD74" i="3"/>
  <c r="BC74" i="3"/>
  <c r="BB74" i="3"/>
  <c r="BA74" i="3"/>
  <c r="AX74" i="3"/>
  <c r="AW74" i="3"/>
  <c r="AV74" i="3"/>
  <c r="AC74" i="3"/>
  <c r="H74" i="3"/>
  <c r="BT73" i="3"/>
  <c r="BS73" i="3"/>
  <c r="BR73" i="3"/>
  <c r="BQ73" i="3"/>
  <c r="BL73" i="3"/>
  <c r="BK73" i="3"/>
  <c r="BJ73" i="3"/>
  <c r="BI73" i="3"/>
  <c r="BH73" i="3"/>
  <c r="BG73" i="3"/>
  <c r="BF73" i="3"/>
  <c r="BE73" i="3"/>
  <c r="BD73" i="3"/>
  <c r="BC73" i="3"/>
  <c r="BB73" i="3"/>
  <c r="BA73" i="3"/>
  <c r="AZ73" i="3"/>
  <c r="AX73" i="3"/>
  <c r="AW73" i="3"/>
  <c r="AV73" i="3"/>
  <c r="AC73" i="3"/>
  <c r="H73" i="3"/>
  <c r="G73" i="3"/>
  <c r="BT72" i="3"/>
  <c r="BS72" i="3"/>
  <c r="BR72" i="3"/>
  <c r="BQ72" i="3"/>
  <c r="BK72" i="3"/>
  <c r="BJ72" i="3"/>
  <c r="BI72" i="3"/>
  <c r="BH72" i="3"/>
  <c r="BG72" i="3"/>
  <c r="BF72" i="3"/>
  <c r="BE72" i="3"/>
  <c r="BD72" i="3"/>
  <c r="BC72" i="3"/>
  <c r="BB72" i="3"/>
  <c r="AX72" i="3"/>
  <c r="AW72" i="3"/>
  <c r="AV72" i="3"/>
  <c r="AC72" i="3"/>
  <c r="H72" i="3"/>
  <c r="G72" i="3"/>
  <c r="BT71" i="3"/>
  <c r="BS71" i="3"/>
  <c r="BR71" i="3"/>
  <c r="BQ71" i="3"/>
  <c r="BL71" i="3"/>
  <c r="BK71" i="3"/>
  <c r="BJ71" i="3"/>
  <c r="BI71" i="3"/>
  <c r="BH71" i="3"/>
  <c r="BG71" i="3"/>
  <c r="BF71" i="3"/>
  <c r="BE71" i="3"/>
  <c r="BD71" i="3"/>
  <c r="BC71" i="3"/>
  <c r="BB71" i="3"/>
  <c r="AX71" i="3"/>
  <c r="AW71" i="3"/>
  <c r="AV71" i="3"/>
  <c r="AC71" i="3"/>
  <c r="H71" i="3"/>
  <c r="G71" i="3"/>
  <c r="BT70" i="3"/>
  <c r="BS70" i="3"/>
  <c r="BR70" i="3"/>
  <c r="BQ70" i="3"/>
  <c r="BL70" i="3"/>
  <c r="BK70" i="3"/>
  <c r="BJ70" i="3"/>
  <c r="BI70" i="3"/>
  <c r="BH70" i="3"/>
  <c r="BG70" i="3"/>
  <c r="BF70" i="3"/>
  <c r="BE70" i="3"/>
  <c r="BD70" i="3"/>
  <c r="BC70" i="3"/>
  <c r="BB70" i="3"/>
  <c r="AX70" i="3"/>
  <c r="AW70" i="3"/>
  <c r="AV70" i="3"/>
  <c r="AC70" i="3"/>
  <c r="H70" i="3"/>
  <c r="G70" i="3"/>
  <c r="BT69" i="3"/>
  <c r="BS69" i="3"/>
  <c r="BR69" i="3"/>
  <c r="BQ69" i="3"/>
  <c r="BK69" i="3"/>
  <c r="BJ69" i="3"/>
  <c r="BI69" i="3"/>
  <c r="BH69" i="3"/>
  <c r="BG69" i="3"/>
  <c r="BF69" i="3"/>
  <c r="BE69" i="3"/>
  <c r="BD69" i="3"/>
  <c r="BC69" i="3"/>
  <c r="BB69" i="3"/>
  <c r="BA69" i="3"/>
  <c r="AX69" i="3"/>
  <c r="AW69" i="3"/>
  <c r="AV69" i="3"/>
  <c r="AC69" i="3"/>
  <c r="H69" i="3"/>
  <c r="G69" i="3"/>
  <c r="BT68" i="3"/>
  <c r="BS68" i="3"/>
  <c r="BR68" i="3"/>
  <c r="BQ68" i="3"/>
  <c r="BL68" i="3"/>
  <c r="BK68" i="3"/>
  <c r="BJ68" i="3"/>
  <c r="BI68" i="3"/>
  <c r="BH68" i="3"/>
  <c r="BG68" i="3"/>
  <c r="BF68" i="3"/>
  <c r="BE68" i="3"/>
  <c r="BD68" i="3"/>
  <c r="BC68" i="3"/>
  <c r="BB68" i="3"/>
  <c r="BA68" i="3"/>
  <c r="AZ68" i="3"/>
  <c r="AX68" i="3"/>
  <c r="AW68" i="3"/>
  <c r="AV68" i="3"/>
  <c r="AC68" i="3"/>
  <c r="H68" i="3"/>
  <c r="G68" i="3"/>
  <c r="BT67" i="3"/>
  <c r="BS67" i="3"/>
  <c r="BR67" i="3"/>
  <c r="BQ67" i="3"/>
  <c r="BL67" i="3"/>
  <c r="BK67" i="3"/>
  <c r="BJ67" i="3"/>
  <c r="BI67" i="3"/>
  <c r="BH67" i="3"/>
  <c r="BG67" i="3"/>
  <c r="BF67" i="3"/>
  <c r="BE67" i="3"/>
  <c r="BD67" i="3"/>
  <c r="BC67" i="3"/>
  <c r="BB67" i="3"/>
  <c r="AX67" i="3"/>
  <c r="AW67" i="3"/>
  <c r="AV67" i="3"/>
  <c r="AC67" i="3"/>
  <c r="H67" i="3"/>
  <c r="G67" i="3"/>
  <c r="BT66" i="3"/>
  <c r="BS66" i="3"/>
  <c r="BR66" i="3"/>
  <c r="BQ66" i="3"/>
  <c r="BL66" i="3"/>
  <c r="BK66" i="3"/>
  <c r="BJ66" i="3"/>
  <c r="BI66" i="3"/>
  <c r="BH66" i="3"/>
  <c r="BG66" i="3"/>
  <c r="BF66" i="3"/>
  <c r="BE66" i="3"/>
  <c r="BD66" i="3"/>
  <c r="BC66" i="3"/>
  <c r="BB66" i="3"/>
  <c r="AX66" i="3"/>
  <c r="AW66" i="3"/>
  <c r="AV66" i="3"/>
  <c r="AC66" i="3"/>
  <c r="H66" i="3"/>
  <c r="G66" i="3"/>
  <c r="BT65" i="3"/>
  <c r="BS65" i="3"/>
  <c r="BR65" i="3"/>
  <c r="BQ65" i="3"/>
  <c r="BL65" i="3"/>
  <c r="BK65" i="3"/>
  <c r="BJ65" i="3"/>
  <c r="BI65" i="3"/>
  <c r="BH65" i="3"/>
  <c r="BG65" i="3"/>
  <c r="BF65" i="3"/>
  <c r="BE65" i="3"/>
  <c r="BD65" i="3"/>
  <c r="BC65" i="3"/>
  <c r="BB65" i="3"/>
  <c r="AX65" i="3"/>
  <c r="AW65" i="3"/>
  <c r="AV65" i="3"/>
  <c r="AC65" i="3"/>
  <c r="H65" i="3"/>
  <c r="G65" i="3"/>
  <c r="BT64" i="3"/>
  <c r="BS64" i="3"/>
  <c r="BR64" i="3"/>
  <c r="BQ64" i="3"/>
  <c r="BK64" i="3"/>
  <c r="BJ64" i="3"/>
  <c r="BI64" i="3"/>
  <c r="BH64" i="3"/>
  <c r="BG64" i="3"/>
  <c r="BF64" i="3"/>
  <c r="BE64" i="3"/>
  <c r="BD64" i="3"/>
  <c r="BC64" i="3"/>
  <c r="BB64" i="3"/>
  <c r="BA64" i="3"/>
  <c r="AX64" i="3"/>
  <c r="AW64" i="3"/>
  <c r="AV64" i="3"/>
  <c r="AC64" i="3"/>
  <c r="H64" i="3"/>
  <c r="BT63" i="3"/>
  <c r="BS63" i="3"/>
  <c r="BR63" i="3"/>
  <c r="BQ63" i="3"/>
  <c r="BL63" i="3"/>
  <c r="BK63" i="3"/>
  <c r="BJ63" i="3"/>
  <c r="BI63" i="3"/>
  <c r="BH63" i="3"/>
  <c r="BG63" i="3"/>
  <c r="BF63" i="3"/>
  <c r="BE63" i="3"/>
  <c r="BD63" i="3"/>
  <c r="BC63" i="3"/>
  <c r="BB63" i="3"/>
  <c r="BA63" i="3"/>
  <c r="AX63" i="3"/>
  <c r="AW63" i="3"/>
  <c r="AV63" i="3"/>
  <c r="AC63" i="3"/>
  <c r="H63" i="3"/>
  <c r="BT62" i="3"/>
  <c r="BS62" i="3"/>
  <c r="BR62" i="3"/>
  <c r="BQ62" i="3"/>
  <c r="BL62" i="3"/>
  <c r="BK62" i="3"/>
  <c r="BJ62" i="3"/>
  <c r="BI62" i="3"/>
  <c r="BH62" i="3"/>
  <c r="BG62" i="3"/>
  <c r="BF62" i="3"/>
  <c r="BE62" i="3"/>
  <c r="BD62" i="3"/>
  <c r="BC62" i="3"/>
  <c r="BB62" i="3"/>
  <c r="BA62" i="3"/>
  <c r="AZ62" i="3"/>
  <c r="AX62" i="3"/>
  <c r="AW62" i="3"/>
  <c r="AV62" i="3"/>
  <c r="AC62" i="3"/>
  <c r="H62" i="3"/>
  <c r="G62" i="3"/>
  <c r="BT61" i="3"/>
  <c r="BS61" i="3"/>
  <c r="BR61" i="3"/>
  <c r="BQ61" i="3"/>
  <c r="BL61" i="3"/>
  <c r="BK61" i="3"/>
  <c r="BJ61" i="3"/>
  <c r="BI61" i="3"/>
  <c r="BH61" i="3"/>
  <c r="BG61" i="3"/>
  <c r="BF61" i="3"/>
  <c r="BE61" i="3"/>
  <c r="BD61" i="3"/>
  <c r="BC61" i="3"/>
  <c r="BB61" i="3"/>
  <c r="BA61" i="3"/>
  <c r="AX61" i="3"/>
  <c r="AW61" i="3"/>
  <c r="AV61" i="3"/>
  <c r="AC61" i="3"/>
  <c r="H61" i="3"/>
  <c r="G61" i="3"/>
  <c r="BT60" i="3"/>
  <c r="BS60" i="3"/>
  <c r="BR60" i="3"/>
  <c r="BQ60" i="3"/>
  <c r="BK60" i="3"/>
  <c r="BJ60" i="3"/>
  <c r="BI60" i="3"/>
  <c r="BH60" i="3"/>
  <c r="BG60" i="3"/>
  <c r="BF60" i="3"/>
  <c r="BE60" i="3"/>
  <c r="BD60" i="3"/>
  <c r="BC60" i="3"/>
  <c r="BB60" i="3"/>
  <c r="BA60" i="3"/>
  <c r="AX60" i="3"/>
  <c r="AW60" i="3"/>
  <c r="AV60" i="3"/>
  <c r="AC60" i="3"/>
  <c r="H60" i="3"/>
  <c r="BT59" i="3"/>
  <c r="BS59" i="3"/>
  <c r="BR59" i="3"/>
  <c r="BQ59" i="3"/>
  <c r="BL59" i="3"/>
  <c r="BK59" i="3"/>
  <c r="BJ59" i="3"/>
  <c r="BI59" i="3"/>
  <c r="BH59" i="3"/>
  <c r="BG59" i="3"/>
  <c r="BF59" i="3"/>
  <c r="BE59" i="3"/>
  <c r="BD59" i="3"/>
  <c r="BC59" i="3"/>
  <c r="BB59" i="3"/>
  <c r="BA59" i="3"/>
  <c r="AX59" i="3"/>
  <c r="AW59" i="3"/>
  <c r="AV59" i="3"/>
  <c r="AC59" i="3"/>
  <c r="H59" i="3"/>
  <c r="BT58" i="3"/>
  <c r="BS58" i="3"/>
  <c r="BR58" i="3"/>
  <c r="BQ58" i="3"/>
  <c r="BL58" i="3"/>
  <c r="BK58" i="3"/>
  <c r="BJ58" i="3"/>
  <c r="BI58" i="3"/>
  <c r="BH58" i="3"/>
  <c r="BG58" i="3"/>
  <c r="BF58" i="3"/>
  <c r="BE58" i="3"/>
  <c r="BD58" i="3"/>
  <c r="BC58" i="3"/>
  <c r="BB58" i="3"/>
  <c r="BA58" i="3"/>
  <c r="AX58" i="3"/>
  <c r="AW58" i="3"/>
  <c r="AV58" i="3"/>
  <c r="AC58" i="3"/>
  <c r="H58" i="3"/>
  <c r="BT57" i="3"/>
  <c r="BS57" i="3"/>
  <c r="BR57" i="3"/>
  <c r="BQ57" i="3"/>
  <c r="BL57" i="3"/>
  <c r="BK57" i="3"/>
  <c r="BJ57" i="3"/>
  <c r="BI57" i="3"/>
  <c r="BH57" i="3"/>
  <c r="BG57" i="3"/>
  <c r="BF57" i="3"/>
  <c r="BE57" i="3"/>
  <c r="BD57" i="3"/>
  <c r="BC57" i="3"/>
  <c r="BB57" i="3"/>
  <c r="BA57" i="3"/>
  <c r="AZ57" i="3"/>
  <c r="AX57" i="3"/>
  <c r="AW57" i="3"/>
  <c r="AV57" i="3"/>
  <c r="AC57" i="3"/>
  <c r="H57" i="3"/>
  <c r="G57" i="3"/>
  <c r="BT56" i="3"/>
  <c r="BS56" i="3"/>
  <c r="BR56" i="3"/>
  <c r="BQ56" i="3"/>
  <c r="BL56" i="3"/>
  <c r="BK56" i="3"/>
  <c r="BJ56" i="3"/>
  <c r="BI56" i="3"/>
  <c r="BH56" i="3"/>
  <c r="BG56" i="3"/>
  <c r="BF56" i="3"/>
  <c r="BE56" i="3"/>
  <c r="BD56" i="3"/>
  <c r="BC56" i="3"/>
  <c r="BB56" i="3"/>
  <c r="BA56" i="3"/>
  <c r="AX56" i="3"/>
  <c r="AW56" i="3"/>
  <c r="AV56" i="3"/>
  <c r="AC56" i="3"/>
  <c r="H56" i="3"/>
  <c r="G56" i="3"/>
  <c r="BT55" i="3"/>
  <c r="BS55" i="3"/>
  <c r="BR55" i="3"/>
  <c r="BQ55" i="3"/>
  <c r="BL55" i="3"/>
  <c r="BK55" i="3"/>
  <c r="BJ55" i="3"/>
  <c r="BI55" i="3"/>
  <c r="BH55" i="3"/>
  <c r="BG55" i="3"/>
  <c r="BF55" i="3"/>
  <c r="BE55" i="3"/>
  <c r="BD55" i="3"/>
  <c r="BC55" i="3"/>
  <c r="BB55" i="3"/>
  <c r="AX55" i="3"/>
  <c r="AW55" i="3"/>
  <c r="AV55" i="3"/>
  <c r="AC55" i="3"/>
  <c r="H55" i="3"/>
  <c r="G55" i="3"/>
  <c r="BT54" i="3"/>
  <c r="BS54" i="3"/>
  <c r="BR54" i="3"/>
  <c r="BQ54" i="3"/>
  <c r="BL54" i="3"/>
  <c r="BK54" i="3"/>
  <c r="BJ54" i="3"/>
  <c r="BI54" i="3"/>
  <c r="BH54" i="3"/>
  <c r="BG54" i="3"/>
  <c r="BF54" i="3"/>
  <c r="BE54" i="3"/>
  <c r="BD54" i="3"/>
  <c r="BC54" i="3"/>
  <c r="BB54" i="3"/>
  <c r="AX54" i="3"/>
  <c r="AW54" i="3"/>
  <c r="AV54" i="3"/>
  <c r="AC54" i="3"/>
  <c r="H54" i="3"/>
  <c r="G54" i="3"/>
  <c r="BT53" i="3"/>
  <c r="BS53" i="3"/>
  <c r="BR53" i="3"/>
  <c r="BQ53" i="3"/>
  <c r="BK53" i="3"/>
  <c r="BJ53" i="3"/>
  <c r="BI53" i="3"/>
  <c r="BH53" i="3"/>
  <c r="BG53" i="3"/>
  <c r="BF53" i="3"/>
  <c r="BE53" i="3"/>
  <c r="BD53" i="3"/>
  <c r="BC53" i="3"/>
  <c r="BB53" i="3"/>
  <c r="BA53" i="3"/>
  <c r="AX53" i="3"/>
  <c r="AW53" i="3"/>
  <c r="AV53" i="3"/>
  <c r="AC53" i="3"/>
  <c r="H53" i="3"/>
  <c r="G53" i="3"/>
  <c r="BT52" i="3"/>
  <c r="BS52" i="3"/>
  <c r="BR52" i="3"/>
  <c r="BQ52" i="3"/>
  <c r="BL52" i="3"/>
  <c r="BK52" i="3"/>
  <c r="BJ52" i="3"/>
  <c r="BI52" i="3"/>
  <c r="BH52" i="3"/>
  <c r="BG52" i="3"/>
  <c r="BF52" i="3"/>
  <c r="BE52" i="3"/>
  <c r="BD52" i="3"/>
  <c r="BC52" i="3"/>
  <c r="BB52" i="3"/>
  <c r="BA52" i="3"/>
  <c r="AZ52" i="3"/>
  <c r="AX52" i="3"/>
  <c r="AW52" i="3"/>
  <c r="AV52" i="3"/>
  <c r="AC52" i="3"/>
  <c r="H52" i="3"/>
  <c r="G52" i="3"/>
  <c r="BT51" i="3"/>
  <c r="BS51" i="3"/>
  <c r="BR51" i="3"/>
  <c r="BQ51" i="3"/>
  <c r="BL51" i="3"/>
  <c r="BK51" i="3"/>
  <c r="BJ51" i="3"/>
  <c r="BI51" i="3"/>
  <c r="BH51" i="3"/>
  <c r="BG51" i="3"/>
  <c r="BF51" i="3"/>
  <c r="BE51" i="3"/>
  <c r="BD51" i="3"/>
  <c r="BC51" i="3"/>
  <c r="BB51" i="3"/>
  <c r="AX51" i="3"/>
  <c r="AW51" i="3"/>
  <c r="AV51" i="3"/>
  <c r="AC51" i="3"/>
  <c r="H51" i="3"/>
  <c r="G51" i="3"/>
  <c r="BT50" i="3"/>
  <c r="BS50" i="3"/>
  <c r="BR50" i="3"/>
  <c r="BQ50" i="3"/>
  <c r="BL50" i="3"/>
  <c r="BK50" i="3"/>
  <c r="BJ50" i="3"/>
  <c r="BI50" i="3"/>
  <c r="BH50" i="3"/>
  <c r="BG50" i="3"/>
  <c r="BF50" i="3"/>
  <c r="BE50" i="3"/>
  <c r="BD50" i="3"/>
  <c r="BC50" i="3"/>
  <c r="BB50" i="3"/>
  <c r="AX50" i="3"/>
  <c r="AW50" i="3"/>
  <c r="AV50" i="3"/>
  <c r="AC50" i="3"/>
  <c r="H50" i="3"/>
  <c r="G50" i="3"/>
  <c r="BT49" i="3"/>
  <c r="BS49" i="3"/>
  <c r="BR49" i="3"/>
  <c r="BQ49" i="3"/>
  <c r="BL49" i="3"/>
  <c r="BK49" i="3"/>
  <c r="BJ49" i="3"/>
  <c r="BI49" i="3"/>
  <c r="BH49" i="3"/>
  <c r="BG49" i="3"/>
  <c r="BF49" i="3"/>
  <c r="BE49" i="3"/>
  <c r="BD49" i="3"/>
  <c r="BC49" i="3"/>
  <c r="BB49" i="3"/>
  <c r="AX49" i="3"/>
  <c r="AW49" i="3"/>
  <c r="AV49" i="3"/>
  <c r="AC49" i="3"/>
  <c r="H49" i="3"/>
  <c r="G49" i="3"/>
  <c r="BT48" i="3"/>
  <c r="BS48" i="3"/>
  <c r="BR48" i="3"/>
  <c r="BQ48" i="3"/>
  <c r="BK48" i="3"/>
  <c r="BJ48" i="3"/>
  <c r="BI48" i="3"/>
  <c r="BH48" i="3"/>
  <c r="BG48" i="3"/>
  <c r="BF48" i="3"/>
  <c r="BE48" i="3"/>
  <c r="BD48" i="3"/>
  <c r="BC48" i="3"/>
  <c r="BB48" i="3"/>
  <c r="BA48" i="3"/>
  <c r="AX48" i="3"/>
  <c r="AW48" i="3"/>
  <c r="AV48" i="3"/>
  <c r="AC48" i="3"/>
  <c r="H48" i="3"/>
  <c r="BT47" i="3"/>
  <c r="BS47" i="3"/>
  <c r="BR47" i="3"/>
  <c r="BQ47" i="3"/>
  <c r="BL47" i="3"/>
  <c r="BK47" i="3"/>
  <c r="BJ47" i="3"/>
  <c r="BI47" i="3"/>
  <c r="BH47" i="3"/>
  <c r="BG47" i="3"/>
  <c r="BF47" i="3"/>
  <c r="BE47" i="3"/>
  <c r="BD47" i="3"/>
  <c r="BC47" i="3"/>
  <c r="BB47" i="3"/>
  <c r="BA47" i="3"/>
  <c r="AX47" i="3"/>
  <c r="AW47" i="3"/>
  <c r="AV47" i="3"/>
  <c r="AC47" i="3"/>
  <c r="H47" i="3"/>
  <c r="BT46" i="3"/>
  <c r="BS46" i="3"/>
  <c r="BR46" i="3"/>
  <c r="BQ46" i="3"/>
  <c r="BL46" i="3"/>
  <c r="BK46" i="3"/>
  <c r="BJ46" i="3"/>
  <c r="BI46" i="3"/>
  <c r="BH46" i="3"/>
  <c r="BG46" i="3"/>
  <c r="BF46" i="3"/>
  <c r="BE46" i="3"/>
  <c r="BD46" i="3"/>
  <c r="BC46" i="3"/>
  <c r="BB46" i="3"/>
  <c r="BA46" i="3"/>
  <c r="AZ46" i="3"/>
  <c r="AX46" i="3"/>
  <c r="AW46" i="3"/>
  <c r="AV46" i="3"/>
  <c r="AC46" i="3"/>
  <c r="H46" i="3"/>
  <c r="G46" i="3"/>
  <c r="BT45" i="3"/>
  <c r="BS45" i="3"/>
  <c r="BR45" i="3"/>
  <c r="BQ45" i="3"/>
  <c r="BL45" i="3"/>
  <c r="BK45" i="3"/>
  <c r="BJ45" i="3"/>
  <c r="BI45" i="3"/>
  <c r="BH45" i="3"/>
  <c r="BG45" i="3"/>
  <c r="BF45" i="3"/>
  <c r="BE45" i="3"/>
  <c r="BD45" i="3"/>
  <c r="BC45" i="3"/>
  <c r="BB45" i="3"/>
  <c r="BA45" i="3"/>
  <c r="AX45" i="3"/>
  <c r="AW45" i="3"/>
  <c r="AV45" i="3"/>
  <c r="AC45" i="3"/>
  <c r="H45" i="3"/>
  <c r="G45" i="3"/>
  <c r="BT44" i="3"/>
  <c r="BS44" i="3"/>
  <c r="BR44" i="3"/>
  <c r="BQ44" i="3"/>
  <c r="BK44" i="3"/>
  <c r="BJ44" i="3"/>
  <c r="BI44" i="3"/>
  <c r="BH44" i="3"/>
  <c r="BG44" i="3"/>
  <c r="BF44" i="3"/>
  <c r="BE44" i="3"/>
  <c r="BD44" i="3"/>
  <c r="BC44" i="3"/>
  <c r="BB44" i="3"/>
  <c r="BA44" i="3"/>
  <c r="AX44" i="3"/>
  <c r="AW44" i="3"/>
  <c r="AV44" i="3"/>
  <c r="AC44" i="3"/>
  <c r="H44" i="3"/>
  <c r="BT43" i="3"/>
  <c r="BS43" i="3"/>
  <c r="BR43" i="3"/>
  <c r="BQ43" i="3"/>
  <c r="BL43" i="3"/>
  <c r="BK43" i="3"/>
  <c r="BJ43" i="3"/>
  <c r="BI43" i="3"/>
  <c r="BH43" i="3"/>
  <c r="BG43" i="3"/>
  <c r="BF43" i="3"/>
  <c r="BE43" i="3"/>
  <c r="BD43" i="3"/>
  <c r="BC43" i="3"/>
  <c r="BB43" i="3"/>
  <c r="BA43" i="3"/>
  <c r="AX43" i="3"/>
  <c r="AW43" i="3"/>
  <c r="AV43" i="3"/>
  <c r="AC43" i="3"/>
  <c r="H43" i="3"/>
  <c r="BT42" i="3"/>
  <c r="BS42" i="3"/>
  <c r="BR42" i="3"/>
  <c r="BQ42" i="3"/>
  <c r="BL42" i="3"/>
  <c r="BK42" i="3"/>
  <c r="BJ42" i="3"/>
  <c r="BI42" i="3"/>
  <c r="BH42" i="3"/>
  <c r="BG42" i="3"/>
  <c r="BF42" i="3"/>
  <c r="BE42" i="3"/>
  <c r="BD42" i="3"/>
  <c r="BC42" i="3"/>
  <c r="BB42" i="3"/>
  <c r="BA42" i="3"/>
  <c r="AX42" i="3"/>
  <c r="AW42" i="3"/>
  <c r="AV42" i="3"/>
  <c r="AC42" i="3"/>
  <c r="H42" i="3"/>
  <c r="BT41" i="3"/>
  <c r="BS41" i="3"/>
  <c r="BR41" i="3"/>
  <c r="BQ41" i="3"/>
  <c r="BL41" i="3"/>
  <c r="BK41" i="3"/>
  <c r="BJ41" i="3"/>
  <c r="BI41" i="3"/>
  <c r="BH41" i="3"/>
  <c r="BG41" i="3"/>
  <c r="BF41" i="3"/>
  <c r="BE41" i="3"/>
  <c r="BD41" i="3"/>
  <c r="BC41" i="3"/>
  <c r="BB41" i="3"/>
  <c r="BA41" i="3"/>
  <c r="AZ41" i="3"/>
  <c r="AX41" i="3"/>
  <c r="AW41" i="3"/>
  <c r="AV41" i="3"/>
  <c r="AC41" i="3"/>
  <c r="H41" i="3"/>
  <c r="G41" i="3"/>
  <c r="BT40" i="3"/>
  <c r="BS40" i="3"/>
  <c r="BR40" i="3"/>
  <c r="BQ40" i="3"/>
  <c r="BL40" i="3"/>
  <c r="BK40" i="3"/>
  <c r="BJ40" i="3"/>
  <c r="BI40" i="3"/>
  <c r="BH40" i="3"/>
  <c r="BG40" i="3"/>
  <c r="BF40" i="3"/>
  <c r="BE40" i="3"/>
  <c r="BD40" i="3"/>
  <c r="BC40" i="3"/>
  <c r="BB40" i="3"/>
  <c r="BA40" i="3"/>
  <c r="AX40" i="3"/>
  <c r="AW40" i="3"/>
  <c r="AV40" i="3"/>
  <c r="AC40" i="3"/>
  <c r="H40" i="3"/>
  <c r="G40" i="3"/>
  <c r="BT39" i="3"/>
  <c r="BS39" i="3"/>
  <c r="BR39" i="3"/>
  <c r="BQ39" i="3"/>
  <c r="BL39" i="3"/>
  <c r="BK39" i="3"/>
  <c r="BJ39" i="3"/>
  <c r="BI39" i="3"/>
  <c r="BH39" i="3"/>
  <c r="BG39" i="3"/>
  <c r="BF39" i="3"/>
  <c r="BE39" i="3"/>
  <c r="BD39" i="3"/>
  <c r="BC39" i="3"/>
  <c r="BB39" i="3"/>
  <c r="AX39" i="3"/>
  <c r="AW39" i="3"/>
  <c r="AV39" i="3"/>
  <c r="AC39" i="3"/>
  <c r="H39" i="3"/>
  <c r="G39" i="3"/>
  <c r="BT38" i="3"/>
  <c r="BS38" i="3"/>
  <c r="BR38" i="3"/>
  <c r="BQ38" i="3"/>
  <c r="BL38" i="3"/>
  <c r="BK38" i="3"/>
  <c r="BJ38" i="3"/>
  <c r="BI38" i="3"/>
  <c r="BH38" i="3"/>
  <c r="BG38" i="3"/>
  <c r="BF38" i="3"/>
  <c r="BE38" i="3"/>
  <c r="BD38" i="3"/>
  <c r="BC38" i="3"/>
  <c r="BB38" i="3"/>
  <c r="AX38" i="3"/>
  <c r="AW38" i="3"/>
  <c r="AV38" i="3"/>
  <c r="AC38" i="3"/>
  <c r="H38" i="3"/>
  <c r="G38" i="3"/>
  <c r="BT37" i="3"/>
  <c r="BS37" i="3"/>
  <c r="BR37" i="3"/>
  <c r="BQ37" i="3"/>
  <c r="BK37" i="3"/>
  <c r="BJ37" i="3"/>
  <c r="BI37" i="3"/>
  <c r="BH37" i="3"/>
  <c r="BG37" i="3"/>
  <c r="BF37" i="3"/>
  <c r="BE37" i="3"/>
  <c r="BD37" i="3"/>
  <c r="BC37" i="3"/>
  <c r="BB37" i="3"/>
  <c r="BA37" i="3"/>
  <c r="AX37" i="3"/>
  <c r="AW37" i="3"/>
  <c r="AV37" i="3"/>
  <c r="AC37" i="3"/>
  <c r="H37" i="3"/>
  <c r="G37" i="3"/>
  <c r="BT36" i="3"/>
  <c r="BS36" i="3"/>
  <c r="BR36" i="3"/>
  <c r="BQ36" i="3"/>
  <c r="BL36" i="3"/>
  <c r="BK36" i="3"/>
  <c r="BJ36" i="3"/>
  <c r="BI36" i="3"/>
  <c r="BH36" i="3"/>
  <c r="BG36" i="3"/>
  <c r="BF36" i="3"/>
  <c r="BE36" i="3"/>
  <c r="BD36" i="3"/>
  <c r="BC36" i="3"/>
  <c r="BB36" i="3"/>
  <c r="BA36" i="3"/>
  <c r="AZ36" i="3"/>
  <c r="AX36" i="3"/>
  <c r="AW36" i="3"/>
  <c r="AV36" i="3"/>
  <c r="AC36" i="3"/>
  <c r="H36" i="3"/>
  <c r="G36" i="3"/>
  <c r="BT35" i="3"/>
  <c r="BS35" i="3"/>
  <c r="BR35" i="3"/>
  <c r="BQ35" i="3"/>
  <c r="BL35" i="3"/>
  <c r="BK35" i="3"/>
  <c r="BJ35" i="3"/>
  <c r="BI35" i="3"/>
  <c r="BH35" i="3"/>
  <c r="BG35" i="3"/>
  <c r="BF35" i="3"/>
  <c r="BE35" i="3"/>
  <c r="BD35" i="3"/>
  <c r="BC35" i="3"/>
  <c r="BB35" i="3"/>
  <c r="AX35" i="3"/>
  <c r="AW35" i="3"/>
  <c r="AV35" i="3"/>
  <c r="AC35" i="3"/>
  <c r="H35" i="3"/>
  <c r="G35" i="3"/>
  <c r="BT34" i="3"/>
  <c r="BS34" i="3"/>
  <c r="BR34" i="3"/>
  <c r="BQ34" i="3"/>
  <c r="BK34" i="3"/>
  <c r="BJ34" i="3"/>
  <c r="BI34" i="3"/>
  <c r="BH34" i="3"/>
  <c r="BG34" i="3"/>
  <c r="BF34" i="3"/>
  <c r="BE34" i="3"/>
  <c r="BD34" i="3"/>
  <c r="BC34" i="3"/>
  <c r="BB34" i="3"/>
  <c r="BA34" i="3"/>
  <c r="AX34" i="3"/>
  <c r="AW34" i="3"/>
  <c r="AV34" i="3"/>
  <c r="AC34" i="3"/>
  <c r="H34" i="3"/>
  <c r="BT33" i="3"/>
  <c r="BS33" i="3"/>
  <c r="BR33" i="3"/>
  <c r="BQ33" i="3"/>
  <c r="BL33" i="3"/>
  <c r="BK33" i="3"/>
  <c r="BJ33" i="3"/>
  <c r="BI33" i="3"/>
  <c r="BH33" i="3"/>
  <c r="BG33" i="3"/>
  <c r="BF33" i="3"/>
  <c r="BE33" i="3"/>
  <c r="BD33" i="3"/>
  <c r="BC33" i="3"/>
  <c r="BB33" i="3"/>
  <c r="BA33" i="3"/>
  <c r="AX33" i="3"/>
  <c r="AW33" i="3"/>
  <c r="AV33" i="3"/>
  <c r="AC33" i="3"/>
  <c r="H33" i="3"/>
  <c r="BT32" i="3"/>
  <c r="BS32" i="3"/>
  <c r="BR32" i="3"/>
  <c r="BQ32" i="3"/>
  <c r="BL32" i="3"/>
  <c r="BK32" i="3"/>
  <c r="BJ32" i="3"/>
  <c r="BI32" i="3"/>
  <c r="BH32" i="3"/>
  <c r="BG32" i="3"/>
  <c r="BF32" i="3"/>
  <c r="BE32" i="3"/>
  <c r="BD32" i="3"/>
  <c r="BC32" i="3"/>
  <c r="BB32" i="3"/>
  <c r="BA32" i="3"/>
  <c r="AX32" i="3"/>
  <c r="AW32" i="3"/>
  <c r="AV32" i="3"/>
  <c r="AC32" i="3"/>
  <c r="H32" i="3"/>
  <c r="BT31" i="3"/>
  <c r="BS31" i="3"/>
  <c r="BR31" i="3"/>
  <c r="BQ31" i="3"/>
  <c r="BL31" i="3"/>
  <c r="BK31" i="3"/>
  <c r="BJ31" i="3"/>
  <c r="BI31" i="3"/>
  <c r="BH31" i="3"/>
  <c r="BG31" i="3"/>
  <c r="BF31" i="3"/>
  <c r="BE31" i="3"/>
  <c r="BD31" i="3"/>
  <c r="BC31" i="3"/>
  <c r="BB31" i="3"/>
  <c r="BA31" i="3"/>
  <c r="AX31" i="3"/>
  <c r="AW31" i="3"/>
  <c r="AV31" i="3"/>
  <c r="AC31" i="3"/>
  <c r="H31" i="3"/>
  <c r="BT30" i="3"/>
  <c r="BS30" i="3"/>
  <c r="BR30" i="3"/>
  <c r="BQ30" i="3"/>
  <c r="BL30" i="3"/>
  <c r="BK30" i="3"/>
  <c r="BJ30" i="3"/>
  <c r="BI30" i="3"/>
  <c r="BH30" i="3"/>
  <c r="BG30" i="3"/>
  <c r="BF30" i="3"/>
  <c r="BE30" i="3"/>
  <c r="BD30" i="3"/>
  <c r="BC30" i="3"/>
  <c r="BB30" i="3"/>
  <c r="BA30" i="3"/>
  <c r="AZ30" i="3"/>
  <c r="AX30" i="3"/>
  <c r="AW30" i="3"/>
  <c r="AV30" i="3"/>
  <c r="AC30" i="3"/>
  <c r="H30" i="3"/>
  <c r="G30" i="3"/>
  <c r="BT29" i="3"/>
  <c r="BS29" i="3"/>
  <c r="BR29" i="3"/>
  <c r="BQ29" i="3"/>
  <c r="BL29" i="3"/>
  <c r="BK29" i="3"/>
  <c r="BJ29" i="3"/>
  <c r="BI29" i="3"/>
  <c r="BH29" i="3"/>
  <c r="BG29" i="3"/>
  <c r="BF29" i="3"/>
  <c r="BE29" i="3"/>
  <c r="BD29" i="3"/>
  <c r="BC29" i="3"/>
  <c r="BB29" i="3"/>
  <c r="BA29" i="3"/>
  <c r="AX29" i="3"/>
  <c r="AW29" i="3"/>
  <c r="AV29" i="3"/>
  <c r="AC29" i="3"/>
  <c r="H29" i="3"/>
  <c r="G29" i="3"/>
  <c r="BT28" i="3"/>
  <c r="BS28" i="3"/>
  <c r="BR28" i="3"/>
  <c r="BQ28" i="3"/>
  <c r="BK28" i="3"/>
  <c r="BJ28" i="3"/>
  <c r="BI28" i="3"/>
  <c r="BH28" i="3"/>
  <c r="BG28" i="3"/>
  <c r="BF28" i="3"/>
  <c r="BE28" i="3"/>
  <c r="BD28" i="3"/>
  <c r="BC28" i="3"/>
  <c r="BB28" i="3"/>
  <c r="BA28" i="3"/>
  <c r="AX28" i="3"/>
  <c r="AW28" i="3"/>
  <c r="AV28" i="3"/>
  <c r="AC28" i="3"/>
  <c r="H28" i="3"/>
  <c r="G28" i="3"/>
  <c r="BT27" i="3"/>
  <c r="BS27" i="3"/>
  <c r="BR27" i="3"/>
  <c r="BQ27" i="3"/>
  <c r="BL27" i="3"/>
  <c r="BK27" i="3"/>
  <c r="BJ27" i="3"/>
  <c r="BI27" i="3"/>
  <c r="BH27" i="3"/>
  <c r="BG27" i="3"/>
  <c r="BF27" i="3"/>
  <c r="BE27" i="3"/>
  <c r="BD27" i="3"/>
  <c r="BC27" i="3"/>
  <c r="BB27" i="3"/>
  <c r="BA27" i="3"/>
  <c r="AX27" i="3"/>
  <c r="AW27" i="3"/>
  <c r="AV27" i="3"/>
  <c r="AC27" i="3"/>
  <c r="H27" i="3"/>
  <c r="G27" i="3"/>
  <c r="BT26" i="3"/>
  <c r="BS26" i="3"/>
  <c r="BR26" i="3"/>
  <c r="BQ26" i="3"/>
  <c r="BL26" i="3"/>
  <c r="BK26" i="3"/>
  <c r="BJ26" i="3"/>
  <c r="BI26" i="3"/>
  <c r="BH26" i="3"/>
  <c r="BG26" i="3"/>
  <c r="BF26" i="3"/>
  <c r="BE26" i="3"/>
  <c r="BD26" i="3"/>
  <c r="BC26" i="3"/>
  <c r="BB26" i="3"/>
  <c r="AX26" i="3"/>
  <c r="AW26" i="3"/>
  <c r="AV26" i="3"/>
  <c r="AC26" i="3"/>
  <c r="H26" i="3"/>
  <c r="G26" i="3"/>
  <c r="BT25" i="3"/>
  <c r="BS25" i="3"/>
  <c r="BR25" i="3"/>
  <c r="BQ25" i="3"/>
  <c r="BK25" i="3"/>
  <c r="BJ25" i="3"/>
  <c r="BI25" i="3"/>
  <c r="BH25" i="3"/>
  <c r="BG25" i="3"/>
  <c r="BF25" i="3"/>
  <c r="BE25" i="3"/>
  <c r="BD25" i="3"/>
  <c r="BC25" i="3"/>
  <c r="BB25" i="3"/>
  <c r="BA25" i="3"/>
  <c r="AX25" i="3"/>
  <c r="AW25" i="3"/>
  <c r="AV25" i="3"/>
  <c r="AC25" i="3"/>
  <c r="H25" i="3"/>
  <c r="BT24" i="3"/>
  <c r="BS24" i="3"/>
  <c r="BR24" i="3"/>
  <c r="BQ24" i="3"/>
  <c r="BL24" i="3"/>
  <c r="BK24" i="3"/>
  <c r="BJ24" i="3"/>
  <c r="BI24" i="3"/>
  <c r="BH24" i="3"/>
  <c r="BG24" i="3"/>
  <c r="BF24" i="3"/>
  <c r="BE24" i="3"/>
  <c r="BD24" i="3"/>
  <c r="BC24" i="3"/>
  <c r="BB24" i="3"/>
  <c r="BA24" i="3"/>
  <c r="AX24" i="3"/>
  <c r="AW24" i="3"/>
  <c r="AV24" i="3"/>
  <c r="AC24" i="3"/>
  <c r="H24" i="3"/>
  <c r="BT23" i="3"/>
  <c r="BS23" i="3"/>
  <c r="BR23" i="3"/>
  <c r="BQ23" i="3"/>
  <c r="BL23" i="3"/>
  <c r="BK23" i="3"/>
  <c r="BJ23" i="3"/>
  <c r="BI23" i="3"/>
  <c r="BH23" i="3"/>
  <c r="BG23" i="3"/>
  <c r="BF23" i="3"/>
  <c r="BE23" i="3"/>
  <c r="BD23" i="3"/>
  <c r="BC23" i="3"/>
  <c r="BB23" i="3"/>
  <c r="BA23" i="3"/>
  <c r="AZ23" i="3"/>
  <c r="AX23" i="3"/>
  <c r="AW23" i="3"/>
  <c r="AV23" i="3"/>
  <c r="AC23" i="3"/>
  <c r="H23" i="3"/>
  <c r="G23" i="3"/>
  <c r="BT22" i="3"/>
  <c r="BS22" i="3"/>
  <c r="BR22" i="3"/>
  <c r="BQ22" i="3"/>
  <c r="BL22" i="3"/>
  <c r="BK22" i="3"/>
  <c r="BJ22" i="3"/>
  <c r="BI22" i="3"/>
  <c r="BH22" i="3"/>
  <c r="BG22" i="3"/>
  <c r="BF22" i="3"/>
  <c r="BE22" i="3"/>
  <c r="BD22" i="3"/>
  <c r="BC22" i="3"/>
  <c r="BB22" i="3"/>
  <c r="BA22" i="3"/>
  <c r="AX22" i="3"/>
  <c r="AW22" i="3"/>
  <c r="AV22" i="3"/>
  <c r="AC22" i="3"/>
  <c r="H22" i="3"/>
  <c r="G22" i="3"/>
  <c r="BT21" i="3"/>
  <c r="BS21" i="3"/>
  <c r="BR21" i="3"/>
  <c r="BQ21" i="3"/>
  <c r="BL21" i="3"/>
  <c r="BK21" i="3"/>
  <c r="BJ21" i="3"/>
  <c r="BI21" i="3"/>
  <c r="BH21" i="3"/>
  <c r="BG21" i="3"/>
  <c r="BF21" i="3"/>
  <c r="BE21" i="3"/>
  <c r="BD21" i="3"/>
  <c r="BC21" i="3"/>
  <c r="BB21" i="3"/>
  <c r="AX21" i="3"/>
  <c r="AW21" i="3"/>
  <c r="AV21" i="3"/>
  <c r="AC21" i="3"/>
  <c r="H21" i="3"/>
  <c r="G21" i="3"/>
  <c r="BT20" i="3"/>
  <c r="BS20" i="3"/>
  <c r="BR20" i="3"/>
  <c r="BQ20" i="3"/>
  <c r="BL20" i="3"/>
  <c r="BK20" i="3"/>
  <c r="BJ20" i="3"/>
  <c r="BI20" i="3"/>
  <c r="BH20" i="3"/>
  <c r="BG20" i="3"/>
  <c r="BF20" i="3"/>
  <c r="BE20" i="3"/>
  <c r="BD20" i="3"/>
  <c r="BC20" i="3"/>
  <c r="BB20" i="3"/>
  <c r="AX20" i="3"/>
  <c r="AW20" i="3"/>
  <c r="AV20" i="3"/>
  <c r="AC20" i="3"/>
  <c r="H20" i="3"/>
  <c r="G20" i="3"/>
  <c r="BT19" i="3"/>
  <c r="BS19" i="3"/>
  <c r="BR19" i="3"/>
  <c r="BQ19" i="3"/>
  <c r="BL19" i="3"/>
  <c r="BK19" i="3"/>
  <c r="BJ19" i="3"/>
  <c r="BI19" i="3"/>
  <c r="BH19" i="3"/>
  <c r="BG19" i="3"/>
  <c r="BF19" i="3"/>
  <c r="BE19" i="3"/>
  <c r="BD19" i="3"/>
  <c r="BC19" i="3"/>
  <c r="BB19" i="3"/>
  <c r="AX19" i="3"/>
  <c r="AW19" i="3"/>
  <c r="AV19" i="3"/>
  <c r="AC19" i="3"/>
  <c r="H19" i="3"/>
  <c r="G19" i="3"/>
  <c r="BT18" i="3"/>
  <c r="BS18" i="3"/>
  <c r="BR18" i="3"/>
  <c r="BQ18" i="3"/>
  <c r="BK18" i="3"/>
  <c r="BJ18" i="3"/>
  <c r="BI18" i="3"/>
  <c r="BH18" i="3"/>
  <c r="BG18" i="3"/>
  <c r="BF18" i="3"/>
  <c r="BE18" i="3"/>
  <c r="BD18" i="3"/>
  <c r="BC18" i="3"/>
  <c r="BB18" i="3"/>
  <c r="BA18" i="3"/>
  <c r="AX18" i="3"/>
  <c r="AW18" i="3"/>
  <c r="AV18" i="3"/>
  <c r="AC18" i="3"/>
  <c r="H18" i="3"/>
  <c r="BT207" i="3"/>
  <c r="BS207" i="3"/>
  <c r="BR207" i="3"/>
  <c r="BQ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L206" i="3"/>
  <c r="BK206" i="3"/>
  <c r="BJ206" i="3"/>
  <c r="BI206" i="3"/>
  <c r="BH206" i="3"/>
  <c r="BG206" i="3"/>
  <c r="BF206" i="3"/>
  <c r="BE206" i="3"/>
  <c r="BD206" i="3"/>
  <c r="BC206" i="3"/>
  <c r="BB206" i="3"/>
  <c r="BA206" i="3"/>
  <c r="AX206" i="3"/>
  <c r="AW206" i="3"/>
  <c r="AV206" i="3"/>
  <c r="AC206" i="3"/>
  <c r="H206" i="3"/>
  <c r="G206" i="3"/>
  <c r="BT205" i="3"/>
  <c r="BS205" i="3"/>
  <c r="BR205" i="3"/>
  <c r="BQ205" i="3"/>
  <c r="BK205" i="3"/>
  <c r="BJ205" i="3"/>
  <c r="BI205" i="3"/>
  <c r="BH205" i="3"/>
  <c r="BG205" i="3"/>
  <c r="BF205" i="3"/>
  <c r="BE205" i="3"/>
  <c r="BD205" i="3"/>
  <c r="BC205" i="3"/>
  <c r="BB205" i="3"/>
  <c r="BA205" i="3"/>
  <c r="AX205" i="3"/>
  <c r="AW205" i="3"/>
  <c r="AV205" i="3"/>
  <c r="AC205" i="3"/>
  <c r="H205" i="3"/>
  <c r="BT204" i="3"/>
  <c r="BS204" i="3"/>
  <c r="BR204" i="3"/>
  <c r="BQ204" i="3"/>
  <c r="BK204" i="3"/>
  <c r="BJ204" i="3"/>
  <c r="BI204" i="3"/>
  <c r="BH204" i="3"/>
  <c r="BG204" i="3"/>
  <c r="BF204" i="3"/>
  <c r="BE204" i="3"/>
  <c r="BD204" i="3"/>
  <c r="BC204" i="3"/>
  <c r="BB204" i="3"/>
  <c r="BA204" i="3"/>
  <c r="AX204" i="3"/>
  <c r="AW204" i="3"/>
  <c r="AV204" i="3"/>
  <c r="AC204" i="3"/>
  <c r="H204" i="3"/>
  <c r="G204" i="3"/>
  <c r="BT203" i="3"/>
  <c r="BS203" i="3"/>
  <c r="BR203" i="3"/>
  <c r="BQ203" i="3"/>
  <c r="BL203" i="3"/>
  <c r="BK203" i="3"/>
  <c r="BJ203" i="3"/>
  <c r="BI203" i="3"/>
  <c r="BH203" i="3"/>
  <c r="BG203" i="3"/>
  <c r="BF203" i="3"/>
  <c r="BE203" i="3"/>
  <c r="BD203" i="3"/>
  <c r="BC203" i="3"/>
  <c r="BB203" i="3"/>
  <c r="AX203" i="3"/>
  <c r="AW203" i="3"/>
  <c r="AV203" i="3"/>
  <c r="AC203" i="3"/>
  <c r="H203" i="3"/>
  <c r="BT202" i="3"/>
  <c r="BS202" i="3"/>
  <c r="BR202" i="3"/>
  <c r="BQ202" i="3"/>
  <c r="BL202" i="3"/>
  <c r="BK202" i="3"/>
  <c r="BJ202" i="3"/>
  <c r="BI202" i="3"/>
  <c r="BH202" i="3"/>
  <c r="BG202" i="3"/>
  <c r="BF202" i="3"/>
  <c r="BE202" i="3"/>
  <c r="BD202" i="3"/>
  <c r="BC202" i="3"/>
  <c r="BB202" i="3"/>
  <c r="BA202" i="3"/>
  <c r="AX202" i="3"/>
  <c r="AW202" i="3"/>
  <c r="AV202" i="3"/>
  <c r="AC202" i="3"/>
  <c r="H202" i="3"/>
  <c r="BT201" i="3"/>
  <c r="BS201" i="3"/>
  <c r="BR201" i="3"/>
  <c r="BQ201" i="3"/>
  <c r="BL201" i="3"/>
  <c r="BK201" i="3"/>
  <c r="BJ201" i="3"/>
  <c r="BI201" i="3"/>
  <c r="BH201" i="3"/>
  <c r="BG201" i="3"/>
  <c r="BF201" i="3"/>
  <c r="BE201" i="3"/>
  <c r="BD201" i="3"/>
  <c r="BC201" i="3"/>
  <c r="BB201" i="3"/>
  <c r="BA201" i="3"/>
  <c r="AZ201" i="3"/>
  <c r="AX201" i="3"/>
  <c r="AW201" i="3"/>
  <c r="AV201" i="3"/>
  <c r="AC201" i="3"/>
  <c r="H201" i="3"/>
  <c r="BT200" i="3"/>
  <c r="BS200" i="3"/>
  <c r="BR200" i="3"/>
  <c r="BQ200" i="3"/>
  <c r="BK200" i="3"/>
  <c r="BJ200" i="3"/>
  <c r="BI200" i="3"/>
  <c r="BH200" i="3"/>
  <c r="BG200" i="3"/>
  <c r="BF200" i="3"/>
  <c r="BE200" i="3"/>
  <c r="BD200" i="3"/>
  <c r="BC200" i="3"/>
  <c r="BB200" i="3"/>
  <c r="BA200" i="3"/>
  <c r="AX200" i="3"/>
  <c r="AW200" i="3"/>
  <c r="AV200" i="3"/>
  <c r="AC200" i="3"/>
  <c r="H200" i="3"/>
  <c r="G200" i="3"/>
  <c r="BT199" i="3"/>
  <c r="BS199" i="3"/>
  <c r="BR199" i="3"/>
  <c r="BQ199" i="3"/>
  <c r="BL199" i="3"/>
  <c r="BK199" i="3"/>
  <c r="BJ199" i="3"/>
  <c r="BI199" i="3"/>
  <c r="BH199" i="3"/>
  <c r="BG199" i="3"/>
  <c r="BF199" i="3"/>
  <c r="BE199" i="3"/>
  <c r="BD199" i="3"/>
  <c r="BC199" i="3"/>
  <c r="BB199" i="3"/>
  <c r="AX199" i="3"/>
  <c r="AW199" i="3"/>
  <c r="AV199" i="3"/>
  <c r="AC199" i="3"/>
  <c r="H199" i="3"/>
  <c r="BT198" i="3"/>
  <c r="BS198" i="3"/>
  <c r="BR198" i="3"/>
  <c r="BQ198" i="3"/>
  <c r="BL198" i="3"/>
  <c r="BK198" i="3"/>
  <c r="BJ198" i="3"/>
  <c r="BI198" i="3"/>
  <c r="BH198" i="3"/>
  <c r="BG198" i="3"/>
  <c r="BF198" i="3"/>
  <c r="BE198" i="3"/>
  <c r="BD198" i="3"/>
  <c r="BC198" i="3"/>
  <c r="BB198" i="3"/>
  <c r="BA198" i="3"/>
  <c r="AX198" i="3"/>
  <c r="AW198" i="3"/>
  <c r="AV198" i="3"/>
  <c r="AC198" i="3"/>
  <c r="H198" i="3"/>
  <c r="BT197" i="3"/>
  <c r="BS197" i="3"/>
  <c r="BR197" i="3"/>
  <c r="BQ197" i="3"/>
  <c r="BL197" i="3"/>
  <c r="BK197" i="3"/>
  <c r="BJ197" i="3"/>
  <c r="BI197" i="3"/>
  <c r="BH197" i="3"/>
  <c r="BG197" i="3"/>
  <c r="BF197" i="3"/>
  <c r="BE197" i="3"/>
  <c r="BD197" i="3"/>
  <c r="BC197" i="3"/>
  <c r="BB197" i="3"/>
  <c r="BA197" i="3"/>
  <c r="AZ197" i="3"/>
  <c r="AX197" i="3"/>
  <c r="AW197" i="3"/>
  <c r="AV197" i="3"/>
  <c r="AC197" i="3"/>
  <c r="H197" i="3"/>
  <c r="BT196" i="3"/>
  <c r="BS196" i="3"/>
  <c r="BR196" i="3"/>
  <c r="BQ196" i="3"/>
  <c r="BK196" i="3"/>
  <c r="BJ196" i="3"/>
  <c r="BI196" i="3"/>
  <c r="BH196" i="3"/>
  <c r="BG196" i="3"/>
  <c r="BF196" i="3"/>
  <c r="BE196" i="3"/>
  <c r="BD196" i="3"/>
  <c r="BC196" i="3"/>
  <c r="BB196" i="3"/>
  <c r="BA196" i="3"/>
  <c r="AX196" i="3"/>
  <c r="AW196" i="3"/>
  <c r="AV196" i="3"/>
  <c r="AC196" i="3"/>
  <c r="H196" i="3"/>
  <c r="G196" i="3"/>
  <c r="BT195" i="3"/>
  <c r="BS195" i="3"/>
  <c r="BR195" i="3"/>
  <c r="BQ195" i="3"/>
  <c r="BL195" i="3"/>
  <c r="BK195" i="3"/>
  <c r="BJ195" i="3"/>
  <c r="BI195" i="3"/>
  <c r="BH195" i="3"/>
  <c r="BG195" i="3"/>
  <c r="BF195" i="3"/>
  <c r="BE195" i="3"/>
  <c r="BD195" i="3"/>
  <c r="BC195" i="3"/>
  <c r="BB195" i="3"/>
  <c r="AX195" i="3"/>
  <c r="AW195" i="3"/>
  <c r="AV195" i="3"/>
  <c r="AC195" i="3"/>
  <c r="H195" i="3"/>
  <c r="BT194" i="3"/>
  <c r="BS194" i="3"/>
  <c r="BR194" i="3"/>
  <c r="BQ194" i="3"/>
  <c r="BL194" i="3"/>
  <c r="BK194" i="3"/>
  <c r="BJ194" i="3"/>
  <c r="BI194" i="3"/>
  <c r="BH194" i="3"/>
  <c r="BG194" i="3"/>
  <c r="BF194" i="3"/>
  <c r="BE194" i="3"/>
  <c r="BD194" i="3"/>
  <c r="BC194" i="3"/>
  <c r="BB194" i="3"/>
  <c r="BA194" i="3"/>
  <c r="AX194" i="3"/>
  <c r="AW194" i="3"/>
  <c r="AV194" i="3"/>
  <c r="AC194" i="3"/>
  <c r="H194" i="3"/>
  <c r="BT193" i="3"/>
  <c r="BS193" i="3"/>
  <c r="BR193" i="3"/>
  <c r="BQ193" i="3"/>
  <c r="BL193" i="3"/>
  <c r="BK193" i="3"/>
  <c r="BJ193" i="3"/>
  <c r="BI193" i="3"/>
  <c r="BH193" i="3"/>
  <c r="BG193" i="3"/>
  <c r="BF193" i="3"/>
  <c r="BE193" i="3"/>
  <c r="BD193" i="3"/>
  <c r="BC193" i="3"/>
  <c r="BB193" i="3"/>
  <c r="BA193" i="3"/>
  <c r="AZ193" i="3"/>
  <c r="AX193" i="3"/>
  <c r="AW193" i="3"/>
  <c r="AV193" i="3"/>
  <c r="AC193" i="3"/>
  <c r="H193" i="3"/>
  <c r="BT192" i="3"/>
  <c r="BS192" i="3"/>
  <c r="BR192" i="3"/>
  <c r="BQ192" i="3"/>
  <c r="BK192" i="3"/>
  <c r="BJ192" i="3"/>
  <c r="BI192" i="3"/>
  <c r="BH192" i="3"/>
  <c r="BG192" i="3"/>
  <c r="BF192" i="3"/>
  <c r="BE192" i="3"/>
  <c r="BD192" i="3"/>
  <c r="BC192" i="3"/>
  <c r="BB192" i="3"/>
  <c r="BA192" i="3"/>
  <c r="AX192" i="3"/>
  <c r="AW192" i="3"/>
  <c r="AV192" i="3"/>
  <c r="AC192" i="3"/>
  <c r="H192" i="3"/>
  <c r="G192" i="3"/>
  <c r="BT191" i="3"/>
  <c r="BS191" i="3"/>
  <c r="BR191" i="3"/>
  <c r="BQ191" i="3"/>
  <c r="BL191" i="3"/>
  <c r="BK191" i="3"/>
  <c r="BJ191" i="3"/>
  <c r="BI191" i="3"/>
  <c r="BH191" i="3"/>
  <c r="BG191" i="3"/>
  <c r="BF191" i="3"/>
  <c r="BE191" i="3"/>
  <c r="BD191" i="3"/>
  <c r="BC191" i="3"/>
  <c r="BB191" i="3"/>
  <c r="AX191" i="3"/>
  <c r="AW191" i="3"/>
  <c r="AV191" i="3"/>
  <c r="AC191" i="3"/>
  <c r="H191" i="3"/>
  <c r="BT190" i="3"/>
  <c r="BS190" i="3"/>
  <c r="BR190" i="3"/>
  <c r="BQ190" i="3"/>
  <c r="BL190" i="3"/>
  <c r="BK190" i="3"/>
  <c r="BJ190" i="3"/>
  <c r="BI190" i="3"/>
  <c r="BH190" i="3"/>
  <c r="BG190" i="3"/>
  <c r="BF190" i="3"/>
  <c r="BE190" i="3"/>
  <c r="BD190" i="3"/>
  <c r="BC190" i="3"/>
  <c r="BB190" i="3"/>
  <c r="BA190" i="3"/>
  <c r="AX190" i="3"/>
  <c r="AW190" i="3"/>
  <c r="AV190" i="3"/>
  <c r="AC190" i="3"/>
  <c r="H190" i="3"/>
  <c r="BT189" i="3"/>
  <c r="BS189" i="3"/>
  <c r="BR189" i="3"/>
  <c r="BQ189" i="3"/>
  <c r="BL189" i="3"/>
  <c r="BK189" i="3"/>
  <c r="BJ189" i="3"/>
  <c r="BI189" i="3"/>
  <c r="BH189" i="3"/>
  <c r="BG189" i="3"/>
  <c r="BF189" i="3"/>
  <c r="BE189" i="3"/>
  <c r="BD189" i="3"/>
  <c r="BC189" i="3"/>
  <c r="BB189" i="3"/>
  <c r="BA189" i="3"/>
  <c r="AZ189" i="3"/>
  <c r="AX189" i="3"/>
  <c r="AW189" i="3"/>
  <c r="AV189" i="3"/>
  <c r="AC189" i="3"/>
  <c r="H189" i="3"/>
  <c r="BT188" i="3"/>
  <c r="BS188" i="3"/>
  <c r="BR188" i="3"/>
  <c r="BQ188" i="3"/>
  <c r="BK188" i="3"/>
  <c r="BJ188" i="3"/>
  <c r="BI188" i="3"/>
  <c r="BH188" i="3"/>
  <c r="BG188" i="3"/>
  <c r="BF188" i="3"/>
  <c r="BE188" i="3"/>
  <c r="BD188" i="3"/>
  <c r="BC188" i="3"/>
  <c r="BB188" i="3"/>
  <c r="BA188" i="3"/>
  <c r="AX188" i="3"/>
  <c r="AW188" i="3"/>
  <c r="AV188" i="3"/>
  <c r="AC188" i="3"/>
  <c r="H188" i="3"/>
  <c r="G188" i="3"/>
  <c r="BT187" i="3"/>
  <c r="BS187" i="3"/>
  <c r="BR187" i="3"/>
  <c r="BQ187" i="3"/>
  <c r="BK187" i="3"/>
  <c r="BJ187" i="3"/>
  <c r="BI187" i="3"/>
  <c r="BH187" i="3"/>
  <c r="BG187" i="3"/>
  <c r="BF187" i="3"/>
  <c r="BE187" i="3"/>
  <c r="BD187" i="3"/>
  <c r="BC187" i="3"/>
  <c r="BB187" i="3"/>
  <c r="AX187" i="3"/>
  <c r="AW187" i="3"/>
  <c r="AV187" i="3"/>
  <c r="AC187" i="3"/>
  <c r="H187" i="3"/>
  <c r="G187" i="3"/>
  <c r="BT186" i="3"/>
  <c r="BS186" i="3"/>
  <c r="BR186" i="3"/>
  <c r="BQ186" i="3"/>
  <c r="BL186" i="3"/>
  <c r="BK186" i="3"/>
  <c r="BJ186" i="3"/>
  <c r="BI186" i="3"/>
  <c r="BH186" i="3"/>
  <c r="BG186" i="3"/>
  <c r="BF186" i="3"/>
  <c r="BE186" i="3"/>
  <c r="BD186" i="3"/>
  <c r="BC186" i="3"/>
  <c r="BB186" i="3"/>
  <c r="BA186" i="3"/>
  <c r="AX186" i="3"/>
  <c r="AW186" i="3"/>
  <c r="AV186" i="3"/>
  <c r="AC186" i="3"/>
  <c r="H186" i="3"/>
  <c r="BT185" i="3"/>
  <c r="BS185" i="3"/>
  <c r="BR185" i="3"/>
  <c r="BQ185" i="3"/>
  <c r="BL185" i="3"/>
  <c r="BK185" i="3"/>
  <c r="BJ185" i="3"/>
  <c r="BI185" i="3"/>
  <c r="BH185" i="3"/>
  <c r="BG185" i="3"/>
  <c r="BF185" i="3"/>
  <c r="BE185" i="3"/>
  <c r="BD185" i="3"/>
  <c r="BC185" i="3"/>
  <c r="BB185" i="3"/>
  <c r="BA185" i="3"/>
  <c r="AZ185" i="3"/>
  <c r="AX185" i="3"/>
  <c r="AW185" i="3"/>
  <c r="AV185" i="3"/>
  <c r="AC185" i="3"/>
  <c r="H185" i="3"/>
  <c r="BT184" i="3"/>
  <c r="BS184" i="3"/>
  <c r="BR184" i="3"/>
  <c r="BQ184" i="3"/>
  <c r="BK184" i="3"/>
  <c r="BJ184" i="3"/>
  <c r="BI184" i="3"/>
  <c r="BH184" i="3"/>
  <c r="BG184" i="3"/>
  <c r="BF184" i="3"/>
  <c r="BE184" i="3"/>
  <c r="BD184" i="3"/>
  <c r="BC184" i="3"/>
  <c r="BB184" i="3"/>
  <c r="BA184" i="3"/>
  <c r="AX184" i="3"/>
  <c r="AW184" i="3"/>
  <c r="AV184" i="3"/>
  <c r="AC184" i="3"/>
  <c r="H184" i="3"/>
  <c r="G184" i="3"/>
  <c r="BT183" i="3"/>
  <c r="BS183" i="3"/>
  <c r="BR183" i="3"/>
  <c r="BQ183" i="3"/>
  <c r="BL183" i="3"/>
  <c r="BK183" i="3"/>
  <c r="BJ183" i="3"/>
  <c r="BI183" i="3"/>
  <c r="BH183" i="3"/>
  <c r="BG183" i="3"/>
  <c r="BF183" i="3"/>
  <c r="BE183" i="3"/>
  <c r="BD183" i="3"/>
  <c r="BC183" i="3"/>
  <c r="BB183" i="3"/>
  <c r="AX183" i="3"/>
  <c r="AW183" i="3"/>
  <c r="AV183" i="3"/>
  <c r="AC183" i="3"/>
  <c r="H183" i="3"/>
  <c r="BT182" i="3"/>
  <c r="BS182" i="3"/>
  <c r="BR182" i="3"/>
  <c r="BQ182" i="3"/>
  <c r="BL182" i="3"/>
  <c r="BK182" i="3"/>
  <c r="BJ182" i="3"/>
  <c r="BI182" i="3"/>
  <c r="BH182" i="3"/>
  <c r="BG182" i="3"/>
  <c r="BF182" i="3"/>
  <c r="BE182" i="3"/>
  <c r="BD182" i="3"/>
  <c r="BC182" i="3"/>
  <c r="BB182" i="3"/>
  <c r="BA182" i="3"/>
  <c r="AX182" i="3"/>
  <c r="AW182" i="3"/>
  <c r="AV182" i="3"/>
  <c r="AC182" i="3"/>
  <c r="H182" i="3"/>
  <c r="G182" i="3"/>
  <c r="BT181" i="3"/>
  <c r="BS181" i="3"/>
  <c r="BR181" i="3"/>
  <c r="BQ181" i="3"/>
  <c r="BL181" i="3"/>
  <c r="BK181" i="3"/>
  <c r="BJ181" i="3"/>
  <c r="BI181" i="3"/>
  <c r="BH181" i="3"/>
  <c r="BG181" i="3"/>
  <c r="BF181" i="3"/>
  <c r="BE181" i="3"/>
  <c r="BD181" i="3"/>
  <c r="BC181" i="3"/>
  <c r="BB181" i="3"/>
  <c r="BA181" i="3"/>
  <c r="AZ181" i="3"/>
  <c r="AX181" i="3"/>
  <c r="AW181" i="3"/>
  <c r="AV181" i="3"/>
  <c r="AC181" i="3"/>
  <c r="H181" i="3"/>
  <c r="BT180" i="3"/>
  <c r="BS180" i="3"/>
  <c r="BR180" i="3"/>
  <c r="BQ180" i="3"/>
  <c r="BK180" i="3"/>
  <c r="BJ180" i="3"/>
  <c r="BI180" i="3"/>
  <c r="BH180" i="3"/>
  <c r="BG180" i="3"/>
  <c r="BF180" i="3"/>
  <c r="BE180" i="3"/>
  <c r="BD180" i="3"/>
  <c r="BC180" i="3"/>
  <c r="BB180" i="3"/>
  <c r="BA180" i="3"/>
  <c r="AX180" i="3"/>
  <c r="AW180" i="3"/>
  <c r="AV180" i="3"/>
  <c r="AC180" i="3"/>
  <c r="H180" i="3"/>
  <c r="G180" i="3"/>
  <c r="BT179" i="3"/>
  <c r="BS179" i="3"/>
  <c r="BR179" i="3"/>
  <c r="BQ179" i="3"/>
  <c r="BK179" i="3"/>
  <c r="BJ179" i="3"/>
  <c r="BI179" i="3"/>
  <c r="BH179" i="3"/>
  <c r="BG179" i="3"/>
  <c r="BF179" i="3"/>
  <c r="BE179" i="3"/>
  <c r="BD179" i="3"/>
  <c r="BC179" i="3"/>
  <c r="BB179" i="3"/>
  <c r="AX179" i="3"/>
  <c r="AW179" i="3"/>
  <c r="AV179" i="3"/>
  <c r="AC179" i="3"/>
  <c r="H179" i="3"/>
  <c r="G179" i="3"/>
  <c r="BT178" i="3"/>
  <c r="BS178" i="3"/>
  <c r="BR178" i="3"/>
  <c r="BQ178" i="3"/>
  <c r="BL178" i="3"/>
  <c r="BK178" i="3"/>
  <c r="BJ178" i="3"/>
  <c r="BI178" i="3"/>
  <c r="BH178" i="3"/>
  <c r="BG178" i="3"/>
  <c r="BF178" i="3"/>
  <c r="BE178" i="3"/>
  <c r="BD178" i="3"/>
  <c r="BC178" i="3"/>
  <c r="BB178" i="3"/>
  <c r="AX178" i="3"/>
  <c r="AW178" i="3"/>
  <c r="AV178" i="3"/>
  <c r="AC178" i="3"/>
  <c r="H178" i="3"/>
  <c r="G178" i="3"/>
  <c r="BT177" i="3"/>
  <c r="BS177" i="3"/>
  <c r="BR177" i="3"/>
  <c r="BQ177" i="3"/>
  <c r="BL177" i="3"/>
  <c r="BK177" i="3"/>
  <c r="BJ177" i="3"/>
  <c r="BI177" i="3"/>
  <c r="BH177" i="3"/>
  <c r="BG177" i="3"/>
  <c r="BF177" i="3"/>
  <c r="BE177" i="3"/>
  <c r="BD177" i="3"/>
  <c r="BC177" i="3"/>
  <c r="BB177" i="3"/>
  <c r="AX177" i="3"/>
  <c r="AW177" i="3"/>
  <c r="AV177" i="3"/>
  <c r="AC177" i="3"/>
  <c r="H177" i="3"/>
  <c r="BT176" i="3"/>
  <c r="BS176" i="3"/>
  <c r="BR176" i="3"/>
  <c r="BQ176" i="3"/>
  <c r="BK176" i="3"/>
  <c r="BJ176" i="3"/>
  <c r="BI176" i="3"/>
  <c r="BH176" i="3"/>
  <c r="BG176" i="3"/>
  <c r="BF176" i="3"/>
  <c r="BE176" i="3"/>
  <c r="BD176" i="3"/>
  <c r="BC176" i="3"/>
  <c r="BB176" i="3"/>
  <c r="BA176" i="3"/>
  <c r="AX176" i="3"/>
  <c r="AW176" i="3"/>
  <c r="AV176" i="3"/>
  <c r="AC176" i="3"/>
  <c r="H176" i="3"/>
  <c r="G176" i="3"/>
  <c r="BT175" i="3"/>
  <c r="BS175" i="3"/>
  <c r="BR175" i="3"/>
  <c r="BQ175" i="3"/>
  <c r="BK175" i="3"/>
  <c r="BJ175" i="3"/>
  <c r="BI175" i="3"/>
  <c r="BH175" i="3"/>
  <c r="BG175" i="3"/>
  <c r="BF175" i="3"/>
  <c r="BE175" i="3"/>
  <c r="BD175" i="3"/>
  <c r="BC175" i="3"/>
  <c r="BB175" i="3"/>
  <c r="AX175" i="3"/>
  <c r="AW175" i="3"/>
  <c r="AV175" i="3"/>
  <c r="AC175" i="3"/>
  <c r="H175" i="3"/>
  <c r="G175" i="3"/>
  <c r="BT174" i="3"/>
  <c r="BS174" i="3"/>
  <c r="BR174" i="3"/>
  <c r="BQ174" i="3"/>
  <c r="BL174" i="3"/>
  <c r="BK174" i="3"/>
  <c r="BJ174" i="3"/>
  <c r="BI174" i="3"/>
  <c r="BH174" i="3"/>
  <c r="BG174" i="3"/>
  <c r="BF174" i="3"/>
  <c r="BE174" i="3"/>
  <c r="BD174" i="3"/>
  <c r="BC174" i="3"/>
  <c r="BB174" i="3"/>
  <c r="AX174" i="3"/>
  <c r="AW174" i="3"/>
  <c r="AV174" i="3"/>
  <c r="AC174" i="3"/>
  <c r="H174" i="3"/>
  <c r="G174" i="3"/>
  <c r="BT173" i="3"/>
  <c r="BS173" i="3"/>
  <c r="BR173" i="3"/>
  <c r="BQ173" i="3"/>
  <c r="BL173" i="3"/>
  <c r="BK173" i="3"/>
  <c r="BJ173" i="3"/>
  <c r="BI173" i="3"/>
  <c r="BH173" i="3"/>
  <c r="BG173" i="3"/>
  <c r="BF173" i="3"/>
  <c r="BE173" i="3"/>
  <c r="BD173" i="3"/>
  <c r="BC173" i="3"/>
  <c r="BB173" i="3"/>
  <c r="AX173" i="3"/>
  <c r="AW173" i="3"/>
  <c r="AV173" i="3"/>
  <c r="AC173" i="3"/>
  <c r="H173" i="3"/>
  <c r="BT172" i="3"/>
  <c r="BS172" i="3"/>
  <c r="BR172" i="3"/>
  <c r="BQ172" i="3"/>
  <c r="BK172" i="3"/>
  <c r="BJ172" i="3"/>
  <c r="BI172" i="3"/>
  <c r="BH172" i="3"/>
  <c r="BG172" i="3"/>
  <c r="BF172" i="3"/>
  <c r="BE172" i="3"/>
  <c r="BD172" i="3"/>
  <c r="BC172" i="3"/>
  <c r="BB172" i="3"/>
  <c r="BA172" i="3"/>
  <c r="AX172" i="3"/>
  <c r="AW172" i="3"/>
  <c r="AV172" i="3"/>
  <c r="AC172" i="3"/>
  <c r="H172" i="3"/>
  <c r="G172" i="3"/>
  <c r="BT171" i="3"/>
  <c r="BS171" i="3"/>
  <c r="BR171" i="3"/>
  <c r="BQ171" i="3"/>
  <c r="BL171" i="3"/>
  <c r="BK171" i="3"/>
  <c r="BJ171" i="3"/>
  <c r="BI171" i="3"/>
  <c r="BH171" i="3"/>
  <c r="BG171" i="3"/>
  <c r="BF171" i="3"/>
  <c r="BE171" i="3"/>
  <c r="BD171" i="3"/>
  <c r="BC171" i="3"/>
  <c r="BB171" i="3"/>
  <c r="AX171" i="3"/>
  <c r="AW171" i="3"/>
  <c r="AV171" i="3"/>
  <c r="AC171" i="3"/>
  <c r="H171" i="3"/>
  <c r="BT170" i="3"/>
  <c r="BS170" i="3"/>
  <c r="BR170" i="3"/>
  <c r="BQ170" i="3"/>
  <c r="BL170" i="3"/>
  <c r="BK170" i="3"/>
  <c r="BJ170" i="3"/>
  <c r="BI170" i="3"/>
  <c r="BH170" i="3"/>
  <c r="BG170" i="3"/>
  <c r="BF170" i="3"/>
  <c r="BE170" i="3"/>
  <c r="BD170" i="3"/>
  <c r="BC170" i="3"/>
  <c r="BB170" i="3"/>
  <c r="BA170" i="3"/>
  <c r="AX170" i="3"/>
  <c r="AW170" i="3"/>
  <c r="AV170" i="3"/>
  <c r="AC170" i="3"/>
  <c r="H170" i="3"/>
  <c r="G170" i="3"/>
  <c r="BT169" i="3"/>
  <c r="BS169" i="3"/>
  <c r="BR169" i="3"/>
  <c r="BQ169" i="3"/>
  <c r="BL169" i="3"/>
  <c r="BK169" i="3"/>
  <c r="BJ169" i="3"/>
  <c r="BI169" i="3"/>
  <c r="BH169" i="3"/>
  <c r="BG169" i="3"/>
  <c r="BF169" i="3"/>
  <c r="BE169" i="3"/>
  <c r="BD169" i="3"/>
  <c r="BC169" i="3"/>
  <c r="BB169" i="3"/>
  <c r="BA169" i="3"/>
  <c r="AX169" i="3"/>
  <c r="AW169" i="3"/>
  <c r="AV169" i="3"/>
  <c r="AC169" i="3"/>
  <c r="H169" i="3"/>
  <c r="BT168" i="3"/>
  <c r="BS168" i="3"/>
  <c r="BR168" i="3"/>
  <c r="BQ168" i="3"/>
  <c r="BK168" i="3"/>
  <c r="BJ168" i="3"/>
  <c r="BI168" i="3"/>
  <c r="BH168" i="3"/>
  <c r="BG168" i="3"/>
  <c r="BF168" i="3"/>
  <c r="BE168" i="3"/>
  <c r="BD168" i="3"/>
  <c r="BC168" i="3"/>
  <c r="BB168" i="3"/>
  <c r="BA168" i="3"/>
  <c r="AX168" i="3"/>
  <c r="AW168" i="3"/>
  <c r="AV168" i="3"/>
  <c r="AC168" i="3"/>
  <c r="H168" i="3"/>
  <c r="G168" i="3"/>
  <c r="BT167" i="3"/>
  <c r="BS167" i="3"/>
  <c r="BR167" i="3"/>
  <c r="BQ167" i="3"/>
  <c r="BK167" i="3"/>
  <c r="BJ167" i="3"/>
  <c r="BI167" i="3"/>
  <c r="BH167" i="3"/>
  <c r="BG167" i="3"/>
  <c r="BF167" i="3"/>
  <c r="BE167" i="3"/>
  <c r="BD167" i="3"/>
  <c r="BC167" i="3"/>
  <c r="BB167" i="3"/>
  <c r="AX167" i="3"/>
  <c r="AW167" i="3"/>
  <c r="AV167" i="3"/>
  <c r="AC167" i="3"/>
  <c r="H167" i="3"/>
  <c r="G167" i="3"/>
  <c r="BT166" i="3"/>
  <c r="BS166" i="3"/>
  <c r="BR166" i="3"/>
  <c r="BQ166" i="3"/>
  <c r="BL166" i="3"/>
  <c r="BK166" i="3"/>
  <c r="BJ166" i="3"/>
  <c r="BI166" i="3"/>
  <c r="BH166" i="3"/>
  <c r="BG166" i="3"/>
  <c r="BF166" i="3"/>
  <c r="BE166" i="3"/>
  <c r="BD166" i="3"/>
  <c r="BC166" i="3"/>
  <c r="BB166" i="3"/>
  <c r="AX166" i="3"/>
  <c r="AW166" i="3"/>
  <c r="AV166" i="3"/>
  <c r="AC166" i="3"/>
  <c r="H166" i="3"/>
  <c r="G166" i="3"/>
  <c r="BT165" i="3"/>
  <c r="BS165" i="3"/>
  <c r="BR165" i="3"/>
  <c r="BQ165" i="3"/>
  <c r="BL165" i="3"/>
  <c r="BK165" i="3"/>
  <c r="BJ165" i="3"/>
  <c r="BI165" i="3"/>
  <c r="BH165" i="3"/>
  <c r="BG165" i="3"/>
  <c r="BF165" i="3"/>
  <c r="BE165" i="3"/>
  <c r="BD165" i="3"/>
  <c r="BC165" i="3"/>
  <c r="BB165" i="3"/>
  <c r="AX165" i="3"/>
  <c r="AW165" i="3"/>
  <c r="AV165" i="3"/>
  <c r="AC165" i="3"/>
  <c r="H165" i="3"/>
  <c r="BT164" i="3"/>
  <c r="BS164" i="3"/>
  <c r="BR164" i="3"/>
  <c r="BQ164" i="3"/>
  <c r="BK164" i="3"/>
  <c r="BJ164" i="3"/>
  <c r="BI164" i="3"/>
  <c r="BH164" i="3"/>
  <c r="BG164" i="3"/>
  <c r="BF164" i="3"/>
  <c r="BE164" i="3"/>
  <c r="BD164" i="3"/>
  <c r="BC164" i="3"/>
  <c r="BB164" i="3"/>
  <c r="BA164" i="3"/>
  <c r="AX164" i="3"/>
  <c r="AW164" i="3"/>
  <c r="AV164" i="3"/>
  <c r="AC164" i="3"/>
  <c r="H164" i="3"/>
  <c r="G164" i="3"/>
  <c r="BT163" i="3"/>
  <c r="BS163" i="3"/>
  <c r="BR163" i="3"/>
  <c r="BQ163" i="3"/>
  <c r="BL163" i="3"/>
  <c r="BK163" i="3"/>
  <c r="BJ163" i="3"/>
  <c r="BI163" i="3"/>
  <c r="BH163" i="3"/>
  <c r="BG163" i="3"/>
  <c r="BF163" i="3"/>
  <c r="BE163" i="3"/>
  <c r="BD163" i="3"/>
  <c r="BC163" i="3"/>
  <c r="BB163" i="3"/>
  <c r="AX163" i="3"/>
  <c r="AW163" i="3"/>
  <c r="AV163" i="3"/>
  <c r="AC163" i="3"/>
  <c r="H163" i="3"/>
  <c r="G163" i="3"/>
  <c r="BT162" i="3"/>
  <c r="BS162" i="3"/>
  <c r="BR162" i="3"/>
  <c r="BQ162" i="3"/>
  <c r="BL162" i="3"/>
  <c r="BK162" i="3"/>
  <c r="BJ162" i="3"/>
  <c r="BI162" i="3"/>
  <c r="BH162" i="3"/>
  <c r="BG162" i="3"/>
  <c r="BF162" i="3"/>
  <c r="BE162" i="3"/>
  <c r="BD162" i="3"/>
  <c r="BC162" i="3"/>
  <c r="BB162" i="3"/>
  <c r="AX162" i="3"/>
  <c r="AW162" i="3"/>
  <c r="AV162" i="3"/>
  <c r="AC162" i="3"/>
  <c r="H162" i="3"/>
  <c r="G162" i="3"/>
  <c r="BT161" i="3"/>
  <c r="BS161" i="3"/>
  <c r="BR161" i="3"/>
  <c r="BQ161" i="3"/>
  <c r="BL161" i="3"/>
  <c r="BK161" i="3"/>
  <c r="BJ161" i="3"/>
  <c r="BI161" i="3"/>
  <c r="BH161" i="3"/>
  <c r="BG161" i="3"/>
  <c r="BF161" i="3"/>
  <c r="BE161" i="3"/>
  <c r="BD161" i="3"/>
  <c r="BC161" i="3"/>
  <c r="BB161" i="3"/>
  <c r="AX161" i="3"/>
  <c r="AW161" i="3"/>
  <c r="AV161" i="3"/>
  <c r="AC161" i="3"/>
  <c r="H161" i="3"/>
  <c r="BT160" i="3"/>
  <c r="BS160" i="3"/>
  <c r="BR160" i="3"/>
  <c r="BQ160" i="3"/>
  <c r="BK160" i="3"/>
  <c r="BJ160" i="3"/>
  <c r="BI160" i="3"/>
  <c r="BH160" i="3"/>
  <c r="BG160" i="3"/>
  <c r="BF160" i="3"/>
  <c r="BE160" i="3"/>
  <c r="BD160" i="3"/>
  <c r="BC160" i="3"/>
  <c r="BB160" i="3"/>
  <c r="BA160" i="3"/>
  <c r="AX160" i="3"/>
  <c r="AW160" i="3"/>
  <c r="AV160" i="3"/>
  <c r="AC160" i="3"/>
  <c r="H160" i="3"/>
  <c r="G160" i="3"/>
  <c r="BT159" i="3"/>
  <c r="BS159" i="3"/>
  <c r="BR159" i="3"/>
  <c r="BQ159" i="3"/>
  <c r="BK159" i="3"/>
  <c r="BJ159" i="3"/>
  <c r="BI159" i="3"/>
  <c r="BH159" i="3"/>
  <c r="BG159" i="3"/>
  <c r="BF159" i="3"/>
  <c r="BE159" i="3"/>
  <c r="BD159" i="3"/>
  <c r="BC159" i="3"/>
  <c r="BB159" i="3"/>
  <c r="AX159" i="3"/>
  <c r="AW159" i="3"/>
  <c r="AV159" i="3"/>
  <c r="AC159" i="3"/>
  <c r="H159" i="3"/>
  <c r="G159" i="3"/>
  <c r="BT158" i="3"/>
  <c r="BS158" i="3"/>
  <c r="BR158" i="3"/>
  <c r="BQ158" i="3"/>
  <c r="BL158" i="3"/>
  <c r="BK158" i="3"/>
  <c r="BJ158" i="3"/>
  <c r="BI158" i="3"/>
  <c r="BH158" i="3"/>
  <c r="BG158" i="3"/>
  <c r="BF158" i="3"/>
  <c r="BE158" i="3"/>
  <c r="BD158" i="3"/>
  <c r="BC158" i="3"/>
  <c r="BB158" i="3"/>
  <c r="AX158" i="3"/>
  <c r="AW158" i="3"/>
  <c r="AV158" i="3"/>
  <c r="AC158" i="3"/>
  <c r="H158" i="3"/>
  <c r="G158" i="3"/>
  <c r="BT157" i="3"/>
  <c r="BS157" i="3"/>
  <c r="BR157" i="3"/>
  <c r="BQ157" i="3"/>
  <c r="BL157" i="3"/>
  <c r="BK157" i="3"/>
  <c r="BJ157" i="3"/>
  <c r="BI157" i="3"/>
  <c r="BH157" i="3"/>
  <c r="BG157" i="3"/>
  <c r="BF157" i="3"/>
  <c r="BE157" i="3"/>
  <c r="BD157" i="3"/>
  <c r="BC157" i="3"/>
  <c r="BB157" i="3"/>
  <c r="AX157" i="3"/>
  <c r="AW157" i="3"/>
  <c r="AV157" i="3"/>
  <c r="AC157" i="3"/>
  <c r="H157" i="3"/>
  <c r="BT156" i="3"/>
  <c r="BS156" i="3"/>
  <c r="BR156" i="3"/>
  <c r="BQ156" i="3"/>
  <c r="BK156" i="3"/>
  <c r="BJ156" i="3"/>
  <c r="BI156" i="3"/>
  <c r="BH156" i="3"/>
  <c r="BG156" i="3"/>
  <c r="BF156" i="3"/>
  <c r="BE156" i="3"/>
  <c r="BD156" i="3"/>
  <c r="BC156" i="3"/>
  <c r="BB156" i="3"/>
  <c r="BA156" i="3"/>
  <c r="AX156" i="3"/>
  <c r="AW156" i="3"/>
  <c r="AV156" i="3"/>
  <c r="AC156" i="3"/>
  <c r="H156" i="3"/>
  <c r="G156" i="3"/>
  <c r="BT155" i="3"/>
  <c r="BS155" i="3"/>
  <c r="BR155" i="3"/>
  <c r="BQ155" i="3"/>
  <c r="BK155" i="3"/>
  <c r="BJ155" i="3"/>
  <c r="BI155" i="3"/>
  <c r="BH155" i="3"/>
  <c r="BG155" i="3"/>
  <c r="BF155" i="3"/>
  <c r="BE155" i="3"/>
  <c r="BD155" i="3"/>
  <c r="BC155" i="3"/>
  <c r="BB155" i="3"/>
  <c r="AX155" i="3"/>
  <c r="AW155" i="3"/>
  <c r="AV155" i="3"/>
  <c r="AC155" i="3"/>
  <c r="H155" i="3"/>
  <c r="G155" i="3"/>
  <c r="BT154" i="3"/>
  <c r="BS154" i="3"/>
  <c r="BR154" i="3"/>
  <c r="BQ154" i="3"/>
  <c r="BL154" i="3"/>
  <c r="BK154" i="3"/>
  <c r="BJ154" i="3"/>
  <c r="BI154" i="3"/>
  <c r="BH154" i="3"/>
  <c r="BG154" i="3"/>
  <c r="BF154" i="3"/>
  <c r="BE154" i="3"/>
  <c r="BD154" i="3"/>
  <c r="BC154" i="3"/>
  <c r="BB154" i="3"/>
  <c r="AX154" i="3"/>
  <c r="AW154" i="3"/>
  <c r="AV154" i="3"/>
  <c r="AC154" i="3"/>
  <c r="H154" i="3"/>
  <c r="G154" i="3"/>
  <c r="BT153" i="3"/>
  <c r="BS153" i="3"/>
  <c r="BR153" i="3"/>
  <c r="BQ153" i="3"/>
  <c r="BL153" i="3"/>
  <c r="BK153" i="3"/>
  <c r="BJ153" i="3"/>
  <c r="BI153" i="3"/>
  <c r="BH153" i="3"/>
  <c r="BG153" i="3"/>
  <c r="BF153" i="3"/>
  <c r="BE153" i="3"/>
  <c r="BD153" i="3"/>
  <c r="BC153" i="3"/>
  <c r="BB153" i="3"/>
  <c r="AX153" i="3"/>
  <c r="AW153" i="3"/>
  <c r="AV153" i="3"/>
  <c r="AC153" i="3"/>
  <c r="H153" i="3"/>
  <c r="BT152" i="3"/>
  <c r="BS152" i="3"/>
  <c r="BR152" i="3"/>
  <c r="BQ152" i="3"/>
  <c r="BK152" i="3"/>
  <c r="BJ152" i="3"/>
  <c r="BI152" i="3"/>
  <c r="BH152" i="3"/>
  <c r="BG152" i="3"/>
  <c r="BF152" i="3"/>
  <c r="BE152" i="3"/>
  <c r="BD152" i="3"/>
  <c r="BC152" i="3"/>
  <c r="BB152" i="3"/>
  <c r="BA152" i="3"/>
  <c r="AX152" i="3"/>
  <c r="AW152" i="3"/>
  <c r="AV152" i="3"/>
  <c r="AC152" i="3"/>
  <c r="H152" i="3"/>
  <c r="G152" i="3"/>
  <c r="BT151" i="3"/>
  <c r="BS151" i="3"/>
  <c r="BR151" i="3"/>
  <c r="BQ151" i="3"/>
  <c r="BK151" i="3"/>
  <c r="BJ151" i="3"/>
  <c r="BI151" i="3"/>
  <c r="BH151" i="3"/>
  <c r="BG151" i="3"/>
  <c r="BF151" i="3"/>
  <c r="BE151" i="3"/>
  <c r="BD151" i="3"/>
  <c r="BC151" i="3"/>
  <c r="BB151" i="3"/>
  <c r="AX151" i="3"/>
  <c r="AW151" i="3"/>
  <c r="AV151" i="3"/>
  <c r="AC151" i="3"/>
  <c r="H151" i="3"/>
  <c r="G151" i="3"/>
  <c r="BT150" i="3"/>
  <c r="BS150" i="3"/>
  <c r="BR150" i="3"/>
  <c r="BQ150" i="3"/>
  <c r="BL150" i="3"/>
  <c r="BK150" i="3"/>
  <c r="BJ150" i="3"/>
  <c r="BI150" i="3"/>
  <c r="BH150" i="3"/>
  <c r="BG150" i="3"/>
  <c r="BF150" i="3"/>
  <c r="BE150" i="3"/>
  <c r="BD150" i="3"/>
  <c r="BC150" i="3"/>
  <c r="BB150" i="3"/>
  <c r="AX150" i="3"/>
  <c r="AW150" i="3"/>
  <c r="AV150" i="3"/>
  <c r="AC150" i="3"/>
  <c r="H150" i="3"/>
  <c r="G150" i="3"/>
  <c r="BT149" i="3"/>
  <c r="BS149" i="3"/>
  <c r="BR149" i="3"/>
  <c r="BQ149" i="3"/>
  <c r="BL149" i="3"/>
  <c r="BK149" i="3"/>
  <c r="BJ149" i="3"/>
  <c r="BI149" i="3"/>
  <c r="BH149" i="3"/>
  <c r="BG149" i="3"/>
  <c r="BF149" i="3"/>
  <c r="BE149" i="3"/>
  <c r="BD149" i="3"/>
  <c r="BC149" i="3"/>
  <c r="BB149" i="3"/>
  <c r="AX149" i="3"/>
  <c r="AW149" i="3"/>
  <c r="AV149" i="3"/>
  <c r="AC149" i="3"/>
  <c r="H149" i="3"/>
  <c r="BT148" i="3"/>
  <c r="BS148" i="3"/>
  <c r="BR148" i="3"/>
  <c r="BQ148" i="3"/>
  <c r="BK148" i="3"/>
  <c r="BJ148" i="3"/>
  <c r="BI148" i="3"/>
  <c r="BH148" i="3"/>
  <c r="BG148" i="3"/>
  <c r="BF148" i="3"/>
  <c r="BE148" i="3"/>
  <c r="BD148" i="3"/>
  <c r="BC148" i="3"/>
  <c r="BB148" i="3"/>
  <c r="BA148" i="3"/>
  <c r="AX148" i="3"/>
  <c r="AW148" i="3"/>
  <c r="AV148" i="3"/>
  <c r="AC148" i="3"/>
  <c r="H148" i="3"/>
  <c r="G148" i="3"/>
  <c r="BT147" i="3"/>
  <c r="BS147" i="3"/>
  <c r="BR147" i="3"/>
  <c r="BQ147" i="3"/>
  <c r="BK147" i="3"/>
  <c r="BJ147" i="3"/>
  <c r="BI147" i="3"/>
  <c r="BH147" i="3"/>
  <c r="BG147" i="3"/>
  <c r="BF147" i="3"/>
  <c r="BE147" i="3"/>
  <c r="BD147" i="3"/>
  <c r="BC147" i="3"/>
  <c r="BB147" i="3"/>
  <c r="AX147" i="3"/>
  <c r="AW147" i="3"/>
  <c r="AV147" i="3"/>
  <c r="AC147" i="3"/>
  <c r="H147" i="3"/>
  <c r="G147" i="3"/>
  <c r="BT146" i="3"/>
  <c r="BS146" i="3"/>
  <c r="BR146" i="3"/>
  <c r="BQ146" i="3"/>
  <c r="BL146" i="3"/>
  <c r="BK146" i="3"/>
  <c r="BJ146" i="3"/>
  <c r="BI146" i="3"/>
  <c r="BH146" i="3"/>
  <c r="BG146" i="3"/>
  <c r="BF146" i="3"/>
  <c r="BE146" i="3"/>
  <c r="BD146" i="3"/>
  <c r="BC146" i="3"/>
  <c r="BB146" i="3"/>
  <c r="AX146" i="3"/>
  <c r="AW146" i="3"/>
  <c r="AV146" i="3"/>
  <c r="AC146" i="3"/>
  <c r="H146" i="3"/>
  <c r="G146" i="3"/>
  <c r="BT145" i="3"/>
  <c r="BS145" i="3"/>
  <c r="BR145" i="3"/>
  <c r="BQ145" i="3"/>
  <c r="BL145" i="3"/>
  <c r="BK145" i="3"/>
  <c r="BJ145" i="3"/>
  <c r="BI145" i="3"/>
  <c r="BH145" i="3"/>
  <c r="BG145" i="3"/>
  <c r="BF145" i="3"/>
  <c r="BE145" i="3"/>
  <c r="BD145" i="3"/>
  <c r="BC145" i="3"/>
  <c r="BB145" i="3"/>
  <c r="AX145" i="3"/>
  <c r="AW145" i="3"/>
  <c r="AV145" i="3"/>
  <c r="AC145" i="3"/>
  <c r="H145" i="3"/>
  <c r="BT144" i="3"/>
  <c r="BS144" i="3"/>
  <c r="BR144" i="3"/>
  <c r="BQ144" i="3"/>
  <c r="BK144" i="3"/>
  <c r="BJ144" i="3"/>
  <c r="BI144" i="3"/>
  <c r="BH144" i="3"/>
  <c r="BG144" i="3"/>
  <c r="BF144" i="3"/>
  <c r="BE144" i="3"/>
  <c r="BD144" i="3"/>
  <c r="BC144" i="3"/>
  <c r="BB144" i="3"/>
  <c r="BA144" i="3"/>
  <c r="AX144" i="3"/>
  <c r="AW144" i="3"/>
  <c r="AV144" i="3"/>
  <c r="AC144" i="3"/>
  <c r="H144" i="3"/>
  <c r="G144" i="3"/>
  <c r="BT143" i="3"/>
  <c r="BS143" i="3"/>
  <c r="BR143" i="3"/>
  <c r="BQ143" i="3"/>
  <c r="BK143" i="3"/>
  <c r="BJ143" i="3"/>
  <c r="BI143" i="3"/>
  <c r="BH143" i="3"/>
  <c r="BG143" i="3"/>
  <c r="BF143" i="3"/>
  <c r="BE143" i="3"/>
  <c r="BD143" i="3"/>
  <c r="BC143" i="3"/>
  <c r="BB143" i="3"/>
  <c r="AX143" i="3"/>
  <c r="AW143" i="3"/>
  <c r="AV143" i="3"/>
  <c r="AC143" i="3"/>
  <c r="H143" i="3"/>
  <c r="G143" i="3"/>
  <c r="BT142" i="3"/>
  <c r="BS142" i="3"/>
  <c r="BR142" i="3"/>
  <c r="BQ142" i="3"/>
  <c r="BL142" i="3"/>
  <c r="BK142" i="3"/>
  <c r="BJ142" i="3"/>
  <c r="BI142" i="3"/>
  <c r="BH142" i="3"/>
  <c r="BG142" i="3"/>
  <c r="BF142" i="3"/>
  <c r="BE142" i="3"/>
  <c r="BD142" i="3"/>
  <c r="BC142" i="3"/>
  <c r="BB142" i="3"/>
  <c r="AX142" i="3"/>
  <c r="AW142" i="3"/>
  <c r="AV142" i="3"/>
  <c r="AC142" i="3"/>
  <c r="H142" i="3"/>
  <c r="G142" i="3"/>
  <c r="BT141" i="3"/>
  <c r="BS141" i="3"/>
  <c r="BR141" i="3"/>
  <c r="BQ141" i="3"/>
  <c r="BL141" i="3"/>
  <c r="BK141" i="3"/>
  <c r="BJ141" i="3"/>
  <c r="BI141" i="3"/>
  <c r="BH141" i="3"/>
  <c r="BG141" i="3"/>
  <c r="BF141" i="3"/>
  <c r="BE141" i="3"/>
  <c r="BD141" i="3"/>
  <c r="BC141" i="3"/>
  <c r="BB141" i="3"/>
  <c r="AX141" i="3"/>
  <c r="AW141" i="3"/>
  <c r="AV141" i="3"/>
  <c r="AC141" i="3"/>
  <c r="H141" i="3"/>
  <c r="BT140" i="3"/>
  <c r="BS140" i="3"/>
  <c r="BR140" i="3"/>
  <c r="BQ140" i="3"/>
  <c r="BK140" i="3"/>
  <c r="BJ140" i="3"/>
  <c r="BI140" i="3"/>
  <c r="BH140" i="3"/>
  <c r="BG140" i="3"/>
  <c r="BF140" i="3"/>
  <c r="BE140" i="3"/>
  <c r="BD140" i="3"/>
  <c r="BC140" i="3"/>
  <c r="BB140" i="3"/>
  <c r="BA140" i="3"/>
  <c r="AX140" i="3"/>
  <c r="AW140" i="3"/>
  <c r="AV140" i="3"/>
  <c r="AC140" i="3"/>
  <c r="H140" i="3"/>
  <c r="G140" i="3"/>
  <c r="BT139" i="3"/>
  <c r="BS139" i="3"/>
  <c r="BR139" i="3"/>
  <c r="BQ139" i="3"/>
  <c r="BK139" i="3"/>
  <c r="BJ139" i="3"/>
  <c r="BI139" i="3"/>
  <c r="BH139" i="3"/>
  <c r="BG139" i="3"/>
  <c r="BF139" i="3"/>
  <c r="BE139" i="3"/>
  <c r="BD139" i="3"/>
  <c r="BC139" i="3"/>
  <c r="BB139" i="3"/>
  <c r="AX139" i="3"/>
  <c r="AW139" i="3"/>
  <c r="AV139" i="3"/>
  <c r="AC139" i="3"/>
  <c r="H139" i="3"/>
  <c r="G139" i="3"/>
  <c r="BT138" i="3"/>
  <c r="BS138" i="3"/>
  <c r="BR138" i="3"/>
  <c r="BQ138" i="3"/>
  <c r="BL138" i="3"/>
  <c r="BK138" i="3"/>
  <c r="BJ138" i="3"/>
  <c r="BI138" i="3"/>
  <c r="BH138" i="3"/>
  <c r="BG138" i="3"/>
  <c r="BF138" i="3"/>
  <c r="BE138" i="3"/>
  <c r="BD138" i="3"/>
  <c r="BC138" i="3"/>
  <c r="BB138" i="3"/>
  <c r="AX138" i="3"/>
  <c r="AW138" i="3"/>
  <c r="AV138" i="3"/>
  <c r="AC138" i="3"/>
  <c r="H138" i="3"/>
  <c r="G138" i="3"/>
  <c r="BT137" i="3"/>
  <c r="BS137" i="3"/>
  <c r="BR137" i="3"/>
  <c r="BQ137" i="3"/>
  <c r="BL137" i="3"/>
  <c r="BK137" i="3"/>
  <c r="BJ137" i="3"/>
  <c r="BI137" i="3"/>
  <c r="BH137" i="3"/>
  <c r="BG137" i="3"/>
  <c r="BF137" i="3"/>
  <c r="BE137" i="3"/>
  <c r="BD137" i="3"/>
  <c r="BC137" i="3"/>
  <c r="BB137" i="3"/>
  <c r="AX137" i="3"/>
  <c r="AW137" i="3"/>
  <c r="AV137" i="3"/>
  <c r="AC137" i="3"/>
  <c r="H137" i="3"/>
  <c r="BT136" i="3"/>
  <c r="BS136" i="3"/>
  <c r="BR136" i="3"/>
  <c r="BQ136" i="3"/>
  <c r="BK136" i="3"/>
  <c r="BJ136" i="3"/>
  <c r="BI136" i="3"/>
  <c r="BH136" i="3"/>
  <c r="BG136" i="3"/>
  <c r="BF136" i="3"/>
  <c r="BE136" i="3"/>
  <c r="BD136" i="3"/>
  <c r="BC136" i="3"/>
  <c r="BB136" i="3"/>
  <c r="BA136" i="3"/>
  <c r="AX136" i="3"/>
  <c r="AW136" i="3"/>
  <c r="AV136" i="3"/>
  <c r="AC136" i="3"/>
  <c r="H136" i="3"/>
  <c r="G136" i="3"/>
  <c r="BT135" i="3"/>
  <c r="BS135" i="3"/>
  <c r="BR135" i="3"/>
  <c r="BQ135" i="3"/>
  <c r="BK135" i="3"/>
  <c r="BJ135" i="3"/>
  <c r="BI135" i="3"/>
  <c r="BH135" i="3"/>
  <c r="BG135" i="3"/>
  <c r="BF135" i="3"/>
  <c r="BE135" i="3"/>
  <c r="BD135" i="3"/>
  <c r="BC135" i="3"/>
  <c r="BB135" i="3"/>
  <c r="AX135" i="3"/>
  <c r="AW135" i="3"/>
  <c r="AV135" i="3"/>
  <c r="AC135" i="3"/>
  <c r="H135" i="3"/>
  <c r="G135" i="3"/>
  <c r="BT134" i="3"/>
  <c r="BS134" i="3"/>
  <c r="BR134" i="3"/>
  <c r="BQ134" i="3"/>
  <c r="BL134" i="3"/>
  <c r="BK134" i="3"/>
  <c r="BJ134" i="3"/>
  <c r="BI134" i="3"/>
  <c r="BH134" i="3"/>
  <c r="BG134" i="3"/>
  <c r="BF134" i="3"/>
  <c r="BE134" i="3"/>
  <c r="BD134" i="3"/>
  <c r="BC134" i="3"/>
  <c r="BB134" i="3"/>
  <c r="AX134" i="3"/>
  <c r="AW134" i="3"/>
  <c r="AV134" i="3"/>
  <c r="AC134" i="3"/>
  <c r="H134" i="3"/>
  <c r="G134" i="3"/>
  <c r="BT133" i="3"/>
  <c r="BS133" i="3"/>
  <c r="BR133" i="3"/>
  <c r="BQ133" i="3"/>
  <c r="BK133" i="3"/>
  <c r="BJ133" i="3"/>
  <c r="BI133" i="3"/>
  <c r="BH133" i="3"/>
  <c r="BG133" i="3"/>
  <c r="BF133" i="3"/>
  <c r="BE133" i="3"/>
  <c r="BD133" i="3"/>
  <c r="BC133" i="3"/>
  <c r="BB133" i="3"/>
  <c r="BA133" i="3"/>
  <c r="AX133" i="3"/>
  <c r="AW133" i="3"/>
  <c r="AV133" i="3"/>
  <c r="AC133" i="3"/>
  <c r="H133" i="3"/>
  <c r="BT132" i="3"/>
  <c r="BS132" i="3"/>
  <c r="BR132" i="3"/>
  <c r="BQ132" i="3"/>
  <c r="BK132" i="3"/>
  <c r="BJ132" i="3"/>
  <c r="BI132" i="3"/>
  <c r="BH132" i="3"/>
  <c r="BG132" i="3"/>
  <c r="BF132" i="3"/>
  <c r="BE132" i="3"/>
  <c r="BD132" i="3"/>
  <c r="BC132" i="3"/>
  <c r="BB132" i="3"/>
  <c r="BA132" i="3"/>
  <c r="AX132" i="3"/>
  <c r="AW132" i="3"/>
  <c r="AV132" i="3"/>
  <c r="AC132" i="3"/>
  <c r="H132" i="3"/>
  <c r="G132" i="3"/>
  <c r="BT131" i="3"/>
  <c r="BS131" i="3"/>
  <c r="BR131" i="3"/>
  <c r="BQ131" i="3"/>
  <c r="BL131" i="3"/>
  <c r="BK131" i="3"/>
  <c r="BJ131" i="3"/>
  <c r="BI131" i="3"/>
  <c r="BH131" i="3"/>
  <c r="BG131" i="3"/>
  <c r="BF131" i="3"/>
  <c r="BE131" i="3"/>
  <c r="BD131" i="3"/>
  <c r="BC131" i="3"/>
  <c r="BB131" i="3"/>
  <c r="AX131" i="3"/>
  <c r="AW131" i="3"/>
  <c r="AV131" i="3"/>
  <c r="AC131" i="3"/>
  <c r="H131" i="3"/>
  <c r="BT130" i="3"/>
  <c r="BS130" i="3"/>
  <c r="BR130" i="3"/>
  <c r="BQ130" i="3"/>
  <c r="BL130" i="3"/>
  <c r="BK130" i="3"/>
  <c r="BJ130" i="3"/>
  <c r="BI130" i="3"/>
  <c r="BH130" i="3"/>
  <c r="BG130" i="3"/>
  <c r="BF130" i="3"/>
  <c r="BE130" i="3"/>
  <c r="BD130" i="3"/>
  <c r="BC130" i="3"/>
  <c r="BB130" i="3"/>
  <c r="BA130" i="3"/>
  <c r="AX130" i="3"/>
  <c r="AW130" i="3"/>
  <c r="AV130" i="3"/>
  <c r="AC130" i="3"/>
  <c r="H130" i="3"/>
  <c r="BT129" i="3"/>
  <c r="BS129" i="3"/>
  <c r="BR129" i="3"/>
  <c r="BQ129" i="3"/>
  <c r="BL129" i="3"/>
  <c r="BK129" i="3"/>
  <c r="BJ129" i="3"/>
  <c r="BI129" i="3"/>
  <c r="BH129" i="3"/>
  <c r="BG129" i="3"/>
  <c r="BF129" i="3"/>
  <c r="BE129" i="3"/>
  <c r="BD129" i="3"/>
  <c r="BC129" i="3"/>
  <c r="BB129" i="3"/>
  <c r="BA129" i="3"/>
  <c r="AZ129" i="3"/>
  <c r="AX129" i="3"/>
  <c r="AW129" i="3"/>
  <c r="AV129" i="3"/>
  <c r="AC129" i="3"/>
  <c r="H129" i="3"/>
  <c r="BT128" i="3"/>
  <c r="BS128" i="3"/>
  <c r="BR128" i="3"/>
  <c r="BQ128" i="3"/>
  <c r="BK128" i="3"/>
  <c r="BJ128" i="3"/>
  <c r="BI128" i="3"/>
  <c r="BH128" i="3"/>
  <c r="BG128" i="3"/>
  <c r="BF128" i="3"/>
  <c r="BE128" i="3"/>
  <c r="BD128" i="3"/>
  <c r="BC128" i="3"/>
  <c r="BB128" i="3"/>
  <c r="BA128" i="3"/>
  <c r="AX128" i="3"/>
  <c r="AW128" i="3"/>
  <c r="AV128" i="3"/>
  <c r="AC128" i="3"/>
  <c r="H128" i="3"/>
  <c r="G128" i="3"/>
  <c r="BT127" i="3"/>
  <c r="BS127" i="3"/>
  <c r="BR127" i="3"/>
  <c r="BQ127" i="3"/>
  <c r="BL127" i="3"/>
  <c r="BK127" i="3"/>
  <c r="BJ127" i="3"/>
  <c r="BI127" i="3"/>
  <c r="BH127" i="3"/>
  <c r="BG127" i="3"/>
  <c r="BF127" i="3"/>
  <c r="BE127" i="3"/>
  <c r="BD127" i="3"/>
  <c r="BC127" i="3"/>
  <c r="BB127" i="3"/>
  <c r="AX127" i="3"/>
  <c r="AW127" i="3"/>
  <c r="AV127" i="3"/>
  <c r="AC127" i="3"/>
  <c r="H127" i="3"/>
  <c r="BT126" i="3"/>
  <c r="BS126" i="3"/>
  <c r="BR126" i="3"/>
  <c r="BQ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L125" i="3"/>
  <c r="BK125" i="3"/>
  <c r="BJ125" i="3"/>
  <c r="BI125" i="3"/>
  <c r="BH125" i="3"/>
  <c r="BG125" i="3"/>
  <c r="BF125" i="3"/>
  <c r="BE125" i="3"/>
  <c r="BD125" i="3"/>
  <c r="BC125" i="3"/>
  <c r="BB125" i="3"/>
  <c r="BA125" i="3"/>
  <c r="AZ125" i="3"/>
  <c r="AX125" i="3"/>
  <c r="AW125" i="3"/>
  <c r="AV125" i="3"/>
  <c r="AC125" i="3"/>
  <c r="H125" i="3"/>
  <c r="BT124" i="3"/>
  <c r="BS124" i="3"/>
  <c r="BR124" i="3"/>
  <c r="BQ124" i="3"/>
  <c r="BK124" i="3"/>
  <c r="BJ124" i="3"/>
  <c r="BI124" i="3"/>
  <c r="BH124" i="3"/>
  <c r="BG124" i="3"/>
  <c r="BF124" i="3"/>
  <c r="BE124" i="3"/>
  <c r="BD124" i="3"/>
  <c r="BC124" i="3"/>
  <c r="BB124" i="3"/>
  <c r="BA124" i="3"/>
  <c r="AX124" i="3"/>
  <c r="AW124" i="3"/>
  <c r="AV124" i="3"/>
  <c r="AC124" i="3"/>
  <c r="H124" i="3"/>
  <c r="BT123" i="3"/>
  <c r="BS123" i="3"/>
  <c r="BR123" i="3"/>
  <c r="BQ123" i="3"/>
  <c r="BL123" i="3"/>
  <c r="BK123" i="3"/>
  <c r="BJ123" i="3"/>
  <c r="BI123" i="3"/>
  <c r="BH123" i="3"/>
  <c r="BG123" i="3"/>
  <c r="BF123" i="3"/>
  <c r="BE123" i="3"/>
  <c r="BD123" i="3"/>
  <c r="BC123" i="3"/>
  <c r="BB123" i="3"/>
  <c r="AX123" i="3"/>
  <c r="AW123" i="3"/>
  <c r="AV123" i="3"/>
  <c r="AC123" i="3"/>
  <c r="H123" i="3"/>
  <c r="G123" i="3"/>
  <c r="BT122" i="3"/>
  <c r="BS122" i="3"/>
  <c r="BR122" i="3"/>
  <c r="BQ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L121" i="3"/>
  <c r="BK121" i="3"/>
  <c r="BJ121" i="3"/>
  <c r="BI121" i="3"/>
  <c r="BH121" i="3"/>
  <c r="BG121" i="3"/>
  <c r="BF121" i="3"/>
  <c r="BE121" i="3"/>
  <c r="BD121" i="3"/>
  <c r="BC121" i="3"/>
  <c r="BB121" i="3"/>
  <c r="AX121" i="3"/>
  <c r="AW121" i="3"/>
  <c r="AV121" i="3"/>
  <c r="AC121" i="3"/>
  <c r="H121" i="3"/>
  <c r="BT120" i="3"/>
  <c r="BS120" i="3"/>
  <c r="BR120" i="3"/>
  <c r="BQ120" i="3"/>
  <c r="BK120" i="3"/>
  <c r="BJ120" i="3"/>
  <c r="BI120" i="3"/>
  <c r="BH120" i="3"/>
  <c r="BG120" i="3"/>
  <c r="BF120" i="3"/>
  <c r="BE120" i="3"/>
  <c r="BD120" i="3"/>
  <c r="BC120" i="3"/>
  <c r="BB120" i="3"/>
  <c r="BA120" i="3"/>
  <c r="AX120" i="3"/>
  <c r="AW120" i="3"/>
  <c r="AV120" i="3"/>
  <c r="AC120" i="3"/>
  <c r="H120" i="3"/>
  <c r="G120" i="3"/>
  <c r="BT119" i="3"/>
  <c r="BS119" i="3"/>
  <c r="BR119" i="3"/>
  <c r="BQ119" i="3"/>
  <c r="BK119" i="3"/>
  <c r="BJ119" i="3"/>
  <c r="BI119" i="3"/>
  <c r="BH119" i="3"/>
  <c r="BG119" i="3"/>
  <c r="BF119" i="3"/>
  <c r="BE119" i="3"/>
  <c r="BD119" i="3"/>
  <c r="BC119" i="3"/>
  <c r="BB119" i="3"/>
  <c r="AX119" i="3"/>
  <c r="AW119" i="3"/>
  <c r="AV119" i="3"/>
  <c r="AC119" i="3"/>
  <c r="H119" i="3"/>
  <c r="G119" i="3"/>
  <c r="BT118" i="3"/>
  <c r="BS118" i="3"/>
  <c r="BR118" i="3"/>
  <c r="BQ118" i="3"/>
  <c r="BL118" i="3"/>
  <c r="BK118" i="3"/>
  <c r="BJ118" i="3"/>
  <c r="BI118" i="3"/>
  <c r="BH118" i="3"/>
  <c r="BG118" i="3"/>
  <c r="BF118" i="3"/>
  <c r="BE118" i="3"/>
  <c r="BD118" i="3"/>
  <c r="BC118" i="3"/>
  <c r="BB118" i="3"/>
  <c r="AX118" i="3"/>
  <c r="AW118" i="3"/>
  <c r="AV118" i="3"/>
  <c r="AC118" i="3"/>
  <c r="H118" i="3"/>
  <c r="G118" i="3"/>
  <c r="BT117" i="3"/>
  <c r="BS117" i="3"/>
  <c r="BR117" i="3"/>
  <c r="BQ117" i="3"/>
  <c r="BK117" i="3"/>
  <c r="BJ117" i="3"/>
  <c r="BI117" i="3"/>
  <c r="BH117" i="3"/>
  <c r="BG117" i="3"/>
  <c r="BF117" i="3"/>
  <c r="BE117" i="3"/>
  <c r="BD117" i="3"/>
  <c r="BC117" i="3"/>
  <c r="BB117" i="3"/>
  <c r="BA117" i="3"/>
  <c r="AX117" i="3"/>
  <c r="AW117" i="3"/>
  <c r="AV117" i="3"/>
  <c r="AC117" i="3"/>
  <c r="H117" i="3"/>
  <c r="BT116" i="3"/>
  <c r="BS116" i="3"/>
  <c r="BR116" i="3"/>
  <c r="BQ116" i="3"/>
  <c r="BK116" i="3"/>
  <c r="BJ116" i="3"/>
  <c r="BI116" i="3"/>
  <c r="BH116" i="3"/>
  <c r="BG116" i="3"/>
  <c r="BF116" i="3"/>
  <c r="BE116" i="3"/>
  <c r="BD116" i="3"/>
  <c r="BC116" i="3"/>
  <c r="BB116" i="3"/>
  <c r="BA116" i="3"/>
  <c r="AX116" i="3"/>
  <c r="AW116" i="3"/>
  <c r="AV116" i="3"/>
  <c r="AC116" i="3"/>
  <c r="H116" i="3"/>
  <c r="G116" i="3"/>
  <c r="BT115" i="3"/>
  <c r="BS115" i="3"/>
  <c r="BR115" i="3"/>
  <c r="BQ115" i="3"/>
  <c r="BL115" i="3"/>
  <c r="BK115" i="3"/>
  <c r="BJ115" i="3"/>
  <c r="BI115" i="3"/>
  <c r="BH115" i="3"/>
  <c r="BG115" i="3"/>
  <c r="BF115" i="3"/>
  <c r="BE115" i="3"/>
  <c r="BD115" i="3"/>
  <c r="BC115" i="3"/>
  <c r="BB115" i="3"/>
  <c r="AX115" i="3"/>
  <c r="AW115" i="3"/>
  <c r="AV115" i="3"/>
  <c r="AC115" i="3"/>
  <c r="H115" i="3"/>
  <c r="BT114" i="3"/>
  <c r="BS114" i="3"/>
  <c r="BR114" i="3"/>
  <c r="BQ114" i="3"/>
  <c r="BL114" i="3"/>
  <c r="BK114" i="3"/>
  <c r="BJ114" i="3"/>
  <c r="BI114" i="3"/>
  <c r="BH114" i="3"/>
  <c r="BG114" i="3"/>
  <c r="BF114" i="3"/>
  <c r="BE114" i="3"/>
  <c r="BD114" i="3"/>
  <c r="BC114" i="3"/>
  <c r="BB114" i="3"/>
  <c r="BA114" i="3"/>
  <c r="AX114" i="3"/>
  <c r="AW114" i="3"/>
  <c r="AV114" i="3"/>
  <c r="AC114" i="3"/>
  <c r="H114" i="3"/>
  <c r="BT113" i="3"/>
  <c r="BS113" i="3"/>
  <c r="BR113" i="3"/>
  <c r="BQ113" i="3"/>
  <c r="BL113" i="3"/>
  <c r="BK113" i="3"/>
  <c r="BJ113" i="3"/>
  <c r="BI113" i="3"/>
  <c r="BH113" i="3"/>
  <c r="BG113" i="3"/>
  <c r="BF113" i="3"/>
  <c r="BE113" i="3"/>
  <c r="BD113" i="3"/>
  <c r="BC113" i="3"/>
  <c r="BB113" i="3"/>
  <c r="BA113" i="3"/>
  <c r="AZ113" i="3"/>
  <c r="AX113" i="3"/>
  <c r="AW113" i="3"/>
  <c r="AV113" i="3"/>
  <c r="AC113" i="3"/>
  <c r="H113" i="3"/>
  <c r="BT302" i="3"/>
  <c r="BS302" i="3"/>
  <c r="BR302" i="3"/>
  <c r="BQ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L300" i="3"/>
  <c r="BK300" i="3"/>
  <c r="BJ300" i="3"/>
  <c r="BI300" i="3"/>
  <c r="BH300" i="3"/>
  <c r="BG300" i="3"/>
  <c r="BF300" i="3"/>
  <c r="BE300" i="3"/>
  <c r="BD300" i="3"/>
  <c r="BC300" i="3"/>
  <c r="BB300" i="3"/>
  <c r="AX300" i="3"/>
  <c r="AW300" i="3"/>
  <c r="AV300" i="3"/>
  <c r="AC300" i="3"/>
  <c r="H300" i="3"/>
  <c r="G300" i="3"/>
  <c r="BT299" i="3"/>
  <c r="BS299" i="3"/>
  <c r="BR299" i="3"/>
  <c r="BQ299" i="3"/>
  <c r="BK299" i="3"/>
  <c r="BJ299" i="3"/>
  <c r="BI299" i="3"/>
  <c r="BH299" i="3"/>
  <c r="BG299" i="3"/>
  <c r="BF299" i="3"/>
  <c r="BE299" i="3"/>
  <c r="BD299" i="3"/>
  <c r="BC299" i="3"/>
  <c r="BB299" i="3"/>
  <c r="BA299" i="3"/>
  <c r="AX299" i="3"/>
  <c r="AW299" i="3"/>
  <c r="AV299" i="3"/>
  <c r="AC299" i="3"/>
  <c r="H299" i="3"/>
  <c r="G299" i="3"/>
  <c r="BT298" i="3"/>
  <c r="BS298" i="3"/>
  <c r="BR298" i="3"/>
  <c r="BQ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L297" i="3"/>
  <c r="BK297" i="3"/>
  <c r="BJ297" i="3"/>
  <c r="BI297" i="3"/>
  <c r="BH297" i="3"/>
  <c r="BG297" i="3"/>
  <c r="BF297" i="3"/>
  <c r="BE297" i="3"/>
  <c r="BD297" i="3"/>
  <c r="BC297" i="3"/>
  <c r="BB297" i="3"/>
  <c r="AX297" i="3"/>
  <c r="AW297" i="3"/>
  <c r="AV297" i="3"/>
  <c r="AC297" i="3"/>
  <c r="H297" i="3"/>
  <c r="G297" i="3"/>
  <c r="BT296" i="3"/>
  <c r="BS296" i="3"/>
  <c r="BR296" i="3"/>
  <c r="BQ296" i="3"/>
  <c r="BK296" i="3"/>
  <c r="BJ296" i="3"/>
  <c r="BI296" i="3"/>
  <c r="BH296" i="3"/>
  <c r="BG296" i="3"/>
  <c r="BF296" i="3"/>
  <c r="BE296" i="3"/>
  <c r="BD296" i="3"/>
  <c r="BC296" i="3"/>
  <c r="BB296" i="3"/>
  <c r="BA296" i="3"/>
  <c r="AX296" i="3"/>
  <c r="AW296" i="3"/>
  <c r="AV296" i="3"/>
  <c r="AC296" i="3"/>
  <c r="H296" i="3"/>
  <c r="G296" i="3"/>
  <c r="BT295" i="3"/>
  <c r="BS295" i="3"/>
  <c r="BR295" i="3"/>
  <c r="BQ295" i="3"/>
  <c r="BL295" i="3"/>
  <c r="BK295" i="3"/>
  <c r="BJ295" i="3"/>
  <c r="BI295" i="3"/>
  <c r="BH295" i="3"/>
  <c r="BG295" i="3"/>
  <c r="BF295" i="3"/>
  <c r="BE295" i="3"/>
  <c r="BD295" i="3"/>
  <c r="BC295" i="3"/>
  <c r="BB295" i="3"/>
  <c r="BA295" i="3"/>
  <c r="AX295" i="3"/>
  <c r="AW295" i="3"/>
  <c r="AV295" i="3"/>
  <c r="AC295" i="3"/>
  <c r="H295" i="3"/>
  <c r="G295" i="3"/>
  <c r="BT294" i="3"/>
  <c r="BS294" i="3"/>
  <c r="BR294" i="3"/>
  <c r="BQ294" i="3"/>
  <c r="BK294" i="3"/>
  <c r="BJ294" i="3"/>
  <c r="BI294" i="3"/>
  <c r="BH294" i="3"/>
  <c r="BG294" i="3"/>
  <c r="BF294" i="3"/>
  <c r="BE294" i="3"/>
  <c r="BD294" i="3"/>
  <c r="BC294" i="3"/>
  <c r="BB294" i="3"/>
  <c r="BA294" i="3"/>
  <c r="AX294" i="3"/>
  <c r="AW294" i="3"/>
  <c r="AV294" i="3"/>
  <c r="AC294" i="3"/>
  <c r="H294" i="3"/>
  <c r="BT293" i="3"/>
  <c r="BS293" i="3"/>
  <c r="BR293" i="3"/>
  <c r="BQ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L291" i="3"/>
  <c r="BK291" i="3"/>
  <c r="BJ291" i="3"/>
  <c r="BI291" i="3"/>
  <c r="BH291" i="3"/>
  <c r="BG291" i="3"/>
  <c r="BF291" i="3"/>
  <c r="BE291" i="3"/>
  <c r="BD291" i="3"/>
  <c r="BC291" i="3"/>
  <c r="BB291" i="3"/>
  <c r="AX291" i="3"/>
  <c r="AW291" i="3"/>
  <c r="AV291" i="3"/>
  <c r="AC291" i="3"/>
  <c r="H291" i="3"/>
  <c r="G291" i="3"/>
  <c r="BT290" i="3"/>
  <c r="BS290" i="3"/>
  <c r="BR290" i="3"/>
  <c r="BQ290" i="3"/>
  <c r="BL290" i="3"/>
  <c r="BK290" i="3"/>
  <c r="BJ290" i="3"/>
  <c r="BI290" i="3"/>
  <c r="BH290" i="3"/>
  <c r="BG290" i="3"/>
  <c r="BF290" i="3"/>
  <c r="BE290" i="3"/>
  <c r="BD290" i="3"/>
  <c r="BC290" i="3"/>
  <c r="BB290" i="3"/>
  <c r="AX290" i="3"/>
  <c r="AW290" i="3"/>
  <c r="AV290" i="3"/>
  <c r="AC290" i="3"/>
  <c r="H290" i="3"/>
  <c r="G290" i="3"/>
  <c r="BT289" i="3"/>
  <c r="BS289" i="3"/>
  <c r="BR289" i="3"/>
  <c r="BQ289" i="3"/>
  <c r="BK289" i="3"/>
  <c r="BJ289" i="3"/>
  <c r="BI289" i="3"/>
  <c r="BH289" i="3"/>
  <c r="BG289" i="3"/>
  <c r="BF289" i="3"/>
  <c r="BE289" i="3"/>
  <c r="BD289" i="3"/>
  <c r="BC289" i="3"/>
  <c r="BB289" i="3"/>
  <c r="BA289" i="3"/>
  <c r="AX289" i="3"/>
  <c r="AW289" i="3"/>
  <c r="AV289" i="3"/>
  <c r="AC289" i="3"/>
  <c r="H289" i="3"/>
  <c r="BT288" i="3"/>
  <c r="BS288" i="3"/>
  <c r="BR288" i="3"/>
  <c r="BQ288" i="3"/>
  <c r="BL288" i="3"/>
  <c r="BK288" i="3"/>
  <c r="BJ288" i="3"/>
  <c r="BI288" i="3"/>
  <c r="BH288" i="3"/>
  <c r="BG288" i="3"/>
  <c r="BF288" i="3"/>
  <c r="BE288" i="3"/>
  <c r="BD288" i="3"/>
  <c r="BC288" i="3"/>
  <c r="BB288" i="3"/>
  <c r="BA288" i="3"/>
  <c r="AX288" i="3"/>
  <c r="AW288" i="3"/>
  <c r="AV288" i="3"/>
  <c r="AC288" i="3"/>
  <c r="H288" i="3"/>
  <c r="BT287" i="3"/>
  <c r="BS287" i="3"/>
  <c r="BR287" i="3"/>
  <c r="BQ287" i="3"/>
  <c r="BL287" i="3"/>
  <c r="BK287" i="3"/>
  <c r="BJ287" i="3"/>
  <c r="BI287" i="3"/>
  <c r="BH287" i="3"/>
  <c r="BG287" i="3"/>
  <c r="BF287" i="3"/>
  <c r="BE287" i="3"/>
  <c r="BD287" i="3"/>
  <c r="BC287" i="3"/>
  <c r="BB287" i="3"/>
  <c r="BA287" i="3"/>
  <c r="AX287" i="3"/>
  <c r="AW287" i="3"/>
  <c r="AV287" i="3"/>
  <c r="AC287" i="3"/>
  <c r="H287" i="3"/>
  <c r="G287" i="3"/>
  <c r="BT286" i="3"/>
  <c r="BS286" i="3"/>
  <c r="BR286" i="3"/>
  <c r="BQ286" i="3"/>
  <c r="BL286" i="3"/>
  <c r="BK286" i="3"/>
  <c r="BJ286" i="3"/>
  <c r="BI286" i="3"/>
  <c r="BH286" i="3"/>
  <c r="BG286" i="3"/>
  <c r="BF286" i="3"/>
  <c r="BE286" i="3"/>
  <c r="BD286" i="3"/>
  <c r="BC286" i="3"/>
  <c r="BB286" i="3"/>
  <c r="AX286" i="3"/>
  <c r="AW286" i="3"/>
  <c r="AV286" i="3"/>
  <c r="AC286" i="3"/>
  <c r="H286" i="3"/>
  <c r="G286" i="3"/>
  <c r="BT285" i="3"/>
  <c r="BS285" i="3"/>
  <c r="BR285" i="3"/>
  <c r="BQ285" i="3"/>
  <c r="BK285" i="3"/>
  <c r="BJ285" i="3"/>
  <c r="BI285" i="3"/>
  <c r="BH285" i="3"/>
  <c r="BG285" i="3"/>
  <c r="BF285" i="3"/>
  <c r="BE285" i="3"/>
  <c r="BD285" i="3"/>
  <c r="BC285" i="3"/>
  <c r="BB285" i="3"/>
  <c r="BA285" i="3"/>
  <c r="AX285" i="3"/>
  <c r="AW285" i="3"/>
  <c r="AV285" i="3"/>
  <c r="AC285" i="3"/>
  <c r="H285" i="3"/>
  <c r="BT284" i="3"/>
  <c r="BS284" i="3"/>
  <c r="BR284" i="3"/>
  <c r="BQ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L283" i="3"/>
  <c r="BK283" i="3"/>
  <c r="BJ283" i="3"/>
  <c r="BI283" i="3"/>
  <c r="BH283" i="3"/>
  <c r="BG283" i="3"/>
  <c r="BF283" i="3"/>
  <c r="BE283" i="3"/>
  <c r="BD283" i="3"/>
  <c r="BC283" i="3"/>
  <c r="BB283" i="3"/>
  <c r="BA283" i="3"/>
  <c r="AX283" i="3"/>
  <c r="AW283" i="3"/>
  <c r="AV283" i="3"/>
  <c r="AC283" i="3"/>
  <c r="H283" i="3"/>
  <c r="G283" i="3"/>
  <c r="BT282" i="3"/>
  <c r="BS282" i="3"/>
  <c r="BR282" i="3"/>
  <c r="BQ282" i="3"/>
  <c r="BK282" i="3"/>
  <c r="BJ282" i="3"/>
  <c r="BI282" i="3"/>
  <c r="BH282" i="3"/>
  <c r="BG282" i="3"/>
  <c r="BF282" i="3"/>
  <c r="BE282" i="3"/>
  <c r="BD282" i="3"/>
  <c r="BC282" i="3"/>
  <c r="BB282" i="3"/>
  <c r="BA282" i="3"/>
  <c r="AX282" i="3"/>
  <c r="AW282" i="3"/>
  <c r="AV282" i="3"/>
  <c r="AC282" i="3"/>
  <c r="H282" i="3"/>
  <c r="BT281" i="3"/>
  <c r="BS281" i="3"/>
  <c r="BR281" i="3"/>
  <c r="BQ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L280" i="3"/>
  <c r="BK280" i="3"/>
  <c r="BJ280" i="3"/>
  <c r="BI280" i="3"/>
  <c r="BH280" i="3"/>
  <c r="BG280" i="3"/>
  <c r="BF280" i="3"/>
  <c r="BE280" i="3"/>
  <c r="BD280" i="3"/>
  <c r="BC280" i="3"/>
  <c r="BB280" i="3"/>
  <c r="BA280" i="3"/>
  <c r="AX280" i="3"/>
  <c r="AW280" i="3"/>
  <c r="AV280" i="3"/>
  <c r="AC280" i="3"/>
  <c r="H280" i="3"/>
  <c r="G280" i="3"/>
  <c r="BT279" i="3"/>
  <c r="BS279" i="3"/>
  <c r="BR279" i="3"/>
  <c r="BQ279" i="3"/>
  <c r="BK279" i="3"/>
  <c r="BJ279" i="3"/>
  <c r="BI279" i="3"/>
  <c r="BH279" i="3"/>
  <c r="BG279" i="3"/>
  <c r="BF279" i="3"/>
  <c r="BE279" i="3"/>
  <c r="BD279" i="3"/>
  <c r="BC279" i="3"/>
  <c r="BB279" i="3"/>
  <c r="BA279" i="3"/>
  <c r="AX279" i="3"/>
  <c r="AW279" i="3"/>
  <c r="AV279" i="3"/>
  <c r="AC279" i="3"/>
  <c r="H279" i="3"/>
  <c r="G279" i="3"/>
  <c r="BT278" i="3"/>
  <c r="BS278" i="3"/>
  <c r="BR278" i="3"/>
  <c r="BQ278" i="3"/>
  <c r="BK278" i="3"/>
  <c r="BJ278" i="3"/>
  <c r="BI278" i="3"/>
  <c r="BH278" i="3"/>
  <c r="BG278" i="3"/>
  <c r="BF278" i="3"/>
  <c r="BE278" i="3"/>
  <c r="BD278" i="3"/>
  <c r="BC278" i="3"/>
  <c r="BB278" i="3"/>
  <c r="BA278" i="3"/>
  <c r="AX278" i="3"/>
  <c r="AW278" i="3"/>
  <c r="AV278" i="3"/>
  <c r="AC278" i="3"/>
  <c r="H278" i="3"/>
  <c r="G278" i="3"/>
  <c r="BT277" i="3"/>
  <c r="BS277" i="3"/>
  <c r="BR277" i="3"/>
  <c r="BQ277" i="3"/>
  <c r="BL277" i="3"/>
  <c r="BK277" i="3"/>
  <c r="BJ277" i="3"/>
  <c r="BI277" i="3"/>
  <c r="BH277" i="3"/>
  <c r="BG277" i="3"/>
  <c r="BF277" i="3"/>
  <c r="BE277" i="3"/>
  <c r="BD277" i="3"/>
  <c r="BC277" i="3"/>
  <c r="BB277" i="3"/>
  <c r="AX277" i="3"/>
  <c r="AW277" i="3"/>
  <c r="AV277" i="3"/>
  <c r="AC277" i="3"/>
  <c r="H277" i="3"/>
  <c r="G277" i="3"/>
  <c r="BT276" i="3"/>
  <c r="BS276" i="3"/>
  <c r="BR276" i="3"/>
  <c r="BQ276" i="3"/>
  <c r="BK276" i="3"/>
  <c r="BJ276" i="3"/>
  <c r="BI276" i="3"/>
  <c r="BH276" i="3"/>
  <c r="BG276" i="3"/>
  <c r="BF276" i="3"/>
  <c r="BE276" i="3"/>
  <c r="BD276" i="3"/>
  <c r="BC276" i="3"/>
  <c r="BB276" i="3"/>
  <c r="BA276" i="3"/>
  <c r="AX276" i="3"/>
  <c r="AW276" i="3"/>
  <c r="AV276" i="3"/>
  <c r="AC276" i="3"/>
  <c r="H276" i="3"/>
  <c r="BT275" i="3"/>
  <c r="BS275" i="3"/>
  <c r="BR275" i="3"/>
  <c r="BQ275" i="3"/>
  <c r="BL275" i="3"/>
  <c r="BK275" i="3"/>
  <c r="BJ275" i="3"/>
  <c r="BI275" i="3"/>
  <c r="BH275" i="3"/>
  <c r="BG275" i="3"/>
  <c r="BF275" i="3"/>
  <c r="BE275" i="3"/>
  <c r="BD275" i="3"/>
  <c r="BC275" i="3"/>
  <c r="BB275" i="3"/>
  <c r="BA275" i="3"/>
  <c r="AX275" i="3"/>
  <c r="AW275" i="3"/>
  <c r="AV275" i="3"/>
  <c r="AC275" i="3"/>
  <c r="H275" i="3"/>
  <c r="G275" i="3"/>
  <c r="BT274" i="3"/>
  <c r="BS274" i="3"/>
  <c r="BR274" i="3"/>
  <c r="BQ274" i="3"/>
  <c r="BL274" i="3"/>
  <c r="BK274" i="3"/>
  <c r="BJ274" i="3"/>
  <c r="BI274" i="3"/>
  <c r="BH274" i="3"/>
  <c r="BG274" i="3"/>
  <c r="BF274" i="3"/>
  <c r="BE274" i="3"/>
  <c r="BD274" i="3"/>
  <c r="BC274" i="3"/>
  <c r="BB274" i="3"/>
  <c r="BA274" i="3"/>
  <c r="AX274" i="3"/>
  <c r="AW274" i="3"/>
  <c r="AV274" i="3"/>
  <c r="AC274" i="3"/>
  <c r="H274" i="3"/>
  <c r="G274" i="3"/>
  <c r="BT273" i="3"/>
  <c r="BS273" i="3"/>
  <c r="BR273" i="3"/>
  <c r="BQ273" i="3"/>
  <c r="BL273" i="3"/>
  <c r="BK273" i="3"/>
  <c r="BJ273" i="3"/>
  <c r="BI273" i="3"/>
  <c r="BH273" i="3"/>
  <c r="BG273" i="3"/>
  <c r="BF273" i="3"/>
  <c r="BE273" i="3"/>
  <c r="BD273" i="3"/>
  <c r="BC273" i="3"/>
  <c r="BB273" i="3"/>
  <c r="BA273" i="3"/>
  <c r="AX273" i="3"/>
  <c r="AW273" i="3"/>
  <c r="AV273" i="3"/>
  <c r="AC273" i="3"/>
  <c r="H273" i="3"/>
  <c r="G273" i="3"/>
  <c r="BT272" i="3"/>
  <c r="BS272" i="3"/>
  <c r="BR272" i="3"/>
  <c r="BQ272" i="3"/>
  <c r="BK272" i="3"/>
  <c r="BJ272" i="3"/>
  <c r="BI272" i="3"/>
  <c r="BH272" i="3"/>
  <c r="BG272" i="3"/>
  <c r="BF272" i="3"/>
  <c r="BE272" i="3"/>
  <c r="BD272" i="3"/>
  <c r="BC272" i="3"/>
  <c r="BB272" i="3"/>
  <c r="BA272" i="3"/>
  <c r="AX272" i="3"/>
  <c r="AW272" i="3"/>
  <c r="AV272" i="3"/>
  <c r="AC272" i="3"/>
  <c r="H272" i="3"/>
  <c r="G272" i="3"/>
  <c r="BT271" i="3"/>
  <c r="BS271" i="3"/>
  <c r="BR271" i="3"/>
  <c r="BQ271" i="3"/>
  <c r="BL271" i="3"/>
  <c r="BK271" i="3"/>
  <c r="BJ271" i="3"/>
  <c r="BI271" i="3"/>
  <c r="BH271" i="3"/>
  <c r="BG271" i="3"/>
  <c r="BF271" i="3"/>
  <c r="BE271" i="3"/>
  <c r="BD271" i="3"/>
  <c r="BC271" i="3"/>
  <c r="BB271" i="3"/>
  <c r="BA271" i="3"/>
  <c r="AX271" i="3"/>
  <c r="AW271" i="3"/>
  <c r="AV271" i="3"/>
  <c r="AC271" i="3"/>
  <c r="H271" i="3"/>
  <c r="G271" i="3"/>
  <c r="BT270" i="3"/>
  <c r="BS270" i="3"/>
  <c r="BR270" i="3"/>
  <c r="BQ270" i="3"/>
  <c r="BL270" i="3"/>
  <c r="BK270" i="3"/>
  <c r="BJ270" i="3"/>
  <c r="BI270" i="3"/>
  <c r="BH270" i="3"/>
  <c r="BG270" i="3"/>
  <c r="BF270" i="3"/>
  <c r="BE270" i="3"/>
  <c r="BD270" i="3"/>
  <c r="BC270" i="3"/>
  <c r="BB270" i="3"/>
  <c r="BA270" i="3"/>
  <c r="AX270" i="3"/>
  <c r="AW270" i="3"/>
  <c r="AV270" i="3"/>
  <c r="AC270" i="3"/>
  <c r="H270" i="3"/>
  <c r="G270" i="3"/>
  <c r="BT269" i="3"/>
  <c r="BS269" i="3"/>
  <c r="BR269" i="3"/>
  <c r="BQ269" i="3"/>
  <c r="BK269" i="3"/>
  <c r="BJ269" i="3"/>
  <c r="BI269" i="3"/>
  <c r="BH269" i="3"/>
  <c r="BG269" i="3"/>
  <c r="BF269" i="3"/>
  <c r="BE269" i="3"/>
  <c r="BD269" i="3"/>
  <c r="BC269" i="3"/>
  <c r="BB269" i="3"/>
  <c r="BA269" i="3"/>
  <c r="AX269" i="3"/>
  <c r="AW269" i="3"/>
  <c r="AV269" i="3"/>
  <c r="AC269" i="3"/>
  <c r="H269" i="3"/>
  <c r="G269" i="3"/>
  <c r="BT268" i="3"/>
  <c r="BS268" i="3"/>
  <c r="BR268" i="3"/>
  <c r="BQ268" i="3"/>
  <c r="BL268" i="3"/>
  <c r="BK268" i="3"/>
  <c r="BJ268" i="3"/>
  <c r="BI268" i="3"/>
  <c r="BH268" i="3"/>
  <c r="BG268" i="3"/>
  <c r="BF268" i="3"/>
  <c r="BE268" i="3"/>
  <c r="BD268" i="3"/>
  <c r="BC268" i="3"/>
  <c r="BB268" i="3"/>
  <c r="BA268" i="3"/>
  <c r="AX268" i="3"/>
  <c r="AW268" i="3"/>
  <c r="AV268" i="3"/>
  <c r="AC268" i="3"/>
  <c r="H268" i="3"/>
  <c r="G268" i="3"/>
  <c r="BT267" i="3"/>
  <c r="BS267" i="3"/>
  <c r="BR267" i="3"/>
  <c r="BQ267" i="3"/>
  <c r="BK267" i="3"/>
  <c r="BJ267" i="3"/>
  <c r="BI267" i="3"/>
  <c r="BH267" i="3"/>
  <c r="BG267" i="3"/>
  <c r="BF267" i="3"/>
  <c r="BE267" i="3"/>
  <c r="BD267" i="3"/>
  <c r="BC267" i="3"/>
  <c r="BB267" i="3"/>
  <c r="BA267" i="3"/>
  <c r="AX267" i="3"/>
  <c r="AW267" i="3"/>
  <c r="AV267" i="3"/>
  <c r="AC267" i="3"/>
  <c r="H267" i="3"/>
  <c r="G267" i="3"/>
  <c r="BT266" i="3"/>
  <c r="BS266" i="3"/>
  <c r="BR266" i="3"/>
  <c r="BQ266" i="3"/>
  <c r="BL266" i="3"/>
  <c r="BK266" i="3"/>
  <c r="BJ266" i="3"/>
  <c r="BI266" i="3"/>
  <c r="BH266" i="3"/>
  <c r="BG266" i="3"/>
  <c r="BF266" i="3"/>
  <c r="BE266" i="3"/>
  <c r="BD266" i="3"/>
  <c r="BC266" i="3"/>
  <c r="BB266" i="3"/>
  <c r="AX266" i="3"/>
  <c r="AW266" i="3"/>
  <c r="AV266" i="3"/>
  <c r="AC266" i="3"/>
  <c r="H266" i="3"/>
  <c r="G266" i="3"/>
  <c r="BT265" i="3"/>
  <c r="BS265" i="3"/>
  <c r="BR265" i="3"/>
  <c r="BQ265" i="3"/>
  <c r="BK265" i="3"/>
  <c r="BJ265" i="3"/>
  <c r="BI265" i="3"/>
  <c r="BH265" i="3"/>
  <c r="BG265" i="3"/>
  <c r="BF265" i="3"/>
  <c r="BE265" i="3"/>
  <c r="BD265" i="3"/>
  <c r="BC265" i="3"/>
  <c r="BB265" i="3"/>
  <c r="BA265" i="3"/>
  <c r="AX265" i="3"/>
  <c r="AW265" i="3"/>
  <c r="AV265" i="3"/>
  <c r="AC265" i="3"/>
  <c r="H265" i="3"/>
  <c r="G265" i="3"/>
  <c r="BT264" i="3"/>
  <c r="BS264" i="3"/>
  <c r="BR264" i="3"/>
  <c r="BQ264" i="3"/>
  <c r="BL264" i="3"/>
  <c r="BK264" i="3"/>
  <c r="BJ264" i="3"/>
  <c r="BI264" i="3"/>
  <c r="BH264" i="3"/>
  <c r="BG264" i="3"/>
  <c r="BF264" i="3"/>
  <c r="BE264" i="3"/>
  <c r="BD264" i="3"/>
  <c r="BC264" i="3"/>
  <c r="BB264" i="3"/>
  <c r="BA264" i="3"/>
  <c r="AX264" i="3"/>
  <c r="AW264" i="3"/>
  <c r="AV264" i="3"/>
  <c r="AC264" i="3"/>
  <c r="H264" i="3"/>
  <c r="G264" i="3"/>
  <c r="BT263" i="3"/>
  <c r="BS263" i="3"/>
  <c r="BR263" i="3"/>
  <c r="BQ263" i="3"/>
  <c r="BL263" i="3"/>
  <c r="BK263" i="3"/>
  <c r="BJ263" i="3"/>
  <c r="BI263" i="3"/>
  <c r="BH263" i="3"/>
  <c r="BG263" i="3"/>
  <c r="BF263" i="3"/>
  <c r="BE263" i="3"/>
  <c r="BD263" i="3"/>
  <c r="BC263" i="3"/>
  <c r="BB263" i="3"/>
  <c r="AX263" i="3"/>
  <c r="AW263" i="3"/>
  <c r="AV263" i="3"/>
  <c r="AC263" i="3"/>
  <c r="H263" i="3"/>
  <c r="G263" i="3"/>
  <c r="BT262" i="3"/>
  <c r="BS262" i="3"/>
  <c r="BR262" i="3"/>
  <c r="BQ262" i="3"/>
  <c r="BL262" i="3"/>
  <c r="BK262" i="3"/>
  <c r="BJ262" i="3"/>
  <c r="BI262" i="3"/>
  <c r="BH262" i="3"/>
  <c r="BG262" i="3"/>
  <c r="BF262" i="3"/>
  <c r="BE262" i="3"/>
  <c r="BD262" i="3"/>
  <c r="BC262" i="3"/>
  <c r="BB262" i="3"/>
  <c r="AX262" i="3"/>
  <c r="AW262" i="3"/>
  <c r="AV262" i="3"/>
  <c r="AC262" i="3"/>
  <c r="H262" i="3"/>
  <c r="G262" i="3"/>
  <c r="BT261" i="3"/>
  <c r="BS261" i="3"/>
  <c r="BR261" i="3"/>
  <c r="BQ261" i="3"/>
  <c r="BK261" i="3"/>
  <c r="BJ261" i="3"/>
  <c r="BI261" i="3"/>
  <c r="BH261" i="3"/>
  <c r="BG261" i="3"/>
  <c r="BF261" i="3"/>
  <c r="BE261" i="3"/>
  <c r="BD261" i="3"/>
  <c r="BC261" i="3"/>
  <c r="BB261" i="3"/>
  <c r="BA261" i="3"/>
  <c r="AX261" i="3"/>
  <c r="AW261" i="3"/>
  <c r="AV261" i="3"/>
  <c r="AC261" i="3"/>
  <c r="H261" i="3"/>
  <c r="G261" i="3"/>
  <c r="BT260" i="3"/>
  <c r="BS260" i="3"/>
  <c r="BR260" i="3"/>
  <c r="BQ260" i="3"/>
  <c r="BL260" i="3"/>
  <c r="BK260" i="3"/>
  <c r="BJ260" i="3"/>
  <c r="BI260" i="3"/>
  <c r="BH260" i="3"/>
  <c r="BG260" i="3"/>
  <c r="BF260" i="3"/>
  <c r="BE260" i="3"/>
  <c r="BD260" i="3"/>
  <c r="BC260" i="3"/>
  <c r="BB260" i="3"/>
  <c r="BA260" i="3"/>
  <c r="AX260" i="3"/>
  <c r="AW260" i="3"/>
  <c r="AV260" i="3"/>
  <c r="AC260" i="3"/>
  <c r="H260" i="3"/>
  <c r="G260" i="3"/>
  <c r="BT259" i="3"/>
  <c r="BS259" i="3"/>
  <c r="BR259" i="3"/>
  <c r="BQ259" i="3"/>
  <c r="BL259" i="3"/>
  <c r="BK259" i="3"/>
  <c r="BJ259" i="3"/>
  <c r="BI259" i="3"/>
  <c r="BH259" i="3"/>
  <c r="BG259" i="3"/>
  <c r="BF259" i="3"/>
  <c r="BE259" i="3"/>
  <c r="BD259" i="3"/>
  <c r="BC259" i="3"/>
  <c r="BB259" i="3"/>
  <c r="AX259" i="3"/>
  <c r="AW259" i="3"/>
  <c r="AV259" i="3"/>
  <c r="AC259" i="3"/>
  <c r="H259" i="3"/>
  <c r="G259" i="3"/>
  <c r="BT258" i="3"/>
  <c r="BS258" i="3"/>
  <c r="BR258" i="3"/>
  <c r="BQ258" i="3"/>
  <c r="BL258" i="3"/>
  <c r="BK258" i="3"/>
  <c r="BJ258" i="3"/>
  <c r="BI258" i="3"/>
  <c r="BH258" i="3"/>
  <c r="BG258" i="3"/>
  <c r="BF258" i="3"/>
  <c r="BE258" i="3"/>
  <c r="BD258" i="3"/>
  <c r="BC258" i="3"/>
  <c r="BB258" i="3"/>
  <c r="AX258" i="3"/>
  <c r="AW258" i="3"/>
  <c r="AV258" i="3"/>
  <c r="AC258" i="3"/>
  <c r="H258" i="3"/>
  <c r="G258" i="3"/>
  <c r="BT257" i="3"/>
  <c r="BS257" i="3"/>
  <c r="BR257" i="3"/>
  <c r="BQ257" i="3"/>
  <c r="BK257" i="3"/>
  <c r="BJ257" i="3"/>
  <c r="BI257" i="3"/>
  <c r="BH257" i="3"/>
  <c r="BG257" i="3"/>
  <c r="BF257" i="3"/>
  <c r="BE257" i="3"/>
  <c r="BD257" i="3"/>
  <c r="BC257" i="3"/>
  <c r="BB257" i="3"/>
  <c r="BA257" i="3"/>
  <c r="AX257" i="3"/>
  <c r="AW257" i="3"/>
  <c r="AV257" i="3"/>
  <c r="AC257" i="3"/>
  <c r="H257" i="3"/>
  <c r="G257" i="3"/>
  <c r="BT256" i="3"/>
  <c r="BS256" i="3"/>
  <c r="BR256" i="3"/>
  <c r="BQ256" i="3"/>
  <c r="BL256" i="3"/>
  <c r="BK256" i="3"/>
  <c r="BJ256" i="3"/>
  <c r="BI256" i="3"/>
  <c r="BH256" i="3"/>
  <c r="BG256" i="3"/>
  <c r="BF256" i="3"/>
  <c r="BE256" i="3"/>
  <c r="BD256" i="3"/>
  <c r="BC256" i="3"/>
  <c r="BB256" i="3"/>
  <c r="BA256" i="3"/>
  <c r="AX256" i="3"/>
  <c r="AW256" i="3"/>
  <c r="AV256" i="3"/>
  <c r="AC256" i="3"/>
  <c r="H256" i="3"/>
  <c r="G256" i="3"/>
  <c r="BT255" i="3"/>
  <c r="BS255" i="3"/>
  <c r="BR255" i="3"/>
  <c r="BQ255" i="3"/>
  <c r="BK255" i="3"/>
  <c r="BJ255" i="3"/>
  <c r="BI255" i="3"/>
  <c r="BH255" i="3"/>
  <c r="BG255" i="3"/>
  <c r="BF255" i="3"/>
  <c r="BE255" i="3"/>
  <c r="BD255" i="3"/>
  <c r="BC255" i="3"/>
  <c r="BB255" i="3"/>
  <c r="BA255" i="3"/>
  <c r="AX255" i="3"/>
  <c r="AW255" i="3"/>
  <c r="AV255" i="3"/>
  <c r="AC255" i="3"/>
  <c r="H255" i="3"/>
  <c r="BT254" i="3"/>
  <c r="BS254" i="3"/>
  <c r="BR254" i="3"/>
  <c r="BQ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L253" i="3"/>
  <c r="BK253" i="3"/>
  <c r="BJ253" i="3"/>
  <c r="BI253" i="3"/>
  <c r="BH253" i="3"/>
  <c r="BG253" i="3"/>
  <c r="BF253" i="3"/>
  <c r="BE253" i="3"/>
  <c r="BD253" i="3"/>
  <c r="BC253" i="3"/>
  <c r="BB253" i="3"/>
  <c r="BA253" i="3"/>
  <c r="AX253" i="3"/>
  <c r="AW253" i="3"/>
  <c r="AV253" i="3"/>
  <c r="AC253" i="3"/>
  <c r="H253" i="3"/>
  <c r="G253" i="3"/>
  <c r="BT252" i="3"/>
  <c r="BS252" i="3"/>
  <c r="BR252" i="3"/>
  <c r="BQ252" i="3"/>
  <c r="BK252" i="3"/>
  <c r="BJ252" i="3"/>
  <c r="BI252" i="3"/>
  <c r="BH252" i="3"/>
  <c r="BG252" i="3"/>
  <c r="BF252" i="3"/>
  <c r="BE252" i="3"/>
  <c r="BD252" i="3"/>
  <c r="BC252" i="3"/>
  <c r="BB252" i="3"/>
  <c r="BA252" i="3"/>
  <c r="AX252" i="3"/>
  <c r="AW252" i="3"/>
  <c r="AV252" i="3"/>
  <c r="AC252" i="3"/>
  <c r="H252" i="3"/>
  <c r="BT251" i="3"/>
  <c r="BS251" i="3"/>
  <c r="BR251" i="3"/>
  <c r="BQ251" i="3"/>
  <c r="BL251" i="3"/>
  <c r="BK251" i="3"/>
  <c r="BJ251" i="3"/>
  <c r="BI251" i="3"/>
  <c r="BH251" i="3"/>
  <c r="BG251" i="3"/>
  <c r="BF251" i="3"/>
  <c r="BE251" i="3"/>
  <c r="BD251" i="3"/>
  <c r="BC251" i="3"/>
  <c r="BB251" i="3"/>
  <c r="BA251" i="3"/>
  <c r="AX251" i="3"/>
  <c r="AW251" i="3"/>
  <c r="AV251" i="3"/>
  <c r="AC251" i="3"/>
  <c r="H251" i="3"/>
  <c r="BT250" i="3"/>
  <c r="BS250" i="3"/>
  <c r="BR250" i="3"/>
  <c r="BQ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L249" i="3"/>
  <c r="BK249" i="3"/>
  <c r="BJ249" i="3"/>
  <c r="BI249" i="3"/>
  <c r="BH249" i="3"/>
  <c r="BG249" i="3"/>
  <c r="BF249" i="3"/>
  <c r="BE249" i="3"/>
  <c r="BD249" i="3"/>
  <c r="BC249" i="3"/>
  <c r="BB249" i="3"/>
  <c r="BA249" i="3"/>
  <c r="AX249" i="3"/>
  <c r="AW249" i="3"/>
  <c r="AV249" i="3"/>
  <c r="AC249" i="3"/>
  <c r="H249" i="3"/>
  <c r="G249" i="3"/>
  <c r="BT248" i="3"/>
  <c r="BS248" i="3"/>
  <c r="BR248" i="3"/>
  <c r="BQ248" i="3"/>
  <c r="BK248" i="3"/>
  <c r="BJ248" i="3"/>
  <c r="BI248" i="3"/>
  <c r="BH248" i="3"/>
  <c r="BG248" i="3"/>
  <c r="BF248" i="3"/>
  <c r="BE248" i="3"/>
  <c r="BD248" i="3"/>
  <c r="BC248" i="3"/>
  <c r="BB248" i="3"/>
  <c r="BA248" i="3"/>
  <c r="AX248" i="3"/>
  <c r="AW248" i="3"/>
  <c r="AV248" i="3"/>
  <c r="AC248" i="3"/>
  <c r="H248" i="3"/>
  <c r="G248" i="3"/>
  <c r="BT247" i="3"/>
  <c r="BS247" i="3"/>
  <c r="BR247" i="3"/>
  <c r="BQ247" i="3"/>
  <c r="BL247" i="3"/>
  <c r="BK247" i="3"/>
  <c r="BJ247" i="3"/>
  <c r="BI247" i="3"/>
  <c r="BH247" i="3"/>
  <c r="BG247" i="3"/>
  <c r="BF247" i="3"/>
  <c r="BE247" i="3"/>
  <c r="BD247" i="3"/>
  <c r="BC247" i="3"/>
  <c r="BB247" i="3"/>
  <c r="BA247" i="3"/>
  <c r="AX247" i="3"/>
  <c r="AW247" i="3"/>
  <c r="AV247" i="3"/>
  <c r="AC247" i="3"/>
  <c r="H247" i="3"/>
  <c r="G247" i="3"/>
  <c r="BT246" i="3"/>
  <c r="BS246" i="3"/>
  <c r="BR246" i="3"/>
  <c r="BQ246" i="3"/>
  <c r="BL246" i="3"/>
  <c r="BK246" i="3"/>
  <c r="BJ246" i="3"/>
  <c r="BI246" i="3"/>
  <c r="BH246" i="3"/>
  <c r="BG246" i="3"/>
  <c r="BF246" i="3"/>
  <c r="BE246" i="3"/>
  <c r="BD246" i="3"/>
  <c r="BC246" i="3"/>
  <c r="BB246" i="3"/>
  <c r="AX246" i="3"/>
  <c r="AW246" i="3"/>
  <c r="AV246" i="3"/>
  <c r="AC246" i="3"/>
  <c r="H246" i="3"/>
  <c r="G246" i="3"/>
  <c r="BT245" i="3"/>
  <c r="BS245" i="3"/>
  <c r="BR245" i="3"/>
  <c r="BQ245" i="3"/>
  <c r="BK245" i="3"/>
  <c r="BJ245" i="3"/>
  <c r="BI245" i="3"/>
  <c r="BH245" i="3"/>
  <c r="BG245" i="3"/>
  <c r="BF245" i="3"/>
  <c r="BE245" i="3"/>
  <c r="BD245" i="3"/>
  <c r="BC245" i="3"/>
  <c r="BB245" i="3"/>
  <c r="BA245" i="3"/>
  <c r="AX245" i="3"/>
  <c r="AW245" i="3"/>
  <c r="AV245" i="3"/>
  <c r="AC245" i="3"/>
  <c r="H245" i="3"/>
  <c r="G245" i="3"/>
  <c r="BT244" i="3"/>
  <c r="BS244" i="3"/>
  <c r="BR244" i="3"/>
  <c r="BQ244" i="3"/>
  <c r="BL244" i="3"/>
  <c r="BK244" i="3"/>
  <c r="BJ244" i="3"/>
  <c r="BI244" i="3"/>
  <c r="BH244" i="3"/>
  <c r="BG244" i="3"/>
  <c r="BF244" i="3"/>
  <c r="BE244" i="3"/>
  <c r="BD244" i="3"/>
  <c r="BC244" i="3"/>
  <c r="BB244" i="3"/>
  <c r="BA244" i="3"/>
  <c r="AX244" i="3"/>
  <c r="AW244" i="3"/>
  <c r="AV244" i="3"/>
  <c r="AC244" i="3"/>
  <c r="H244" i="3"/>
  <c r="G244" i="3"/>
  <c r="BT243" i="3"/>
  <c r="BS243" i="3"/>
  <c r="BR243" i="3"/>
  <c r="BQ243" i="3"/>
  <c r="BL243" i="3"/>
  <c r="BK243" i="3"/>
  <c r="BJ243" i="3"/>
  <c r="BI243" i="3"/>
  <c r="BH243" i="3"/>
  <c r="BG243" i="3"/>
  <c r="BF243" i="3"/>
  <c r="BE243" i="3"/>
  <c r="BD243" i="3"/>
  <c r="BC243" i="3"/>
  <c r="BB243" i="3"/>
  <c r="AX243" i="3"/>
  <c r="AW243" i="3"/>
  <c r="AV243" i="3"/>
  <c r="AC243" i="3"/>
  <c r="H243" i="3"/>
  <c r="G243" i="3"/>
  <c r="BT242" i="3"/>
  <c r="BS242" i="3"/>
  <c r="BR242" i="3"/>
  <c r="BQ242" i="3"/>
  <c r="BL242" i="3"/>
  <c r="BK242" i="3"/>
  <c r="BJ242" i="3"/>
  <c r="BI242" i="3"/>
  <c r="BH242" i="3"/>
  <c r="BG242" i="3"/>
  <c r="BF242" i="3"/>
  <c r="BE242" i="3"/>
  <c r="BD242" i="3"/>
  <c r="BC242" i="3"/>
  <c r="BB242" i="3"/>
  <c r="AX242" i="3"/>
  <c r="AW242" i="3"/>
  <c r="AV242" i="3"/>
  <c r="AC242" i="3"/>
  <c r="H242" i="3"/>
  <c r="G242" i="3"/>
  <c r="BT241" i="3"/>
  <c r="BS241" i="3"/>
  <c r="BR241" i="3"/>
  <c r="BQ241" i="3"/>
  <c r="BK241" i="3"/>
  <c r="BJ241" i="3"/>
  <c r="BI241" i="3"/>
  <c r="BH241" i="3"/>
  <c r="BG241" i="3"/>
  <c r="BF241" i="3"/>
  <c r="BE241" i="3"/>
  <c r="BD241" i="3"/>
  <c r="BC241" i="3"/>
  <c r="BB241" i="3"/>
  <c r="BA241" i="3"/>
  <c r="AX241" i="3"/>
  <c r="AW241" i="3"/>
  <c r="AV241" i="3"/>
  <c r="AC241" i="3"/>
  <c r="H241" i="3"/>
  <c r="G241" i="3"/>
  <c r="BT240" i="3"/>
  <c r="BS240" i="3"/>
  <c r="BR240" i="3"/>
  <c r="BQ240" i="3"/>
  <c r="BL240" i="3"/>
  <c r="BK240" i="3"/>
  <c r="BJ240" i="3"/>
  <c r="BI240" i="3"/>
  <c r="BH240" i="3"/>
  <c r="BG240" i="3"/>
  <c r="BF240" i="3"/>
  <c r="BE240" i="3"/>
  <c r="BD240" i="3"/>
  <c r="BC240" i="3"/>
  <c r="BB240" i="3"/>
  <c r="BA240" i="3"/>
  <c r="AX240" i="3"/>
  <c r="AW240" i="3"/>
  <c r="AV240" i="3"/>
  <c r="AC240" i="3"/>
  <c r="H240" i="3"/>
  <c r="G240" i="3"/>
  <c r="BT239" i="3"/>
  <c r="BS239" i="3"/>
  <c r="BR239" i="3"/>
  <c r="BQ239" i="3"/>
  <c r="BK239" i="3"/>
  <c r="BJ239" i="3"/>
  <c r="BI239" i="3"/>
  <c r="BH239" i="3"/>
  <c r="BG239" i="3"/>
  <c r="BF239" i="3"/>
  <c r="BE239" i="3"/>
  <c r="BD239" i="3"/>
  <c r="BC239" i="3"/>
  <c r="BB239" i="3"/>
  <c r="BA239" i="3"/>
  <c r="AX239" i="3"/>
  <c r="AW239" i="3"/>
  <c r="AV239" i="3"/>
  <c r="AC239" i="3"/>
  <c r="H239" i="3"/>
  <c r="BT238" i="3"/>
  <c r="BS238" i="3"/>
  <c r="BR238" i="3"/>
  <c r="BQ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L237" i="3"/>
  <c r="BK237" i="3"/>
  <c r="BJ237" i="3"/>
  <c r="BI237" i="3"/>
  <c r="BH237" i="3"/>
  <c r="BG237" i="3"/>
  <c r="BF237" i="3"/>
  <c r="BE237" i="3"/>
  <c r="BD237" i="3"/>
  <c r="BC237" i="3"/>
  <c r="BB237" i="3"/>
  <c r="BA237" i="3"/>
  <c r="AX237" i="3"/>
  <c r="AW237" i="3"/>
  <c r="AV237" i="3"/>
  <c r="AC237" i="3"/>
  <c r="H237" i="3"/>
  <c r="G237" i="3"/>
  <c r="BT236" i="3"/>
  <c r="BS236" i="3"/>
  <c r="BR236" i="3"/>
  <c r="BQ236" i="3"/>
  <c r="BK236" i="3"/>
  <c r="BJ236" i="3"/>
  <c r="BI236" i="3"/>
  <c r="BH236" i="3"/>
  <c r="BG236" i="3"/>
  <c r="BF236" i="3"/>
  <c r="BE236" i="3"/>
  <c r="BD236" i="3"/>
  <c r="BC236" i="3"/>
  <c r="BB236" i="3"/>
  <c r="BA236" i="3"/>
  <c r="AX236" i="3"/>
  <c r="AW236" i="3"/>
  <c r="AV236" i="3"/>
  <c r="AC236" i="3"/>
  <c r="H236" i="3"/>
  <c r="BT235" i="3"/>
  <c r="BS235" i="3"/>
  <c r="BR235" i="3"/>
  <c r="BQ235" i="3"/>
  <c r="BL235" i="3"/>
  <c r="BK235" i="3"/>
  <c r="BJ235" i="3"/>
  <c r="BI235" i="3"/>
  <c r="BH235" i="3"/>
  <c r="BG235" i="3"/>
  <c r="BF235" i="3"/>
  <c r="BE235" i="3"/>
  <c r="BD235" i="3"/>
  <c r="BC235" i="3"/>
  <c r="BB235" i="3"/>
  <c r="BA235" i="3"/>
  <c r="AX235" i="3"/>
  <c r="AW235" i="3"/>
  <c r="AV235" i="3"/>
  <c r="AC235" i="3"/>
  <c r="H235" i="3"/>
  <c r="BT234" i="3"/>
  <c r="BS234" i="3"/>
  <c r="BR234" i="3"/>
  <c r="BQ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L233" i="3"/>
  <c r="BK233" i="3"/>
  <c r="BJ233" i="3"/>
  <c r="BI233" i="3"/>
  <c r="BH233" i="3"/>
  <c r="BG233" i="3"/>
  <c r="BF233" i="3"/>
  <c r="BE233" i="3"/>
  <c r="BD233" i="3"/>
  <c r="BC233" i="3"/>
  <c r="BB233" i="3"/>
  <c r="BA233" i="3"/>
  <c r="AX233" i="3"/>
  <c r="AW233" i="3"/>
  <c r="AV233" i="3"/>
  <c r="AC233" i="3"/>
  <c r="H233" i="3"/>
  <c r="G233" i="3"/>
  <c r="BT232" i="3"/>
  <c r="BS232" i="3"/>
  <c r="BR232" i="3"/>
  <c r="BQ232" i="3"/>
  <c r="BK232" i="3"/>
  <c r="BJ232" i="3"/>
  <c r="BI232" i="3"/>
  <c r="BH232" i="3"/>
  <c r="BG232" i="3"/>
  <c r="BF232" i="3"/>
  <c r="BE232" i="3"/>
  <c r="BD232" i="3"/>
  <c r="BC232" i="3"/>
  <c r="BB232" i="3"/>
  <c r="BA232" i="3"/>
  <c r="AX232" i="3"/>
  <c r="AW232" i="3"/>
  <c r="AV232" i="3"/>
  <c r="AC232" i="3"/>
  <c r="H232" i="3"/>
  <c r="G232" i="3"/>
  <c r="BT231" i="3"/>
  <c r="BS231" i="3"/>
  <c r="BR231" i="3"/>
  <c r="BQ231" i="3"/>
  <c r="BL231" i="3"/>
  <c r="BK231" i="3"/>
  <c r="BJ231" i="3"/>
  <c r="BI231" i="3"/>
  <c r="BH231" i="3"/>
  <c r="BG231" i="3"/>
  <c r="BF231" i="3"/>
  <c r="BE231" i="3"/>
  <c r="BD231" i="3"/>
  <c r="BC231" i="3"/>
  <c r="BB231" i="3"/>
  <c r="BA231" i="3"/>
  <c r="AX231" i="3"/>
  <c r="AW231" i="3"/>
  <c r="AV231" i="3"/>
  <c r="AC231" i="3"/>
  <c r="H231" i="3"/>
  <c r="G231" i="3"/>
  <c r="BT230" i="3"/>
  <c r="BS230" i="3"/>
  <c r="BR230" i="3"/>
  <c r="BQ230" i="3"/>
  <c r="BL230" i="3"/>
  <c r="BK230" i="3"/>
  <c r="BJ230" i="3"/>
  <c r="BI230" i="3"/>
  <c r="BH230" i="3"/>
  <c r="BG230" i="3"/>
  <c r="BF230" i="3"/>
  <c r="BE230" i="3"/>
  <c r="BD230" i="3"/>
  <c r="BC230" i="3"/>
  <c r="BB230" i="3"/>
  <c r="AX230" i="3"/>
  <c r="AW230" i="3"/>
  <c r="AV230" i="3"/>
  <c r="AC230" i="3"/>
  <c r="H230" i="3"/>
  <c r="G230" i="3"/>
  <c r="BT229" i="3"/>
  <c r="BS229" i="3"/>
  <c r="BR229" i="3"/>
  <c r="BQ229" i="3"/>
  <c r="BK229" i="3"/>
  <c r="BJ229" i="3"/>
  <c r="BI229" i="3"/>
  <c r="BH229" i="3"/>
  <c r="BG229" i="3"/>
  <c r="BF229" i="3"/>
  <c r="BE229" i="3"/>
  <c r="BD229" i="3"/>
  <c r="BC229" i="3"/>
  <c r="BB229" i="3"/>
  <c r="BA229" i="3"/>
  <c r="AX229" i="3"/>
  <c r="AW229" i="3"/>
  <c r="AV229" i="3"/>
  <c r="AC229" i="3"/>
  <c r="H229" i="3"/>
  <c r="G229" i="3"/>
  <c r="BT228" i="3"/>
  <c r="BS228" i="3"/>
  <c r="BR228" i="3"/>
  <c r="BQ228" i="3"/>
  <c r="BL228" i="3"/>
  <c r="BK228" i="3"/>
  <c r="BJ228" i="3"/>
  <c r="BI228" i="3"/>
  <c r="BH228" i="3"/>
  <c r="BG228" i="3"/>
  <c r="BF228" i="3"/>
  <c r="BE228" i="3"/>
  <c r="BD228" i="3"/>
  <c r="BC228" i="3"/>
  <c r="BB228" i="3"/>
  <c r="BA228" i="3"/>
  <c r="AX228" i="3"/>
  <c r="AW228" i="3"/>
  <c r="AV228" i="3"/>
  <c r="AC228" i="3"/>
  <c r="H228" i="3"/>
  <c r="G228" i="3"/>
  <c r="BT227" i="3"/>
  <c r="BS227" i="3"/>
  <c r="BR227" i="3"/>
  <c r="BQ227" i="3"/>
  <c r="BL227" i="3"/>
  <c r="BK227" i="3"/>
  <c r="BJ227" i="3"/>
  <c r="BI227" i="3"/>
  <c r="BH227" i="3"/>
  <c r="BG227" i="3"/>
  <c r="BF227" i="3"/>
  <c r="BE227" i="3"/>
  <c r="BD227" i="3"/>
  <c r="BC227" i="3"/>
  <c r="BB227" i="3"/>
  <c r="AX227" i="3"/>
  <c r="AW227" i="3"/>
  <c r="AV227" i="3"/>
  <c r="AC227" i="3"/>
  <c r="H227" i="3"/>
  <c r="G227" i="3"/>
  <c r="BT226" i="3"/>
  <c r="BS226" i="3"/>
  <c r="BR226" i="3"/>
  <c r="BQ226" i="3"/>
  <c r="BL226" i="3"/>
  <c r="BK226" i="3"/>
  <c r="BJ226" i="3"/>
  <c r="BI226" i="3"/>
  <c r="BH226" i="3"/>
  <c r="BG226" i="3"/>
  <c r="BF226" i="3"/>
  <c r="BE226" i="3"/>
  <c r="BD226" i="3"/>
  <c r="BC226" i="3"/>
  <c r="BB226" i="3"/>
  <c r="AX226" i="3"/>
  <c r="AW226" i="3"/>
  <c r="AV226" i="3"/>
  <c r="AC226" i="3"/>
  <c r="H226" i="3"/>
  <c r="G226" i="3"/>
  <c r="BT225" i="3"/>
  <c r="BS225" i="3"/>
  <c r="BR225" i="3"/>
  <c r="BQ225" i="3"/>
  <c r="BK225" i="3"/>
  <c r="BJ225" i="3"/>
  <c r="BI225" i="3"/>
  <c r="BH225" i="3"/>
  <c r="BG225" i="3"/>
  <c r="BF225" i="3"/>
  <c r="BE225" i="3"/>
  <c r="BD225" i="3"/>
  <c r="BC225" i="3"/>
  <c r="BB225" i="3"/>
  <c r="BA225" i="3"/>
  <c r="AX225" i="3"/>
  <c r="AW225" i="3"/>
  <c r="AV225" i="3"/>
  <c r="AC225" i="3"/>
  <c r="H225" i="3"/>
  <c r="BT224" i="3"/>
  <c r="BS224" i="3"/>
  <c r="BR224" i="3"/>
  <c r="BQ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L223" i="3"/>
  <c r="BK223" i="3"/>
  <c r="BJ223" i="3"/>
  <c r="BI223" i="3"/>
  <c r="BH223" i="3"/>
  <c r="BG223" i="3"/>
  <c r="BF223" i="3"/>
  <c r="BE223" i="3"/>
  <c r="BD223" i="3"/>
  <c r="BC223" i="3"/>
  <c r="BB223" i="3"/>
  <c r="BA223" i="3"/>
  <c r="AX223" i="3"/>
  <c r="AW223" i="3"/>
  <c r="AV223" i="3"/>
  <c r="AC223" i="3"/>
  <c r="H223" i="3"/>
  <c r="G223" i="3"/>
  <c r="BT222" i="3"/>
  <c r="BS222" i="3"/>
  <c r="BR222" i="3"/>
  <c r="BQ222" i="3"/>
  <c r="BK222" i="3"/>
  <c r="BJ222" i="3"/>
  <c r="BI222" i="3"/>
  <c r="BH222" i="3"/>
  <c r="BG222" i="3"/>
  <c r="BF222" i="3"/>
  <c r="BE222" i="3"/>
  <c r="BD222" i="3"/>
  <c r="BC222" i="3"/>
  <c r="BB222" i="3"/>
  <c r="BA222" i="3"/>
  <c r="AX222" i="3"/>
  <c r="AW222" i="3"/>
  <c r="AV222" i="3"/>
  <c r="AC222" i="3"/>
  <c r="H222" i="3"/>
  <c r="G222" i="3"/>
  <c r="BT221" i="3"/>
  <c r="BS221" i="3"/>
  <c r="BR221" i="3"/>
  <c r="BQ221" i="3"/>
  <c r="BL221" i="3"/>
  <c r="BK221" i="3"/>
  <c r="BJ221" i="3"/>
  <c r="BI221" i="3"/>
  <c r="BH221" i="3"/>
  <c r="BG221" i="3"/>
  <c r="BF221" i="3"/>
  <c r="BE221" i="3"/>
  <c r="BD221" i="3"/>
  <c r="BC221" i="3"/>
  <c r="BB221" i="3"/>
  <c r="BA221" i="3"/>
  <c r="AX221" i="3"/>
  <c r="AW221" i="3"/>
  <c r="AV221" i="3"/>
  <c r="AC221" i="3"/>
  <c r="H221" i="3"/>
  <c r="G221" i="3"/>
  <c r="BT220" i="3"/>
  <c r="BS220" i="3"/>
  <c r="BR220" i="3"/>
  <c r="BQ220" i="3"/>
  <c r="BL220" i="3"/>
  <c r="BK220" i="3"/>
  <c r="BJ220" i="3"/>
  <c r="BI220" i="3"/>
  <c r="BH220" i="3"/>
  <c r="BG220" i="3"/>
  <c r="BF220" i="3"/>
  <c r="BE220" i="3"/>
  <c r="BD220" i="3"/>
  <c r="BC220" i="3"/>
  <c r="BB220" i="3"/>
  <c r="AX220" i="3"/>
  <c r="AW220" i="3"/>
  <c r="AV220" i="3"/>
  <c r="AC220" i="3"/>
  <c r="H220" i="3"/>
  <c r="G220" i="3"/>
  <c r="BT219" i="3"/>
  <c r="BS219" i="3"/>
  <c r="BR219" i="3"/>
  <c r="BQ219" i="3"/>
  <c r="BK219" i="3"/>
  <c r="BJ219" i="3"/>
  <c r="BI219" i="3"/>
  <c r="BH219" i="3"/>
  <c r="BG219" i="3"/>
  <c r="BF219" i="3"/>
  <c r="BE219" i="3"/>
  <c r="BD219" i="3"/>
  <c r="BC219" i="3"/>
  <c r="BB219" i="3"/>
  <c r="BA219" i="3"/>
  <c r="AX219" i="3"/>
  <c r="AW219" i="3"/>
  <c r="AV219" i="3"/>
  <c r="AC219" i="3"/>
  <c r="H219" i="3"/>
  <c r="BT218" i="3"/>
  <c r="BS218" i="3"/>
  <c r="BR218" i="3"/>
  <c r="BQ218" i="3"/>
  <c r="BL218" i="3"/>
  <c r="BK218" i="3"/>
  <c r="BJ218" i="3"/>
  <c r="BI218" i="3"/>
  <c r="BH218" i="3"/>
  <c r="BG218" i="3"/>
  <c r="BF218" i="3"/>
  <c r="BE218" i="3"/>
  <c r="BD218" i="3"/>
  <c r="BC218" i="3"/>
  <c r="BB218" i="3"/>
  <c r="BA218" i="3"/>
  <c r="AX218" i="3"/>
  <c r="AW218" i="3"/>
  <c r="AV218" i="3"/>
  <c r="AC218" i="3"/>
  <c r="H218" i="3"/>
  <c r="BT217" i="3"/>
  <c r="BS217" i="3"/>
  <c r="BR217" i="3"/>
  <c r="BQ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L216" i="3"/>
  <c r="BK216" i="3"/>
  <c r="BJ216" i="3"/>
  <c r="BI216" i="3"/>
  <c r="BH216" i="3"/>
  <c r="BG216" i="3"/>
  <c r="BF216" i="3"/>
  <c r="BE216" i="3"/>
  <c r="BD216" i="3"/>
  <c r="BC216" i="3"/>
  <c r="BB216" i="3"/>
  <c r="BA216" i="3"/>
  <c r="AX216" i="3"/>
  <c r="AW216" i="3"/>
  <c r="AV216" i="3"/>
  <c r="AC216" i="3"/>
  <c r="H216" i="3"/>
  <c r="G216" i="3"/>
  <c r="BT215" i="3"/>
  <c r="BS215" i="3"/>
  <c r="BR215" i="3"/>
  <c r="BQ215" i="3"/>
  <c r="BL215" i="3"/>
  <c r="BK215" i="3"/>
  <c r="BJ215" i="3"/>
  <c r="BI215" i="3"/>
  <c r="BH215" i="3"/>
  <c r="BG215" i="3"/>
  <c r="BF215" i="3"/>
  <c r="BE215" i="3"/>
  <c r="BD215" i="3"/>
  <c r="BC215" i="3"/>
  <c r="BB215" i="3"/>
  <c r="AX215" i="3"/>
  <c r="AW215" i="3"/>
  <c r="AV215" i="3"/>
  <c r="AC215" i="3"/>
  <c r="H215" i="3"/>
  <c r="G215" i="3"/>
  <c r="BT214" i="3"/>
  <c r="BS214" i="3"/>
  <c r="BR214" i="3"/>
  <c r="BQ214" i="3"/>
  <c r="BL214" i="3"/>
  <c r="BK214" i="3"/>
  <c r="BJ214" i="3"/>
  <c r="BI214" i="3"/>
  <c r="BH214" i="3"/>
  <c r="BG214" i="3"/>
  <c r="BF214" i="3"/>
  <c r="BE214" i="3"/>
  <c r="BD214" i="3"/>
  <c r="BC214" i="3"/>
  <c r="BB214" i="3"/>
  <c r="AX214" i="3"/>
  <c r="AW214" i="3"/>
  <c r="AV214" i="3"/>
  <c r="AC214" i="3"/>
  <c r="H214" i="3"/>
  <c r="G214" i="3"/>
  <c r="BT213" i="3"/>
  <c r="BS213" i="3"/>
  <c r="BR213" i="3"/>
  <c r="BQ213" i="3"/>
  <c r="BL213" i="3"/>
  <c r="BK213" i="3"/>
  <c r="BJ213" i="3"/>
  <c r="BI213" i="3"/>
  <c r="BH213" i="3"/>
  <c r="BG213" i="3"/>
  <c r="BF213" i="3"/>
  <c r="BE213" i="3"/>
  <c r="BD213" i="3"/>
  <c r="BC213" i="3"/>
  <c r="BB213" i="3"/>
  <c r="AX213" i="3"/>
  <c r="AW213" i="3"/>
  <c r="AV213" i="3"/>
  <c r="AC213" i="3"/>
  <c r="H213" i="3"/>
  <c r="G213" i="3"/>
  <c r="BT212" i="3"/>
  <c r="BS212" i="3"/>
  <c r="BR212" i="3"/>
  <c r="BQ212" i="3"/>
  <c r="BK212" i="3"/>
  <c r="BJ212" i="3"/>
  <c r="BI212" i="3"/>
  <c r="BH212" i="3"/>
  <c r="BG212" i="3"/>
  <c r="BF212" i="3"/>
  <c r="BE212" i="3"/>
  <c r="BD212" i="3"/>
  <c r="BC212" i="3"/>
  <c r="BB212" i="3"/>
  <c r="BA212" i="3"/>
  <c r="AX212" i="3"/>
  <c r="AW212" i="3"/>
  <c r="AV212" i="3"/>
  <c r="AC212" i="3"/>
  <c r="H212" i="3"/>
  <c r="BT211" i="3"/>
  <c r="BS211" i="3"/>
  <c r="BR211" i="3"/>
  <c r="BQ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L210" i="3"/>
  <c r="BK210" i="3"/>
  <c r="BJ210" i="3"/>
  <c r="BI210" i="3"/>
  <c r="BH210" i="3"/>
  <c r="BG210" i="3"/>
  <c r="BF210" i="3"/>
  <c r="BE210" i="3"/>
  <c r="BD210" i="3"/>
  <c r="BC210" i="3"/>
  <c r="BB210" i="3"/>
  <c r="BA210" i="3"/>
  <c r="AX210" i="3"/>
  <c r="AW210" i="3"/>
  <c r="AV210" i="3"/>
  <c r="AC210" i="3"/>
  <c r="H210" i="3"/>
  <c r="G210" i="3"/>
  <c r="BT209" i="3"/>
  <c r="BS209" i="3"/>
  <c r="BR209" i="3"/>
  <c r="BQ209" i="3"/>
  <c r="BL209" i="3"/>
  <c r="BK209" i="3"/>
  <c r="BJ209" i="3"/>
  <c r="BI209" i="3"/>
  <c r="BH209" i="3"/>
  <c r="BG209" i="3"/>
  <c r="BF209" i="3"/>
  <c r="BE209" i="3"/>
  <c r="BD209" i="3"/>
  <c r="BC209" i="3"/>
  <c r="BB209" i="3"/>
  <c r="AX209" i="3"/>
  <c r="AW209" i="3"/>
  <c r="AV209" i="3"/>
  <c r="AC209" i="3"/>
  <c r="H209" i="3"/>
  <c r="G209" i="3"/>
  <c r="BT208" i="3"/>
  <c r="BS208" i="3"/>
  <c r="BR208" i="3"/>
  <c r="BQ208" i="3"/>
  <c r="BL208" i="3"/>
  <c r="BK208" i="3"/>
  <c r="BJ208" i="3"/>
  <c r="BI208" i="3"/>
  <c r="BH208" i="3"/>
  <c r="BG208" i="3"/>
  <c r="BF208" i="3"/>
  <c r="BE208" i="3"/>
  <c r="BD208" i="3"/>
  <c r="BC208" i="3"/>
  <c r="BB208" i="3"/>
  <c r="AX208" i="3"/>
  <c r="AW208" i="3"/>
  <c r="AV208" i="3"/>
  <c r="AC208" i="3"/>
  <c r="H208" i="3"/>
  <c r="G208" i="3"/>
  <c r="BT397" i="3"/>
  <c r="BS397" i="3"/>
  <c r="BR397" i="3"/>
  <c r="BQ397" i="3"/>
  <c r="BK397" i="3"/>
  <c r="BJ397" i="3"/>
  <c r="BI397" i="3"/>
  <c r="BH397" i="3"/>
  <c r="BG397" i="3"/>
  <c r="BF397" i="3"/>
  <c r="BE397" i="3"/>
  <c r="BD397" i="3"/>
  <c r="BC397" i="3"/>
  <c r="BB397" i="3"/>
  <c r="BA397" i="3"/>
  <c r="AX397" i="3"/>
  <c r="AW397" i="3"/>
  <c r="AV397" i="3"/>
  <c r="AC397" i="3"/>
  <c r="H397" i="3"/>
  <c r="BT396" i="3"/>
  <c r="BS396" i="3"/>
  <c r="BR396" i="3"/>
  <c r="BQ396" i="3"/>
  <c r="BL396" i="3"/>
  <c r="BK396" i="3"/>
  <c r="BJ396" i="3"/>
  <c r="BI396" i="3"/>
  <c r="BH396" i="3"/>
  <c r="BG396" i="3"/>
  <c r="BF396" i="3"/>
  <c r="BE396" i="3"/>
  <c r="BD396" i="3"/>
  <c r="BC396" i="3"/>
  <c r="BB396" i="3"/>
  <c r="BA396" i="3"/>
  <c r="AX396" i="3"/>
  <c r="AW396" i="3"/>
  <c r="AV396" i="3"/>
  <c r="AC396" i="3"/>
  <c r="H396" i="3"/>
  <c r="BT395" i="3"/>
  <c r="BS395" i="3"/>
  <c r="BR395" i="3"/>
  <c r="BQ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K394" i="3"/>
  <c r="BJ394" i="3"/>
  <c r="BI394" i="3"/>
  <c r="BH394" i="3"/>
  <c r="BG394" i="3"/>
  <c r="BF394" i="3"/>
  <c r="BE394" i="3"/>
  <c r="BD394" i="3"/>
  <c r="BC394" i="3"/>
  <c r="BB394" i="3"/>
  <c r="AX394" i="3"/>
  <c r="AW394" i="3"/>
  <c r="AV394" i="3"/>
  <c r="AC394" i="3"/>
  <c r="H394" i="3"/>
  <c r="BT393" i="3"/>
  <c r="BS393" i="3"/>
  <c r="BR393" i="3"/>
  <c r="BQ393" i="3"/>
  <c r="BL393" i="3"/>
  <c r="BK393" i="3"/>
  <c r="BJ393" i="3"/>
  <c r="BI393" i="3"/>
  <c r="BH393" i="3"/>
  <c r="BG393" i="3"/>
  <c r="BF393" i="3"/>
  <c r="BE393" i="3"/>
  <c r="BD393" i="3"/>
  <c r="BC393" i="3"/>
  <c r="BB393" i="3"/>
  <c r="AX393" i="3"/>
  <c r="AW393" i="3"/>
  <c r="AV393" i="3"/>
  <c r="AC393" i="3"/>
  <c r="H393" i="3"/>
  <c r="BT392" i="3"/>
  <c r="BS392" i="3"/>
  <c r="BR392" i="3"/>
  <c r="BQ392" i="3"/>
  <c r="BK392" i="3"/>
  <c r="BJ392" i="3"/>
  <c r="BI392" i="3"/>
  <c r="BH392" i="3"/>
  <c r="BG392" i="3"/>
  <c r="BF392" i="3"/>
  <c r="BE392" i="3"/>
  <c r="BD392" i="3"/>
  <c r="BC392" i="3"/>
  <c r="BB392" i="3"/>
  <c r="BA392" i="3"/>
  <c r="AX392" i="3"/>
  <c r="AW392" i="3"/>
  <c r="AV392" i="3"/>
  <c r="AC392" i="3"/>
  <c r="H392" i="3"/>
  <c r="G392" i="3"/>
  <c r="BT391" i="3"/>
  <c r="BS391" i="3"/>
  <c r="BR391" i="3"/>
  <c r="BQ391" i="3"/>
  <c r="BK391" i="3"/>
  <c r="BJ391" i="3"/>
  <c r="BI391" i="3"/>
  <c r="BH391" i="3"/>
  <c r="BG391" i="3"/>
  <c r="BF391" i="3"/>
  <c r="BE391" i="3"/>
  <c r="BD391" i="3"/>
  <c r="BC391" i="3"/>
  <c r="BB391" i="3"/>
  <c r="AX391" i="3"/>
  <c r="AW391" i="3"/>
  <c r="AV391" i="3"/>
  <c r="AC391" i="3"/>
  <c r="H391" i="3"/>
  <c r="BT390" i="3"/>
  <c r="BS390" i="3"/>
  <c r="BR390" i="3"/>
  <c r="BQ390" i="3"/>
  <c r="BK390" i="3"/>
  <c r="BJ390" i="3"/>
  <c r="BI390" i="3"/>
  <c r="BH390" i="3"/>
  <c r="BG390" i="3"/>
  <c r="BF390" i="3"/>
  <c r="BE390" i="3"/>
  <c r="BD390" i="3"/>
  <c r="BC390" i="3"/>
  <c r="BB390" i="3"/>
  <c r="AX390" i="3"/>
  <c r="AW390" i="3"/>
  <c r="AV390" i="3"/>
  <c r="AC390" i="3"/>
  <c r="H390" i="3"/>
  <c r="BT389" i="3"/>
  <c r="BS389" i="3"/>
  <c r="BR389" i="3"/>
  <c r="BQ389" i="3"/>
  <c r="BK389" i="3"/>
  <c r="BJ389" i="3"/>
  <c r="BI389" i="3"/>
  <c r="BH389" i="3"/>
  <c r="BG389" i="3"/>
  <c r="BF389" i="3"/>
  <c r="BE389" i="3"/>
  <c r="BD389" i="3"/>
  <c r="BC389" i="3"/>
  <c r="BB389" i="3"/>
  <c r="AX389" i="3"/>
  <c r="AW389" i="3"/>
  <c r="AV389" i="3"/>
  <c r="AC389" i="3"/>
  <c r="H389" i="3"/>
  <c r="BT388" i="3"/>
  <c r="BS388" i="3"/>
  <c r="BR388" i="3"/>
  <c r="BQ388" i="3"/>
  <c r="BK388" i="3"/>
  <c r="BJ388" i="3"/>
  <c r="BI388" i="3"/>
  <c r="BH388" i="3"/>
  <c r="BG388" i="3"/>
  <c r="BF388" i="3"/>
  <c r="BE388" i="3"/>
  <c r="BD388" i="3"/>
  <c r="BC388" i="3"/>
  <c r="BB388" i="3"/>
  <c r="BA388" i="3"/>
  <c r="AX388" i="3"/>
  <c r="AW388" i="3"/>
  <c r="AV388" i="3"/>
  <c r="AC388" i="3"/>
  <c r="H388" i="3"/>
  <c r="BT387" i="3"/>
  <c r="BS387" i="3"/>
  <c r="BR387" i="3"/>
  <c r="BQ387" i="3"/>
  <c r="BK387" i="3"/>
  <c r="BJ387" i="3"/>
  <c r="BI387" i="3"/>
  <c r="BH387" i="3"/>
  <c r="BG387" i="3"/>
  <c r="BF387" i="3"/>
  <c r="BE387" i="3"/>
  <c r="BD387" i="3"/>
  <c r="BC387" i="3"/>
  <c r="BB387" i="3"/>
  <c r="AX387" i="3"/>
  <c r="AW387" i="3"/>
  <c r="AV387" i="3"/>
  <c r="AC387" i="3"/>
  <c r="H387" i="3"/>
  <c r="BT386" i="3"/>
  <c r="BS386" i="3"/>
  <c r="BR386" i="3"/>
  <c r="BQ386" i="3"/>
  <c r="BL386" i="3"/>
  <c r="BK386" i="3"/>
  <c r="BJ386" i="3"/>
  <c r="BI386" i="3"/>
  <c r="BH386" i="3"/>
  <c r="BG386" i="3"/>
  <c r="BF386" i="3"/>
  <c r="BE386" i="3"/>
  <c r="BD386" i="3"/>
  <c r="BC386" i="3"/>
  <c r="BB386" i="3"/>
  <c r="BA386" i="3"/>
  <c r="AX386" i="3"/>
  <c r="AW386" i="3"/>
  <c r="AV386" i="3"/>
  <c r="AC386" i="3"/>
  <c r="H386" i="3"/>
  <c r="BT385" i="3"/>
  <c r="BS385" i="3"/>
  <c r="BR385" i="3"/>
  <c r="BQ385" i="3"/>
  <c r="BK385" i="3"/>
  <c r="BJ385" i="3"/>
  <c r="BI385" i="3"/>
  <c r="BH385" i="3"/>
  <c r="BG385" i="3"/>
  <c r="BF385" i="3"/>
  <c r="BE385" i="3"/>
  <c r="BD385" i="3"/>
  <c r="BC385" i="3"/>
  <c r="BB385" i="3"/>
  <c r="BA385" i="3"/>
  <c r="AX385" i="3"/>
  <c r="AW385" i="3"/>
  <c r="AV385" i="3"/>
  <c r="AC385" i="3"/>
  <c r="H385" i="3"/>
  <c r="BT384" i="3"/>
  <c r="BS384" i="3"/>
  <c r="BR384" i="3"/>
  <c r="BQ384" i="3"/>
  <c r="BK384" i="3"/>
  <c r="BJ384" i="3"/>
  <c r="BI384" i="3"/>
  <c r="BH384" i="3"/>
  <c r="BG384" i="3"/>
  <c r="BF384" i="3"/>
  <c r="BE384" i="3"/>
  <c r="BD384" i="3"/>
  <c r="BC384" i="3"/>
  <c r="BB384" i="3"/>
  <c r="AX384" i="3"/>
  <c r="AW384" i="3"/>
  <c r="AV384" i="3"/>
  <c r="AC384" i="3"/>
  <c r="H384" i="3"/>
  <c r="G384" i="3"/>
  <c r="BT383" i="3"/>
  <c r="BS383" i="3"/>
  <c r="BR383" i="3"/>
  <c r="BQ383" i="3"/>
  <c r="BL383" i="3"/>
  <c r="BK383" i="3"/>
  <c r="BJ383" i="3"/>
  <c r="BI383" i="3"/>
  <c r="BH383" i="3"/>
  <c r="BG383" i="3"/>
  <c r="BF383" i="3"/>
  <c r="BE383" i="3"/>
  <c r="BD383" i="3"/>
  <c r="BC383" i="3"/>
  <c r="BB383" i="3"/>
  <c r="AX383" i="3"/>
  <c r="AW383" i="3"/>
  <c r="AV383" i="3"/>
  <c r="AC383" i="3"/>
  <c r="H383" i="3"/>
  <c r="BT382" i="3"/>
  <c r="BS382" i="3"/>
  <c r="BR382" i="3"/>
  <c r="BQ382" i="3"/>
  <c r="BK382" i="3"/>
  <c r="BJ382" i="3"/>
  <c r="BI382" i="3"/>
  <c r="BH382" i="3"/>
  <c r="BG382" i="3"/>
  <c r="BF382" i="3"/>
  <c r="BE382" i="3"/>
  <c r="BD382" i="3"/>
  <c r="BC382" i="3"/>
  <c r="BB382" i="3"/>
  <c r="AX382" i="3"/>
  <c r="AW382" i="3"/>
  <c r="AV382" i="3"/>
  <c r="AC382" i="3"/>
  <c r="H382" i="3"/>
  <c r="BT381" i="3"/>
  <c r="BS381" i="3"/>
  <c r="BR381" i="3"/>
  <c r="BQ381" i="3"/>
  <c r="BL381" i="3"/>
  <c r="BK381" i="3"/>
  <c r="BJ381" i="3"/>
  <c r="BI381" i="3"/>
  <c r="BH381" i="3"/>
  <c r="BG381" i="3"/>
  <c r="BF381" i="3"/>
  <c r="BE381" i="3"/>
  <c r="BD381" i="3"/>
  <c r="BC381" i="3"/>
  <c r="BB381" i="3"/>
  <c r="AX381" i="3"/>
  <c r="AW381" i="3"/>
  <c r="AV381" i="3"/>
  <c r="AC381" i="3"/>
  <c r="H381" i="3"/>
  <c r="BT380" i="3"/>
  <c r="BS380" i="3"/>
  <c r="BR380" i="3"/>
  <c r="BQ380" i="3"/>
  <c r="BK380" i="3"/>
  <c r="BJ380" i="3"/>
  <c r="BI380" i="3"/>
  <c r="BH380" i="3"/>
  <c r="BG380" i="3"/>
  <c r="BF380" i="3"/>
  <c r="BE380" i="3"/>
  <c r="BD380" i="3"/>
  <c r="BC380" i="3"/>
  <c r="BB380" i="3"/>
  <c r="AX380" i="3"/>
  <c r="AW380" i="3"/>
  <c r="AV380" i="3"/>
  <c r="AC380" i="3"/>
  <c r="H380" i="3"/>
  <c r="G380" i="3"/>
  <c r="BT379" i="3"/>
  <c r="BS379" i="3"/>
  <c r="BR379" i="3"/>
  <c r="BQ379" i="3"/>
  <c r="BK379" i="3"/>
  <c r="BJ379" i="3"/>
  <c r="BI379" i="3"/>
  <c r="BH379" i="3"/>
  <c r="BG379" i="3"/>
  <c r="BF379" i="3"/>
  <c r="BE379" i="3"/>
  <c r="BD379" i="3"/>
  <c r="BC379" i="3"/>
  <c r="BB379" i="3"/>
  <c r="AX379" i="3"/>
  <c r="AW379" i="3"/>
  <c r="AV379" i="3"/>
  <c r="AC379" i="3"/>
  <c r="H379" i="3"/>
  <c r="BT378" i="3"/>
  <c r="BS378" i="3"/>
  <c r="BR378" i="3"/>
  <c r="BQ378" i="3"/>
  <c r="BK378" i="3"/>
  <c r="BJ378" i="3"/>
  <c r="BI378" i="3"/>
  <c r="BH378" i="3"/>
  <c r="BG378" i="3"/>
  <c r="BF378" i="3"/>
  <c r="BE378" i="3"/>
  <c r="BD378" i="3"/>
  <c r="BC378" i="3"/>
  <c r="BB378" i="3"/>
  <c r="AX378" i="3"/>
  <c r="AW378" i="3"/>
  <c r="AV378" i="3"/>
  <c r="AC378" i="3"/>
  <c r="H378" i="3"/>
  <c r="G378" i="3"/>
  <c r="BT377" i="3"/>
  <c r="BS377" i="3"/>
  <c r="BR377" i="3"/>
  <c r="BQ377" i="3"/>
  <c r="BK377" i="3"/>
  <c r="BJ377" i="3"/>
  <c r="BI377" i="3"/>
  <c r="BH377" i="3"/>
  <c r="BG377" i="3"/>
  <c r="BF377" i="3"/>
  <c r="BE377" i="3"/>
  <c r="BD377" i="3"/>
  <c r="BC377" i="3"/>
  <c r="BB377" i="3"/>
  <c r="AX377" i="3"/>
  <c r="AW377" i="3"/>
  <c r="AV377" i="3"/>
  <c r="AC377" i="3"/>
  <c r="H377" i="3"/>
  <c r="BT376" i="3"/>
  <c r="BS376" i="3"/>
  <c r="BR376" i="3"/>
  <c r="BQ376" i="3"/>
  <c r="BK376" i="3"/>
  <c r="BJ376" i="3"/>
  <c r="BI376" i="3"/>
  <c r="BH376" i="3"/>
  <c r="BG376" i="3"/>
  <c r="BF376" i="3"/>
  <c r="BE376" i="3"/>
  <c r="BD376" i="3"/>
  <c r="BC376" i="3"/>
  <c r="BB376" i="3"/>
  <c r="AX376" i="3"/>
  <c r="AW376" i="3"/>
  <c r="AV376" i="3"/>
  <c r="AC376" i="3"/>
  <c r="H376" i="3"/>
  <c r="BT375" i="3"/>
  <c r="BS375" i="3"/>
  <c r="BR375" i="3"/>
  <c r="BQ375" i="3"/>
  <c r="BK375" i="3"/>
  <c r="BJ375" i="3"/>
  <c r="BI375" i="3"/>
  <c r="BH375" i="3"/>
  <c r="BG375" i="3"/>
  <c r="BF375" i="3"/>
  <c r="BE375" i="3"/>
  <c r="BD375" i="3"/>
  <c r="BC375" i="3"/>
  <c r="BB375" i="3"/>
  <c r="AX375" i="3"/>
  <c r="AW375" i="3"/>
  <c r="AV375" i="3"/>
  <c r="AC375" i="3"/>
  <c r="H375" i="3"/>
  <c r="BT374" i="3"/>
  <c r="BS374" i="3"/>
  <c r="BR374" i="3"/>
  <c r="BQ374" i="3"/>
  <c r="BK374" i="3"/>
  <c r="BJ374" i="3"/>
  <c r="BI374" i="3"/>
  <c r="BH374" i="3"/>
  <c r="BG374" i="3"/>
  <c r="BF374" i="3"/>
  <c r="BE374" i="3"/>
  <c r="BD374" i="3"/>
  <c r="BC374" i="3"/>
  <c r="BB374" i="3"/>
  <c r="BA374" i="3"/>
  <c r="AX374" i="3"/>
  <c r="AW374" i="3"/>
  <c r="AV374" i="3"/>
  <c r="AC374" i="3"/>
  <c r="H374" i="3"/>
  <c r="BT373" i="3"/>
  <c r="BS373" i="3"/>
  <c r="BR373" i="3"/>
  <c r="BQ373" i="3"/>
  <c r="BK373" i="3"/>
  <c r="BJ373" i="3"/>
  <c r="BI373" i="3"/>
  <c r="BH373" i="3"/>
  <c r="BG373" i="3"/>
  <c r="BF373" i="3"/>
  <c r="BE373" i="3"/>
  <c r="BD373" i="3"/>
  <c r="BC373" i="3"/>
  <c r="BB373" i="3"/>
  <c r="AX373" i="3"/>
  <c r="AW373" i="3"/>
  <c r="AV373" i="3"/>
  <c r="AC373" i="3"/>
  <c r="H373" i="3"/>
  <c r="BT372" i="3"/>
  <c r="BS372" i="3"/>
  <c r="BR372" i="3"/>
  <c r="BQ372" i="3"/>
  <c r="BK372" i="3"/>
  <c r="BJ372" i="3"/>
  <c r="BI372" i="3"/>
  <c r="BH372" i="3"/>
  <c r="BG372" i="3"/>
  <c r="BF372" i="3"/>
  <c r="BE372" i="3"/>
  <c r="BD372" i="3"/>
  <c r="BC372" i="3"/>
  <c r="BB372" i="3"/>
  <c r="AX372" i="3"/>
  <c r="AW372" i="3"/>
  <c r="AV372" i="3"/>
  <c r="AC372" i="3"/>
  <c r="H372" i="3"/>
  <c r="BT371" i="3"/>
  <c r="BS371" i="3"/>
  <c r="BR371" i="3"/>
  <c r="BQ371" i="3"/>
  <c r="BK371" i="3"/>
  <c r="BJ371" i="3"/>
  <c r="BI371" i="3"/>
  <c r="BH371" i="3"/>
  <c r="BG371" i="3"/>
  <c r="BF371" i="3"/>
  <c r="BE371" i="3"/>
  <c r="BD371" i="3"/>
  <c r="BC371" i="3"/>
  <c r="BB371" i="3"/>
  <c r="AX371" i="3"/>
  <c r="AW371" i="3"/>
  <c r="AV371" i="3"/>
  <c r="AC371" i="3"/>
  <c r="H371" i="3"/>
  <c r="BT370" i="3"/>
  <c r="BS370" i="3"/>
  <c r="BR370" i="3"/>
  <c r="BQ370" i="3"/>
  <c r="BK370" i="3"/>
  <c r="BJ370" i="3"/>
  <c r="BI370" i="3"/>
  <c r="BH370" i="3"/>
  <c r="BG370" i="3"/>
  <c r="BF370" i="3"/>
  <c r="BE370" i="3"/>
  <c r="BD370" i="3"/>
  <c r="BC370" i="3"/>
  <c r="BB370" i="3"/>
  <c r="BA370" i="3"/>
  <c r="AX370" i="3"/>
  <c r="AW370" i="3"/>
  <c r="AV370" i="3"/>
  <c r="AC370" i="3"/>
  <c r="H370" i="3"/>
  <c r="BT369" i="3"/>
  <c r="BS369" i="3"/>
  <c r="BR369" i="3"/>
  <c r="BQ369" i="3"/>
  <c r="BK369" i="3"/>
  <c r="BJ369" i="3"/>
  <c r="BI369" i="3"/>
  <c r="BH369" i="3"/>
  <c r="BG369" i="3"/>
  <c r="BF369" i="3"/>
  <c r="BE369" i="3"/>
  <c r="BD369" i="3"/>
  <c r="BC369" i="3"/>
  <c r="BB369" i="3"/>
  <c r="AX369" i="3"/>
  <c r="AW369" i="3"/>
  <c r="AV369" i="3"/>
  <c r="AC369" i="3"/>
  <c r="H369" i="3"/>
  <c r="G369" i="3"/>
  <c r="BT368" i="3"/>
  <c r="BS368" i="3"/>
  <c r="BR368" i="3"/>
  <c r="BQ368" i="3"/>
  <c r="BK368" i="3"/>
  <c r="BJ368" i="3"/>
  <c r="BI368" i="3"/>
  <c r="BH368" i="3"/>
  <c r="BG368" i="3"/>
  <c r="BF368" i="3"/>
  <c r="BE368" i="3"/>
  <c r="BD368" i="3"/>
  <c r="BC368" i="3"/>
  <c r="BB368" i="3"/>
  <c r="BA368" i="3"/>
  <c r="AX368" i="3"/>
  <c r="AW368" i="3"/>
  <c r="AV368" i="3"/>
  <c r="AC368" i="3"/>
  <c r="H368" i="3"/>
  <c r="BT367" i="3"/>
  <c r="BS367" i="3"/>
  <c r="BR367" i="3"/>
  <c r="BQ367" i="3"/>
  <c r="BL367" i="3"/>
  <c r="BK367" i="3"/>
  <c r="BJ367" i="3"/>
  <c r="BI367" i="3"/>
  <c r="BH367" i="3"/>
  <c r="BG367" i="3"/>
  <c r="BF367" i="3"/>
  <c r="BE367" i="3"/>
  <c r="BD367" i="3"/>
  <c r="BC367" i="3"/>
  <c r="BB367" i="3"/>
  <c r="BA367" i="3"/>
  <c r="AZ367" i="3"/>
  <c r="AX367" i="3"/>
  <c r="AW367" i="3"/>
  <c r="AV367" i="3"/>
  <c r="AC367" i="3"/>
  <c r="H367" i="3"/>
  <c r="BT366" i="3"/>
  <c r="BS366" i="3"/>
  <c r="BR366" i="3"/>
  <c r="BQ366" i="3"/>
  <c r="BK366" i="3"/>
  <c r="BJ366" i="3"/>
  <c r="BI366" i="3"/>
  <c r="BH366" i="3"/>
  <c r="BG366" i="3"/>
  <c r="BF366" i="3"/>
  <c r="BE366" i="3"/>
  <c r="BD366" i="3"/>
  <c r="BC366" i="3"/>
  <c r="BB366" i="3"/>
  <c r="BA366" i="3"/>
  <c r="AX366" i="3"/>
  <c r="AW366" i="3"/>
  <c r="AV366" i="3"/>
  <c r="AC366" i="3"/>
  <c r="H366" i="3"/>
  <c r="G366" i="3"/>
  <c r="BT365" i="3"/>
  <c r="BS365" i="3"/>
  <c r="BR365" i="3"/>
  <c r="BQ365" i="3"/>
  <c r="BL365" i="3"/>
  <c r="BK365" i="3"/>
  <c r="BJ365" i="3"/>
  <c r="BI365" i="3"/>
  <c r="BH365" i="3"/>
  <c r="BG365" i="3"/>
  <c r="BF365" i="3"/>
  <c r="BE365" i="3"/>
  <c r="BD365" i="3"/>
  <c r="BC365" i="3"/>
  <c r="BB365" i="3"/>
  <c r="AX365" i="3"/>
  <c r="AW365" i="3"/>
  <c r="AV365" i="3"/>
  <c r="AC365" i="3"/>
  <c r="H365" i="3"/>
  <c r="BT364" i="3"/>
  <c r="BS364" i="3"/>
  <c r="BR364" i="3"/>
  <c r="BQ364" i="3"/>
  <c r="BK364" i="3"/>
  <c r="BJ364" i="3"/>
  <c r="BI364" i="3"/>
  <c r="BH364" i="3"/>
  <c r="BG364" i="3"/>
  <c r="BF364" i="3"/>
  <c r="BE364" i="3"/>
  <c r="BD364" i="3"/>
  <c r="BC364" i="3"/>
  <c r="BB364" i="3"/>
  <c r="AX364" i="3"/>
  <c r="AW364" i="3"/>
  <c r="AV364" i="3"/>
  <c r="AC364" i="3"/>
  <c r="H364" i="3"/>
  <c r="G364" i="3"/>
  <c r="BT363" i="3"/>
  <c r="BS363" i="3"/>
  <c r="BR363" i="3"/>
  <c r="BQ363" i="3"/>
  <c r="BK363" i="3"/>
  <c r="BJ363" i="3"/>
  <c r="BI363" i="3"/>
  <c r="BH363" i="3"/>
  <c r="BG363" i="3"/>
  <c r="BF363" i="3"/>
  <c r="BE363" i="3"/>
  <c r="BD363" i="3"/>
  <c r="BC363" i="3"/>
  <c r="BB363" i="3"/>
  <c r="AX363" i="3"/>
  <c r="AW363" i="3"/>
  <c r="AV363" i="3"/>
  <c r="AC363" i="3"/>
  <c r="H363" i="3"/>
  <c r="BT362" i="3"/>
  <c r="BS362" i="3"/>
  <c r="BR362" i="3"/>
  <c r="BQ362" i="3"/>
  <c r="BK362" i="3"/>
  <c r="BJ362" i="3"/>
  <c r="BI362" i="3"/>
  <c r="BH362" i="3"/>
  <c r="BG362" i="3"/>
  <c r="BF362" i="3"/>
  <c r="BE362" i="3"/>
  <c r="BD362" i="3"/>
  <c r="BC362" i="3"/>
  <c r="BB362" i="3"/>
  <c r="AX362" i="3"/>
  <c r="AW362" i="3"/>
  <c r="AV362" i="3"/>
  <c r="AC362" i="3"/>
  <c r="H362" i="3"/>
  <c r="G362" i="3"/>
  <c r="BT361" i="3"/>
  <c r="BS361" i="3"/>
  <c r="BR361" i="3"/>
  <c r="BQ361" i="3"/>
  <c r="BK361" i="3"/>
  <c r="BJ361" i="3"/>
  <c r="BI361" i="3"/>
  <c r="BH361" i="3"/>
  <c r="BG361" i="3"/>
  <c r="BF361" i="3"/>
  <c r="BE361" i="3"/>
  <c r="BD361" i="3"/>
  <c r="BC361" i="3"/>
  <c r="BB361" i="3"/>
  <c r="AX361" i="3"/>
  <c r="AW361" i="3"/>
  <c r="AV361" i="3"/>
  <c r="AC361" i="3"/>
  <c r="H361" i="3"/>
  <c r="BT360" i="3"/>
  <c r="BS360" i="3"/>
  <c r="BR360" i="3"/>
  <c r="BQ360" i="3"/>
  <c r="BK360" i="3"/>
  <c r="BJ360" i="3"/>
  <c r="BI360" i="3"/>
  <c r="BH360" i="3"/>
  <c r="BG360" i="3"/>
  <c r="BF360" i="3"/>
  <c r="BE360" i="3"/>
  <c r="BD360" i="3"/>
  <c r="BC360" i="3"/>
  <c r="BB360" i="3"/>
  <c r="AX360" i="3"/>
  <c r="AW360" i="3"/>
  <c r="AV360" i="3"/>
  <c r="AC360" i="3"/>
  <c r="H360" i="3"/>
  <c r="BT359" i="3"/>
  <c r="BS359" i="3"/>
  <c r="BR359" i="3"/>
  <c r="BQ359" i="3"/>
  <c r="BL359" i="3"/>
  <c r="BK359" i="3"/>
  <c r="BJ359" i="3"/>
  <c r="BI359" i="3"/>
  <c r="BH359" i="3"/>
  <c r="BG359" i="3"/>
  <c r="BF359" i="3"/>
  <c r="BE359" i="3"/>
  <c r="BD359" i="3"/>
  <c r="BC359" i="3"/>
  <c r="BB359" i="3"/>
  <c r="AX359" i="3"/>
  <c r="AW359" i="3"/>
  <c r="AV359" i="3"/>
  <c r="AC359" i="3"/>
  <c r="H359" i="3"/>
  <c r="BT358" i="3"/>
  <c r="BS358" i="3"/>
  <c r="BR358" i="3"/>
  <c r="BQ358" i="3"/>
  <c r="BK358" i="3"/>
  <c r="BJ358" i="3"/>
  <c r="BI358" i="3"/>
  <c r="BH358" i="3"/>
  <c r="BG358" i="3"/>
  <c r="BF358" i="3"/>
  <c r="BE358" i="3"/>
  <c r="BD358" i="3"/>
  <c r="BC358" i="3"/>
  <c r="BB358" i="3"/>
  <c r="AX358" i="3"/>
  <c r="AW358" i="3"/>
  <c r="AV358" i="3"/>
  <c r="AC358" i="3"/>
  <c r="H358" i="3"/>
  <c r="G358" i="3"/>
  <c r="BT357" i="3"/>
  <c r="BS357" i="3"/>
  <c r="BR357" i="3"/>
  <c r="BQ357" i="3"/>
  <c r="BK357" i="3"/>
  <c r="BJ357" i="3"/>
  <c r="BI357" i="3"/>
  <c r="BH357" i="3"/>
  <c r="BG357" i="3"/>
  <c r="BF357" i="3"/>
  <c r="BE357" i="3"/>
  <c r="BD357" i="3"/>
  <c r="BC357" i="3"/>
  <c r="BB357" i="3"/>
  <c r="AX357" i="3"/>
  <c r="AW357" i="3"/>
  <c r="AV357" i="3"/>
  <c r="AC357" i="3"/>
  <c r="H357" i="3"/>
  <c r="BT356" i="3"/>
  <c r="BS356" i="3"/>
  <c r="BR356" i="3"/>
  <c r="BQ356" i="3"/>
  <c r="BK356" i="3"/>
  <c r="BJ356" i="3"/>
  <c r="BI356" i="3"/>
  <c r="BH356" i="3"/>
  <c r="BG356" i="3"/>
  <c r="BF356" i="3"/>
  <c r="BE356" i="3"/>
  <c r="BD356" i="3"/>
  <c r="BC356" i="3"/>
  <c r="BB356" i="3"/>
  <c r="AX356" i="3"/>
  <c r="AW356" i="3"/>
  <c r="AV356" i="3"/>
  <c r="AC356" i="3"/>
  <c r="H356" i="3"/>
  <c r="BT355" i="3"/>
  <c r="BS355" i="3"/>
  <c r="BR355" i="3"/>
  <c r="BQ355" i="3"/>
  <c r="BK355" i="3"/>
  <c r="BJ355" i="3"/>
  <c r="BI355" i="3"/>
  <c r="BH355" i="3"/>
  <c r="BG355" i="3"/>
  <c r="BF355" i="3"/>
  <c r="BE355" i="3"/>
  <c r="BD355" i="3"/>
  <c r="BC355" i="3"/>
  <c r="BB355" i="3"/>
  <c r="AX355" i="3"/>
  <c r="AW355" i="3"/>
  <c r="AV355" i="3"/>
  <c r="AC355" i="3"/>
  <c r="H355" i="3"/>
  <c r="BT354" i="3"/>
  <c r="BS354" i="3"/>
  <c r="BR354" i="3"/>
  <c r="BQ354" i="3"/>
  <c r="BK354" i="3"/>
  <c r="BJ354" i="3"/>
  <c r="BI354" i="3"/>
  <c r="BH354" i="3"/>
  <c r="BG354" i="3"/>
  <c r="BF354" i="3"/>
  <c r="BE354" i="3"/>
  <c r="BD354" i="3"/>
  <c r="BC354" i="3"/>
  <c r="BB354" i="3"/>
  <c r="BA354" i="3"/>
  <c r="AX354" i="3"/>
  <c r="AW354" i="3"/>
  <c r="AV354" i="3"/>
  <c r="AC354" i="3"/>
  <c r="H354" i="3"/>
  <c r="BT353" i="3"/>
  <c r="BS353" i="3"/>
  <c r="BR353" i="3"/>
  <c r="BQ353" i="3"/>
  <c r="BL353" i="3"/>
  <c r="BK353" i="3"/>
  <c r="BJ353" i="3"/>
  <c r="BI353" i="3"/>
  <c r="BH353" i="3"/>
  <c r="BG353" i="3"/>
  <c r="BF353" i="3"/>
  <c r="BE353" i="3"/>
  <c r="BD353" i="3"/>
  <c r="BC353" i="3"/>
  <c r="BB353" i="3"/>
  <c r="BA353" i="3"/>
  <c r="AX353" i="3"/>
  <c r="AW353" i="3"/>
  <c r="AV353" i="3"/>
  <c r="AC353" i="3"/>
  <c r="H353" i="3"/>
  <c r="BT352" i="3"/>
  <c r="BS352" i="3"/>
  <c r="BR352" i="3"/>
  <c r="BQ352" i="3"/>
  <c r="BK352" i="3"/>
  <c r="BJ352" i="3"/>
  <c r="BI352" i="3"/>
  <c r="BH352" i="3"/>
  <c r="BG352" i="3"/>
  <c r="BF352" i="3"/>
  <c r="BE352" i="3"/>
  <c r="BD352" i="3"/>
  <c r="BC352" i="3"/>
  <c r="BB352" i="3"/>
  <c r="AX352" i="3"/>
  <c r="AW352" i="3"/>
  <c r="AV352" i="3"/>
  <c r="AC352" i="3"/>
  <c r="H352" i="3"/>
  <c r="BT351" i="3"/>
  <c r="BS351" i="3"/>
  <c r="BR351" i="3"/>
  <c r="BQ351" i="3"/>
  <c r="BK351" i="3"/>
  <c r="BJ351" i="3"/>
  <c r="BI351" i="3"/>
  <c r="BH351" i="3"/>
  <c r="BG351" i="3"/>
  <c r="BF351" i="3"/>
  <c r="BE351" i="3"/>
  <c r="BD351" i="3"/>
  <c r="BC351" i="3"/>
  <c r="BB351" i="3"/>
  <c r="AX351" i="3"/>
  <c r="AW351" i="3"/>
  <c r="AV351" i="3"/>
  <c r="AC351" i="3"/>
  <c r="H351" i="3"/>
  <c r="G351" i="3"/>
  <c r="BT350" i="3"/>
  <c r="BS350" i="3"/>
  <c r="BR350" i="3"/>
  <c r="BQ350" i="3"/>
  <c r="BL350" i="3"/>
  <c r="BK350" i="3"/>
  <c r="BJ350" i="3"/>
  <c r="BI350" i="3"/>
  <c r="BH350" i="3"/>
  <c r="BG350" i="3"/>
  <c r="BF350" i="3"/>
  <c r="BE350" i="3"/>
  <c r="BD350" i="3"/>
  <c r="BC350" i="3"/>
  <c r="BB350" i="3"/>
  <c r="BA350" i="3"/>
  <c r="AX350" i="3"/>
  <c r="AW350" i="3"/>
  <c r="AV350" i="3"/>
  <c r="AC350" i="3"/>
  <c r="H350" i="3"/>
  <c r="BT349" i="3"/>
  <c r="BS349" i="3"/>
  <c r="BR349" i="3"/>
  <c r="BQ349" i="3"/>
  <c r="BK349" i="3"/>
  <c r="BJ349" i="3"/>
  <c r="BI349" i="3"/>
  <c r="BH349" i="3"/>
  <c r="BG349" i="3"/>
  <c r="BF349" i="3"/>
  <c r="BE349" i="3"/>
  <c r="BD349" i="3"/>
  <c r="BC349" i="3"/>
  <c r="BB349" i="3"/>
  <c r="BA349" i="3"/>
  <c r="AX349" i="3"/>
  <c r="AW349" i="3"/>
  <c r="AV349" i="3"/>
  <c r="AC349" i="3"/>
  <c r="H349" i="3"/>
  <c r="G349" i="3"/>
  <c r="BT348" i="3"/>
  <c r="BS348" i="3"/>
  <c r="BR348" i="3"/>
  <c r="BQ348" i="3"/>
  <c r="BK348" i="3"/>
  <c r="BJ348" i="3"/>
  <c r="BI348" i="3"/>
  <c r="BH348" i="3"/>
  <c r="BG348" i="3"/>
  <c r="BF348" i="3"/>
  <c r="BE348" i="3"/>
  <c r="BD348" i="3"/>
  <c r="BC348" i="3"/>
  <c r="BB348" i="3"/>
  <c r="BA348" i="3"/>
  <c r="AX348" i="3"/>
  <c r="AW348" i="3"/>
  <c r="AV348" i="3"/>
  <c r="AC348" i="3"/>
  <c r="H348" i="3"/>
  <c r="BT347" i="3"/>
  <c r="BS347" i="3"/>
  <c r="BR347" i="3"/>
  <c r="BQ347" i="3"/>
  <c r="BK347" i="3"/>
  <c r="BJ347" i="3"/>
  <c r="BI347" i="3"/>
  <c r="BH347" i="3"/>
  <c r="BG347" i="3"/>
  <c r="BF347" i="3"/>
  <c r="BE347" i="3"/>
  <c r="BD347" i="3"/>
  <c r="BC347" i="3"/>
  <c r="BB347" i="3"/>
  <c r="AX347" i="3"/>
  <c r="AW347" i="3"/>
  <c r="AV347" i="3"/>
  <c r="AC347" i="3"/>
  <c r="H347" i="3"/>
  <c r="G347" i="3"/>
  <c r="BT346" i="3"/>
  <c r="BS346" i="3"/>
  <c r="BR346" i="3"/>
  <c r="BQ346" i="3"/>
  <c r="BL346" i="3"/>
  <c r="BK346" i="3"/>
  <c r="BJ346" i="3"/>
  <c r="BI346" i="3"/>
  <c r="BH346" i="3"/>
  <c r="BG346" i="3"/>
  <c r="BF346" i="3"/>
  <c r="BE346" i="3"/>
  <c r="BD346" i="3"/>
  <c r="BC346" i="3"/>
  <c r="BB346" i="3"/>
  <c r="AX346" i="3"/>
  <c r="AW346" i="3"/>
  <c r="AV346" i="3"/>
  <c r="AC346" i="3"/>
  <c r="H346" i="3"/>
  <c r="BT345" i="3"/>
  <c r="BS345" i="3"/>
  <c r="BR345" i="3"/>
  <c r="BQ345" i="3"/>
  <c r="BK345" i="3"/>
  <c r="BJ345" i="3"/>
  <c r="BI345" i="3"/>
  <c r="BH345" i="3"/>
  <c r="BG345" i="3"/>
  <c r="BF345" i="3"/>
  <c r="BE345" i="3"/>
  <c r="BD345" i="3"/>
  <c r="BC345" i="3"/>
  <c r="BB345" i="3"/>
  <c r="AX345" i="3"/>
  <c r="AW345" i="3"/>
  <c r="AV345" i="3"/>
  <c r="AC345" i="3"/>
  <c r="H345" i="3"/>
  <c r="BT344" i="3"/>
  <c r="BS344" i="3"/>
  <c r="BR344" i="3"/>
  <c r="BQ344" i="3"/>
  <c r="BK344" i="3"/>
  <c r="BJ344" i="3"/>
  <c r="BI344" i="3"/>
  <c r="BH344" i="3"/>
  <c r="BG344" i="3"/>
  <c r="BF344" i="3"/>
  <c r="BE344" i="3"/>
  <c r="BD344" i="3"/>
  <c r="BC344" i="3"/>
  <c r="BB344" i="3"/>
  <c r="AX344" i="3"/>
  <c r="AW344" i="3"/>
  <c r="AV344" i="3"/>
  <c r="AC344" i="3"/>
  <c r="H344" i="3"/>
  <c r="BT343" i="3"/>
  <c r="BS343" i="3"/>
  <c r="BR343" i="3"/>
  <c r="BQ343" i="3"/>
  <c r="BK343" i="3"/>
  <c r="BJ343" i="3"/>
  <c r="BI343" i="3"/>
  <c r="BH343" i="3"/>
  <c r="BG343" i="3"/>
  <c r="BF343" i="3"/>
  <c r="BE343" i="3"/>
  <c r="BD343" i="3"/>
  <c r="BC343" i="3"/>
  <c r="BB343" i="3"/>
  <c r="AX343" i="3"/>
  <c r="AW343" i="3"/>
  <c r="AV343" i="3"/>
  <c r="AC343" i="3"/>
  <c r="H343" i="3"/>
  <c r="G343" i="3"/>
  <c r="BT342" i="3"/>
  <c r="BS342" i="3"/>
  <c r="BR342" i="3"/>
  <c r="BQ342" i="3"/>
  <c r="BK342" i="3"/>
  <c r="BJ342" i="3"/>
  <c r="BI342" i="3"/>
  <c r="BH342" i="3"/>
  <c r="BG342" i="3"/>
  <c r="BF342" i="3"/>
  <c r="BE342" i="3"/>
  <c r="BD342" i="3"/>
  <c r="BC342" i="3"/>
  <c r="BB342" i="3"/>
  <c r="AX342" i="3"/>
  <c r="AW342" i="3"/>
  <c r="AV342" i="3"/>
  <c r="AC342" i="3"/>
  <c r="H342" i="3"/>
  <c r="BT341" i="3"/>
  <c r="BS341" i="3"/>
  <c r="BR341" i="3"/>
  <c r="BQ341" i="3"/>
  <c r="BK341" i="3"/>
  <c r="BJ341" i="3"/>
  <c r="BI341" i="3"/>
  <c r="BH341" i="3"/>
  <c r="BG341" i="3"/>
  <c r="BF341" i="3"/>
  <c r="BE341" i="3"/>
  <c r="BD341" i="3"/>
  <c r="BC341" i="3"/>
  <c r="BB341" i="3"/>
  <c r="AX341" i="3"/>
  <c r="AW341" i="3"/>
  <c r="AV341" i="3"/>
  <c r="AC341" i="3"/>
  <c r="H341" i="3"/>
  <c r="BT340" i="3"/>
  <c r="BS340" i="3"/>
  <c r="BR340" i="3"/>
  <c r="BQ340" i="3"/>
  <c r="BL340" i="3"/>
  <c r="BK340" i="3"/>
  <c r="BJ340" i="3"/>
  <c r="BI340" i="3"/>
  <c r="BH340" i="3"/>
  <c r="BG340" i="3"/>
  <c r="BF340" i="3"/>
  <c r="BE340" i="3"/>
  <c r="BD340" i="3"/>
  <c r="BC340" i="3"/>
  <c r="BB340" i="3"/>
  <c r="AX340" i="3"/>
  <c r="AW340" i="3"/>
  <c r="AV340" i="3"/>
  <c r="AC340" i="3"/>
  <c r="H340" i="3"/>
  <c r="BT339" i="3"/>
  <c r="BS339" i="3"/>
  <c r="BR339" i="3"/>
  <c r="BQ339" i="3"/>
  <c r="BK339" i="3"/>
  <c r="BJ339" i="3"/>
  <c r="BI339" i="3"/>
  <c r="BH339" i="3"/>
  <c r="BG339" i="3"/>
  <c r="BF339" i="3"/>
  <c r="BE339" i="3"/>
  <c r="BD339" i="3"/>
  <c r="BC339" i="3"/>
  <c r="BB339" i="3"/>
  <c r="AX339" i="3"/>
  <c r="AW339" i="3"/>
  <c r="AV339" i="3"/>
  <c r="AC339" i="3"/>
  <c r="H339" i="3"/>
  <c r="G339" i="3"/>
  <c r="BT338" i="3"/>
  <c r="BS338" i="3"/>
  <c r="BR338" i="3"/>
  <c r="BQ338" i="3"/>
  <c r="BK338" i="3"/>
  <c r="BJ338" i="3"/>
  <c r="BI338" i="3"/>
  <c r="BH338" i="3"/>
  <c r="BG338" i="3"/>
  <c r="BF338" i="3"/>
  <c r="BE338" i="3"/>
  <c r="BD338" i="3"/>
  <c r="BC338" i="3"/>
  <c r="BB338" i="3"/>
  <c r="AX338" i="3"/>
  <c r="AW338" i="3"/>
  <c r="AV338" i="3"/>
  <c r="AC338" i="3"/>
  <c r="H338" i="3"/>
  <c r="BT337" i="3"/>
  <c r="BS337" i="3"/>
  <c r="BR337" i="3"/>
  <c r="BQ337" i="3"/>
  <c r="BK337" i="3"/>
  <c r="BJ337" i="3"/>
  <c r="BI337" i="3"/>
  <c r="BH337" i="3"/>
  <c r="BG337" i="3"/>
  <c r="BF337" i="3"/>
  <c r="BE337" i="3"/>
  <c r="BD337" i="3"/>
  <c r="BC337" i="3"/>
  <c r="BB337" i="3"/>
  <c r="AX337" i="3"/>
  <c r="AW337" i="3"/>
  <c r="AV337" i="3"/>
  <c r="AC337" i="3"/>
  <c r="H337" i="3"/>
  <c r="BT336" i="3"/>
  <c r="BS336" i="3"/>
  <c r="BR336" i="3"/>
  <c r="BQ336" i="3"/>
  <c r="BK336" i="3"/>
  <c r="BJ336" i="3"/>
  <c r="BI336" i="3"/>
  <c r="BH336" i="3"/>
  <c r="BG336" i="3"/>
  <c r="BF336" i="3"/>
  <c r="BE336" i="3"/>
  <c r="BD336" i="3"/>
  <c r="BC336" i="3"/>
  <c r="BB336" i="3"/>
  <c r="AX336" i="3"/>
  <c r="AW336" i="3"/>
  <c r="AV336" i="3"/>
  <c r="AC336" i="3"/>
  <c r="H336" i="3"/>
  <c r="BT335" i="3"/>
  <c r="BS335" i="3"/>
  <c r="BR335" i="3"/>
  <c r="BQ335" i="3"/>
  <c r="BK335" i="3"/>
  <c r="BJ335" i="3"/>
  <c r="BI335" i="3"/>
  <c r="BH335" i="3"/>
  <c r="BG335" i="3"/>
  <c r="BF335" i="3"/>
  <c r="BE335" i="3"/>
  <c r="BD335" i="3"/>
  <c r="BC335" i="3"/>
  <c r="BB335" i="3"/>
  <c r="AX335" i="3"/>
  <c r="AW335" i="3"/>
  <c r="AV335" i="3"/>
  <c r="AC335" i="3"/>
  <c r="H335" i="3"/>
  <c r="BT334" i="3"/>
  <c r="BS334" i="3"/>
  <c r="BR334" i="3"/>
  <c r="BQ334" i="3"/>
  <c r="BK334" i="3"/>
  <c r="BJ334" i="3"/>
  <c r="BI334" i="3"/>
  <c r="BH334" i="3"/>
  <c r="BG334" i="3"/>
  <c r="BF334" i="3"/>
  <c r="BE334" i="3"/>
  <c r="BD334" i="3"/>
  <c r="BC334" i="3"/>
  <c r="BB334" i="3"/>
  <c r="AX334" i="3"/>
  <c r="AW334" i="3"/>
  <c r="AV334" i="3"/>
  <c r="AC334" i="3"/>
  <c r="H334" i="3"/>
  <c r="G334" i="3"/>
  <c r="BT333" i="3"/>
  <c r="BS333" i="3"/>
  <c r="BR333" i="3"/>
  <c r="BQ333" i="3"/>
  <c r="BL333" i="3"/>
  <c r="BK333" i="3"/>
  <c r="BJ333" i="3"/>
  <c r="BI333" i="3"/>
  <c r="BH333" i="3"/>
  <c r="BG333" i="3"/>
  <c r="BF333" i="3"/>
  <c r="BE333" i="3"/>
  <c r="BD333" i="3"/>
  <c r="BC333" i="3"/>
  <c r="BB333" i="3"/>
  <c r="BA333" i="3"/>
  <c r="AX333" i="3"/>
  <c r="AW333" i="3"/>
  <c r="AV333" i="3"/>
  <c r="AC333" i="3"/>
  <c r="H333" i="3"/>
  <c r="BT332" i="3"/>
  <c r="BS332" i="3"/>
  <c r="BR332" i="3"/>
  <c r="BQ332" i="3"/>
  <c r="BL332" i="3"/>
  <c r="BK332" i="3"/>
  <c r="BJ332" i="3"/>
  <c r="BI332" i="3"/>
  <c r="BH332" i="3"/>
  <c r="BG332" i="3"/>
  <c r="BF332" i="3"/>
  <c r="BE332" i="3"/>
  <c r="BD332" i="3"/>
  <c r="BC332" i="3"/>
  <c r="BB332" i="3"/>
  <c r="AX332" i="3"/>
  <c r="AW332" i="3"/>
  <c r="AV332" i="3"/>
  <c r="AC332" i="3"/>
  <c r="H332" i="3"/>
  <c r="BT331" i="3"/>
  <c r="BS331" i="3"/>
  <c r="BR331" i="3"/>
  <c r="BQ331" i="3"/>
  <c r="BK331" i="3"/>
  <c r="BJ331" i="3"/>
  <c r="BI331" i="3"/>
  <c r="BH331" i="3"/>
  <c r="BG331" i="3"/>
  <c r="BF331" i="3"/>
  <c r="BE331" i="3"/>
  <c r="BD331" i="3"/>
  <c r="BC331" i="3"/>
  <c r="BB331" i="3"/>
  <c r="BA331" i="3"/>
  <c r="AX331" i="3"/>
  <c r="AW331" i="3"/>
  <c r="AV331" i="3"/>
  <c r="AC331" i="3"/>
  <c r="H331" i="3"/>
  <c r="G331" i="3"/>
  <c r="BT330" i="3"/>
  <c r="BS330" i="3"/>
  <c r="BR330" i="3"/>
  <c r="BQ330" i="3"/>
  <c r="BK330" i="3"/>
  <c r="BJ330" i="3"/>
  <c r="BI330" i="3"/>
  <c r="BH330" i="3"/>
  <c r="BG330" i="3"/>
  <c r="BF330" i="3"/>
  <c r="BE330" i="3"/>
  <c r="BD330" i="3"/>
  <c r="BC330" i="3"/>
  <c r="BB330" i="3"/>
  <c r="AX330" i="3"/>
  <c r="AW330" i="3"/>
  <c r="AV330" i="3"/>
  <c r="AC330" i="3"/>
  <c r="H330" i="3"/>
  <c r="BT329" i="3"/>
  <c r="BS329" i="3"/>
  <c r="BR329" i="3"/>
  <c r="BQ329" i="3"/>
  <c r="BK329" i="3"/>
  <c r="BJ329" i="3"/>
  <c r="BI329" i="3"/>
  <c r="BH329" i="3"/>
  <c r="BG329" i="3"/>
  <c r="BF329" i="3"/>
  <c r="BE329" i="3"/>
  <c r="BD329" i="3"/>
  <c r="BC329" i="3"/>
  <c r="BB329" i="3"/>
  <c r="AX329" i="3"/>
  <c r="AW329" i="3"/>
  <c r="AV329" i="3"/>
  <c r="AC329" i="3"/>
  <c r="H329" i="3"/>
  <c r="G329" i="3"/>
  <c r="BT328" i="3"/>
  <c r="BS328" i="3"/>
  <c r="BR328" i="3"/>
  <c r="BQ328" i="3"/>
  <c r="BL328" i="3"/>
  <c r="BK328" i="3"/>
  <c r="BJ328" i="3"/>
  <c r="BI328" i="3"/>
  <c r="BH328" i="3"/>
  <c r="BG328" i="3"/>
  <c r="BF328" i="3"/>
  <c r="BE328" i="3"/>
  <c r="BD328" i="3"/>
  <c r="BC328" i="3"/>
  <c r="BB328" i="3"/>
  <c r="AX328" i="3"/>
  <c r="AW328" i="3"/>
  <c r="AV328" i="3"/>
  <c r="AC328" i="3"/>
  <c r="H328" i="3"/>
  <c r="BT327" i="3"/>
  <c r="BS327" i="3"/>
  <c r="BR327" i="3"/>
  <c r="BQ327" i="3"/>
  <c r="BK327" i="3"/>
  <c r="BJ327" i="3"/>
  <c r="BI327" i="3"/>
  <c r="BH327" i="3"/>
  <c r="BG327" i="3"/>
  <c r="BF327" i="3"/>
  <c r="BE327" i="3"/>
  <c r="BD327" i="3"/>
  <c r="BC327" i="3"/>
  <c r="BB327" i="3"/>
  <c r="AX327" i="3"/>
  <c r="AW327" i="3"/>
  <c r="AV327" i="3"/>
  <c r="AC327" i="3"/>
  <c r="H327" i="3"/>
  <c r="G327" i="3"/>
  <c r="BT326" i="3"/>
  <c r="BS326" i="3"/>
  <c r="BR326" i="3"/>
  <c r="BQ326" i="3"/>
  <c r="BK326" i="3"/>
  <c r="BJ326" i="3"/>
  <c r="BI326" i="3"/>
  <c r="BH326" i="3"/>
  <c r="BG326" i="3"/>
  <c r="BF326" i="3"/>
  <c r="BE326" i="3"/>
  <c r="BD326" i="3"/>
  <c r="BC326" i="3"/>
  <c r="BB326" i="3"/>
  <c r="AX326" i="3"/>
  <c r="AW326" i="3"/>
  <c r="AV326" i="3"/>
  <c r="AC326" i="3"/>
  <c r="H326" i="3"/>
  <c r="BT325" i="3"/>
  <c r="BS325" i="3"/>
  <c r="BR325" i="3"/>
  <c r="BQ325" i="3"/>
  <c r="BK325" i="3"/>
  <c r="BJ325" i="3"/>
  <c r="BI325" i="3"/>
  <c r="BH325" i="3"/>
  <c r="BG325" i="3"/>
  <c r="BF325" i="3"/>
  <c r="BE325" i="3"/>
  <c r="BD325" i="3"/>
  <c r="BC325" i="3"/>
  <c r="BB325" i="3"/>
  <c r="AX325" i="3"/>
  <c r="AW325" i="3"/>
  <c r="AV325" i="3"/>
  <c r="AC325" i="3"/>
  <c r="H325" i="3"/>
  <c r="BT324" i="3"/>
  <c r="BS324" i="3"/>
  <c r="BR324" i="3"/>
  <c r="BQ324" i="3"/>
  <c r="BL324" i="3"/>
  <c r="BK324" i="3"/>
  <c r="BJ324" i="3"/>
  <c r="BI324" i="3"/>
  <c r="BH324" i="3"/>
  <c r="BG324" i="3"/>
  <c r="BF324" i="3"/>
  <c r="BE324" i="3"/>
  <c r="BD324" i="3"/>
  <c r="BC324" i="3"/>
  <c r="BB324" i="3"/>
  <c r="AX324" i="3"/>
  <c r="AW324" i="3"/>
  <c r="AV324" i="3"/>
  <c r="AC324" i="3"/>
  <c r="H324" i="3"/>
  <c r="BT323" i="3"/>
  <c r="BS323" i="3"/>
  <c r="BR323" i="3"/>
  <c r="BQ323" i="3"/>
  <c r="BK323" i="3"/>
  <c r="BJ323" i="3"/>
  <c r="BI323" i="3"/>
  <c r="BH323" i="3"/>
  <c r="BG323" i="3"/>
  <c r="BF323" i="3"/>
  <c r="BE323" i="3"/>
  <c r="BD323" i="3"/>
  <c r="BC323" i="3"/>
  <c r="BB323" i="3"/>
  <c r="AX323" i="3"/>
  <c r="AW323" i="3"/>
  <c r="AV323" i="3"/>
  <c r="AC323" i="3"/>
  <c r="H323" i="3"/>
  <c r="G323" i="3"/>
  <c r="BT322" i="3"/>
  <c r="BS322" i="3"/>
  <c r="BR322" i="3"/>
  <c r="BQ322" i="3"/>
  <c r="BK322" i="3"/>
  <c r="BJ322" i="3"/>
  <c r="BI322" i="3"/>
  <c r="BH322" i="3"/>
  <c r="BG322" i="3"/>
  <c r="BF322" i="3"/>
  <c r="BE322" i="3"/>
  <c r="BD322" i="3"/>
  <c r="BC322" i="3"/>
  <c r="BB322" i="3"/>
  <c r="AX322" i="3"/>
  <c r="AW322" i="3"/>
  <c r="AV322" i="3"/>
  <c r="AC322" i="3"/>
  <c r="H322" i="3"/>
  <c r="BT321" i="3"/>
  <c r="BS321" i="3"/>
  <c r="BR321" i="3"/>
  <c r="BQ321" i="3"/>
  <c r="BK321" i="3"/>
  <c r="BJ321" i="3"/>
  <c r="BI321" i="3"/>
  <c r="BH321" i="3"/>
  <c r="BG321" i="3"/>
  <c r="BF321" i="3"/>
  <c r="BE321" i="3"/>
  <c r="BD321" i="3"/>
  <c r="BC321" i="3"/>
  <c r="BB321" i="3"/>
  <c r="AX321" i="3"/>
  <c r="AW321" i="3"/>
  <c r="AV321" i="3"/>
  <c r="AC321" i="3"/>
  <c r="H321" i="3"/>
  <c r="BT320" i="3"/>
  <c r="BS320" i="3"/>
  <c r="BR320" i="3"/>
  <c r="BQ320" i="3"/>
  <c r="BK320" i="3"/>
  <c r="BJ320" i="3"/>
  <c r="BI320" i="3"/>
  <c r="BH320" i="3"/>
  <c r="BG320" i="3"/>
  <c r="BF320" i="3"/>
  <c r="BE320" i="3"/>
  <c r="BD320" i="3"/>
  <c r="BC320" i="3"/>
  <c r="BB320" i="3"/>
  <c r="AX320" i="3"/>
  <c r="AW320" i="3"/>
  <c r="AV320" i="3"/>
  <c r="AC320" i="3"/>
  <c r="H320" i="3"/>
  <c r="BT319" i="3"/>
  <c r="BS319" i="3"/>
  <c r="BR319" i="3"/>
  <c r="BQ319" i="3"/>
  <c r="BK319" i="3"/>
  <c r="BJ319" i="3"/>
  <c r="BI319" i="3"/>
  <c r="BH319" i="3"/>
  <c r="BG319" i="3"/>
  <c r="BF319" i="3"/>
  <c r="BE319" i="3"/>
  <c r="BD319" i="3"/>
  <c r="BC319" i="3"/>
  <c r="BB319" i="3"/>
  <c r="AX319" i="3"/>
  <c r="AW319" i="3"/>
  <c r="AV319" i="3"/>
  <c r="AC319" i="3"/>
  <c r="H319" i="3"/>
  <c r="BT318" i="3"/>
  <c r="BS318" i="3"/>
  <c r="BR318" i="3"/>
  <c r="BQ318" i="3"/>
  <c r="BK318" i="3"/>
  <c r="BJ318" i="3"/>
  <c r="BI318" i="3"/>
  <c r="BH318" i="3"/>
  <c r="BG318" i="3"/>
  <c r="BF318" i="3"/>
  <c r="BE318" i="3"/>
  <c r="BD318" i="3"/>
  <c r="BC318" i="3"/>
  <c r="BB318" i="3"/>
  <c r="AX318" i="3"/>
  <c r="AW318" i="3"/>
  <c r="AV318" i="3"/>
  <c r="AC318" i="3"/>
  <c r="H318" i="3"/>
  <c r="G318" i="3"/>
  <c r="BT317" i="3"/>
  <c r="BS317" i="3"/>
  <c r="BR317" i="3"/>
  <c r="BQ317" i="3"/>
  <c r="BL317" i="3"/>
  <c r="BK317" i="3"/>
  <c r="BJ317" i="3"/>
  <c r="BI317" i="3"/>
  <c r="BH317" i="3"/>
  <c r="BG317" i="3"/>
  <c r="BF317" i="3"/>
  <c r="BE317" i="3"/>
  <c r="BD317" i="3"/>
  <c r="BC317" i="3"/>
  <c r="BB317" i="3"/>
  <c r="BA317" i="3"/>
  <c r="AX317" i="3"/>
  <c r="AW317" i="3"/>
  <c r="AV317" i="3"/>
  <c r="AC317" i="3"/>
  <c r="H317" i="3"/>
  <c r="BT316" i="3"/>
  <c r="BS316" i="3"/>
  <c r="BR316" i="3"/>
  <c r="BQ316" i="3"/>
  <c r="BL316" i="3"/>
  <c r="BK316" i="3"/>
  <c r="BJ316" i="3"/>
  <c r="BI316" i="3"/>
  <c r="BH316" i="3"/>
  <c r="BG316" i="3"/>
  <c r="BF316" i="3"/>
  <c r="BE316" i="3"/>
  <c r="BD316" i="3"/>
  <c r="BC316" i="3"/>
  <c r="BB316" i="3"/>
  <c r="AX316" i="3"/>
  <c r="AW316" i="3"/>
  <c r="AV316" i="3"/>
  <c r="AC316" i="3"/>
  <c r="H316" i="3"/>
  <c r="BT315" i="3"/>
  <c r="BS315" i="3"/>
  <c r="BR315" i="3"/>
  <c r="BQ315" i="3"/>
  <c r="BK315" i="3"/>
  <c r="BJ315" i="3"/>
  <c r="BI315" i="3"/>
  <c r="BH315" i="3"/>
  <c r="BG315" i="3"/>
  <c r="BF315" i="3"/>
  <c r="BE315" i="3"/>
  <c r="BD315" i="3"/>
  <c r="BC315" i="3"/>
  <c r="BB315" i="3"/>
  <c r="BA315" i="3"/>
  <c r="AX315" i="3"/>
  <c r="AW315" i="3"/>
  <c r="AV315" i="3"/>
  <c r="AC315" i="3"/>
  <c r="H315" i="3"/>
  <c r="G315" i="3"/>
  <c r="BT314" i="3"/>
  <c r="BS314" i="3"/>
  <c r="BR314" i="3"/>
  <c r="BQ314" i="3"/>
  <c r="BK314" i="3"/>
  <c r="BJ314" i="3"/>
  <c r="BI314" i="3"/>
  <c r="BH314" i="3"/>
  <c r="BG314" i="3"/>
  <c r="BF314" i="3"/>
  <c r="BE314" i="3"/>
  <c r="BD314" i="3"/>
  <c r="BC314" i="3"/>
  <c r="BB314" i="3"/>
  <c r="AX314" i="3"/>
  <c r="AW314" i="3"/>
  <c r="AV314" i="3"/>
  <c r="AC314" i="3"/>
  <c r="H314" i="3"/>
  <c r="BT313" i="3"/>
  <c r="BS313" i="3"/>
  <c r="BR313" i="3"/>
  <c r="BQ313" i="3"/>
  <c r="BK313" i="3"/>
  <c r="BJ313" i="3"/>
  <c r="BI313" i="3"/>
  <c r="BH313" i="3"/>
  <c r="BG313" i="3"/>
  <c r="BF313" i="3"/>
  <c r="BE313" i="3"/>
  <c r="BD313" i="3"/>
  <c r="BC313" i="3"/>
  <c r="BB313" i="3"/>
  <c r="AX313" i="3"/>
  <c r="AW313" i="3"/>
  <c r="AV313" i="3"/>
  <c r="AC313" i="3"/>
  <c r="H313" i="3"/>
  <c r="G313" i="3"/>
  <c r="BT312" i="3"/>
  <c r="BS312" i="3"/>
  <c r="BR312" i="3"/>
  <c r="BQ312" i="3"/>
  <c r="BL312" i="3"/>
  <c r="BK312" i="3"/>
  <c r="BJ312" i="3"/>
  <c r="BI312" i="3"/>
  <c r="BH312" i="3"/>
  <c r="BG312" i="3"/>
  <c r="BF312" i="3"/>
  <c r="BE312" i="3"/>
  <c r="BD312" i="3"/>
  <c r="BC312" i="3"/>
  <c r="BB312" i="3"/>
  <c r="AX312" i="3"/>
  <c r="AW312" i="3"/>
  <c r="AV312" i="3"/>
  <c r="AC312" i="3"/>
  <c r="H312" i="3"/>
  <c r="BT311" i="3"/>
  <c r="BS311" i="3"/>
  <c r="BR311" i="3"/>
  <c r="BQ311" i="3"/>
  <c r="BK311" i="3"/>
  <c r="BJ311" i="3"/>
  <c r="BI311" i="3"/>
  <c r="BH311" i="3"/>
  <c r="BG311" i="3"/>
  <c r="BF311" i="3"/>
  <c r="BE311" i="3"/>
  <c r="BD311" i="3"/>
  <c r="BC311" i="3"/>
  <c r="BB311" i="3"/>
  <c r="AX311" i="3"/>
  <c r="AW311" i="3"/>
  <c r="AV311" i="3"/>
  <c r="AC311" i="3"/>
  <c r="H311" i="3"/>
  <c r="G311" i="3"/>
  <c r="BT310" i="3"/>
  <c r="BS310" i="3"/>
  <c r="BR310" i="3"/>
  <c r="BQ310" i="3"/>
  <c r="BK310" i="3"/>
  <c r="BJ310" i="3"/>
  <c r="BI310" i="3"/>
  <c r="BH310" i="3"/>
  <c r="BG310" i="3"/>
  <c r="BF310" i="3"/>
  <c r="BE310" i="3"/>
  <c r="BD310" i="3"/>
  <c r="BC310" i="3"/>
  <c r="BB310" i="3"/>
  <c r="AX310" i="3"/>
  <c r="AW310" i="3"/>
  <c r="AV310" i="3"/>
  <c r="AC310" i="3"/>
  <c r="H310" i="3"/>
  <c r="BT309" i="3"/>
  <c r="BS309" i="3"/>
  <c r="BR309" i="3"/>
  <c r="BQ309" i="3"/>
  <c r="BK309" i="3"/>
  <c r="BJ309" i="3"/>
  <c r="BI309" i="3"/>
  <c r="BH309" i="3"/>
  <c r="BG309" i="3"/>
  <c r="BF309" i="3"/>
  <c r="BE309" i="3"/>
  <c r="BD309" i="3"/>
  <c r="BC309" i="3"/>
  <c r="BB309" i="3"/>
  <c r="AX309" i="3"/>
  <c r="AW309" i="3"/>
  <c r="AV309" i="3"/>
  <c r="AC309" i="3"/>
  <c r="H309" i="3"/>
  <c r="BT308" i="3"/>
  <c r="BS308" i="3"/>
  <c r="BR308" i="3"/>
  <c r="BQ308" i="3"/>
  <c r="BK308" i="3"/>
  <c r="BJ308" i="3"/>
  <c r="BI308" i="3"/>
  <c r="BH308" i="3"/>
  <c r="BG308" i="3"/>
  <c r="BF308" i="3"/>
  <c r="BE308" i="3"/>
  <c r="BD308" i="3"/>
  <c r="BC308" i="3"/>
  <c r="BB308" i="3"/>
  <c r="AX308" i="3"/>
  <c r="AW308" i="3"/>
  <c r="AV308" i="3"/>
  <c r="AC308" i="3"/>
  <c r="H308" i="3"/>
  <c r="BT307" i="3"/>
  <c r="BS307" i="3"/>
  <c r="BR307" i="3"/>
  <c r="BQ307" i="3"/>
  <c r="BK307" i="3"/>
  <c r="BJ307" i="3"/>
  <c r="BI307" i="3"/>
  <c r="BH307" i="3"/>
  <c r="BG307" i="3"/>
  <c r="BF307" i="3"/>
  <c r="BE307" i="3"/>
  <c r="BD307" i="3"/>
  <c r="BC307" i="3"/>
  <c r="BB307" i="3"/>
  <c r="BA307" i="3"/>
  <c r="AX307" i="3"/>
  <c r="AW307" i="3"/>
  <c r="AV307" i="3"/>
  <c r="AC307" i="3"/>
  <c r="H307" i="3"/>
  <c r="BT306" i="3"/>
  <c r="BS306" i="3"/>
  <c r="BR306" i="3"/>
  <c r="BQ306" i="3"/>
  <c r="BK306" i="3"/>
  <c r="BJ306" i="3"/>
  <c r="BI306" i="3"/>
  <c r="BH306" i="3"/>
  <c r="BG306" i="3"/>
  <c r="BF306" i="3"/>
  <c r="BE306" i="3"/>
  <c r="BD306" i="3"/>
  <c r="BC306" i="3"/>
  <c r="BB306" i="3"/>
  <c r="AX306" i="3"/>
  <c r="AW306" i="3"/>
  <c r="AV306" i="3"/>
  <c r="AC306" i="3"/>
  <c r="H306" i="3"/>
  <c r="BT305" i="3"/>
  <c r="BS305" i="3"/>
  <c r="BR305" i="3"/>
  <c r="BQ305" i="3"/>
  <c r="BK305" i="3"/>
  <c r="BJ305" i="3"/>
  <c r="BI305" i="3"/>
  <c r="BH305" i="3"/>
  <c r="BG305" i="3"/>
  <c r="BF305" i="3"/>
  <c r="BE305" i="3"/>
  <c r="BD305" i="3"/>
  <c r="BC305" i="3"/>
  <c r="BB305" i="3"/>
  <c r="AX305" i="3"/>
  <c r="AW305" i="3"/>
  <c r="AV305" i="3"/>
  <c r="AC305" i="3"/>
  <c r="H305" i="3"/>
  <c r="BT304" i="3"/>
  <c r="BS304" i="3"/>
  <c r="BR304" i="3"/>
  <c r="BQ304" i="3"/>
  <c r="BK304" i="3"/>
  <c r="BJ304" i="3"/>
  <c r="BI304" i="3"/>
  <c r="BH304" i="3"/>
  <c r="BG304" i="3"/>
  <c r="BF304" i="3"/>
  <c r="BE304" i="3"/>
  <c r="BD304" i="3"/>
  <c r="BC304" i="3"/>
  <c r="BB304" i="3"/>
  <c r="AX304" i="3"/>
  <c r="AW304" i="3"/>
  <c r="AV304" i="3"/>
  <c r="AC304" i="3"/>
  <c r="H304" i="3"/>
  <c r="BT303" i="3"/>
  <c r="BS303" i="3"/>
  <c r="BR303" i="3"/>
  <c r="BQ303" i="3"/>
  <c r="BK303" i="3"/>
  <c r="BJ303" i="3"/>
  <c r="BI303" i="3"/>
  <c r="BH303" i="3"/>
  <c r="BG303" i="3"/>
  <c r="BF303" i="3"/>
  <c r="BE303" i="3"/>
  <c r="BD303" i="3"/>
  <c r="BC303" i="3"/>
  <c r="BB303" i="3"/>
  <c r="BA303" i="3"/>
  <c r="AX303" i="3"/>
  <c r="AW303" i="3"/>
  <c r="AV303" i="3"/>
  <c r="AC303" i="3"/>
  <c r="H303" i="3"/>
  <c r="BT492" i="3"/>
  <c r="BS492" i="3"/>
  <c r="BR492" i="3"/>
  <c r="BQ492" i="3"/>
  <c r="BK492" i="3"/>
  <c r="BJ492" i="3"/>
  <c r="BI492" i="3"/>
  <c r="BH492" i="3"/>
  <c r="BG492" i="3"/>
  <c r="BF492" i="3"/>
  <c r="BE492" i="3"/>
  <c r="BD492" i="3"/>
  <c r="BC492" i="3"/>
  <c r="BB492" i="3"/>
  <c r="BA492" i="3"/>
  <c r="AX492" i="3"/>
  <c r="AW492" i="3"/>
  <c r="AV492" i="3"/>
  <c r="AC492" i="3"/>
  <c r="H492" i="3"/>
  <c r="BT491" i="3"/>
  <c r="BS491" i="3"/>
  <c r="BR491" i="3"/>
  <c r="BQ491" i="3"/>
  <c r="BL491" i="3"/>
  <c r="BK491" i="3"/>
  <c r="BJ491" i="3"/>
  <c r="BI491" i="3"/>
  <c r="BH491" i="3"/>
  <c r="BG491" i="3"/>
  <c r="BF491" i="3"/>
  <c r="BE491" i="3"/>
  <c r="BD491" i="3"/>
  <c r="BC491" i="3"/>
  <c r="BB491" i="3"/>
  <c r="BA491" i="3"/>
  <c r="AX491" i="3"/>
  <c r="AW491" i="3"/>
  <c r="AV491" i="3"/>
  <c r="AC491" i="3"/>
  <c r="H491" i="3"/>
  <c r="BT490" i="3"/>
  <c r="BS490" i="3"/>
  <c r="BR490" i="3"/>
  <c r="BQ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L489" i="3"/>
  <c r="BK489" i="3"/>
  <c r="BJ489" i="3"/>
  <c r="BI489" i="3"/>
  <c r="BH489" i="3"/>
  <c r="BG489" i="3"/>
  <c r="BF489" i="3"/>
  <c r="BE489" i="3"/>
  <c r="BD489" i="3"/>
  <c r="BC489" i="3"/>
  <c r="BB489" i="3"/>
  <c r="BA489" i="3"/>
  <c r="AX489" i="3"/>
  <c r="AW489" i="3"/>
  <c r="AV489" i="3"/>
  <c r="AC489" i="3"/>
  <c r="H489" i="3"/>
  <c r="G489" i="3"/>
  <c r="BT488" i="3"/>
  <c r="BS488" i="3"/>
  <c r="BR488" i="3"/>
  <c r="BQ488" i="3"/>
  <c r="BK488" i="3"/>
  <c r="BJ488" i="3"/>
  <c r="BI488" i="3"/>
  <c r="BH488" i="3"/>
  <c r="BG488" i="3"/>
  <c r="BF488" i="3"/>
  <c r="BE488" i="3"/>
  <c r="BD488" i="3"/>
  <c r="BC488" i="3"/>
  <c r="BB488" i="3"/>
  <c r="BA488" i="3"/>
  <c r="AX488" i="3"/>
  <c r="AW488" i="3"/>
  <c r="AV488" i="3"/>
  <c r="AC488" i="3"/>
  <c r="H488" i="3"/>
  <c r="BT487" i="3"/>
  <c r="BS487" i="3"/>
  <c r="BR487" i="3"/>
  <c r="BQ487" i="3"/>
  <c r="BL487" i="3"/>
  <c r="BK487" i="3"/>
  <c r="BJ487" i="3"/>
  <c r="BI487" i="3"/>
  <c r="BH487" i="3"/>
  <c r="BG487" i="3"/>
  <c r="BF487" i="3"/>
  <c r="BE487" i="3"/>
  <c r="BD487" i="3"/>
  <c r="BC487" i="3"/>
  <c r="BB487" i="3"/>
  <c r="BA487" i="3"/>
  <c r="AX487" i="3"/>
  <c r="AW487" i="3"/>
  <c r="AV487" i="3"/>
  <c r="AC487" i="3"/>
  <c r="H487" i="3"/>
  <c r="BT486" i="3"/>
  <c r="BS486" i="3"/>
  <c r="BR486" i="3"/>
  <c r="BQ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L485" i="3"/>
  <c r="BK485" i="3"/>
  <c r="BJ485" i="3"/>
  <c r="BI485" i="3"/>
  <c r="BH485" i="3"/>
  <c r="BG485" i="3"/>
  <c r="BF485" i="3"/>
  <c r="BE485" i="3"/>
  <c r="BD485" i="3"/>
  <c r="BC485" i="3"/>
  <c r="BB485" i="3"/>
  <c r="BA485" i="3"/>
  <c r="AX485" i="3"/>
  <c r="AW485" i="3"/>
  <c r="AV485" i="3"/>
  <c r="AC485" i="3"/>
  <c r="H485" i="3"/>
  <c r="G485" i="3"/>
  <c r="BT484" i="3"/>
  <c r="BS484" i="3"/>
  <c r="BR484" i="3"/>
  <c r="BQ484" i="3"/>
  <c r="BK484" i="3"/>
  <c r="BJ484" i="3"/>
  <c r="BI484" i="3"/>
  <c r="BH484" i="3"/>
  <c r="BG484" i="3"/>
  <c r="BF484" i="3"/>
  <c r="BE484" i="3"/>
  <c r="BD484" i="3"/>
  <c r="BC484" i="3"/>
  <c r="BB484" i="3"/>
  <c r="BA484" i="3"/>
  <c r="AX484" i="3"/>
  <c r="AW484" i="3"/>
  <c r="AV484" i="3"/>
  <c r="AC484" i="3"/>
  <c r="H484" i="3"/>
  <c r="BT483" i="3"/>
  <c r="BS483" i="3"/>
  <c r="BR483" i="3"/>
  <c r="BQ483" i="3"/>
  <c r="BL483" i="3"/>
  <c r="BK483" i="3"/>
  <c r="BJ483" i="3"/>
  <c r="BI483" i="3"/>
  <c r="BH483" i="3"/>
  <c r="BG483" i="3"/>
  <c r="BF483" i="3"/>
  <c r="BE483" i="3"/>
  <c r="BD483" i="3"/>
  <c r="BC483" i="3"/>
  <c r="BB483" i="3"/>
  <c r="BA483" i="3"/>
  <c r="AX483" i="3"/>
  <c r="AW483" i="3"/>
  <c r="AV483" i="3"/>
  <c r="AC483" i="3"/>
  <c r="H483" i="3"/>
  <c r="BT482" i="3"/>
  <c r="BS482" i="3"/>
  <c r="BR482" i="3"/>
  <c r="BQ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L481" i="3"/>
  <c r="BK481" i="3"/>
  <c r="BJ481" i="3"/>
  <c r="BI481" i="3"/>
  <c r="BH481" i="3"/>
  <c r="BG481" i="3"/>
  <c r="BF481" i="3"/>
  <c r="BE481" i="3"/>
  <c r="BD481" i="3"/>
  <c r="BC481" i="3"/>
  <c r="BB481" i="3"/>
  <c r="BA481" i="3"/>
  <c r="AX481" i="3"/>
  <c r="AW481" i="3"/>
  <c r="AV481" i="3"/>
  <c r="AC481" i="3"/>
  <c r="H481" i="3"/>
  <c r="G481" i="3"/>
  <c r="BT480" i="3"/>
  <c r="BS480" i="3"/>
  <c r="BR480" i="3"/>
  <c r="BQ480" i="3"/>
  <c r="BK480" i="3"/>
  <c r="BJ480" i="3"/>
  <c r="BI480" i="3"/>
  <c r="BH480" i="3"/>
  <c r="BG480" i="3"/>
  <c r="BF480" i="3"/>
  <c r="BE480" i="3"/>
  <c r="BD480" i="3"/>
  <c r="BC480" i="3"/>
  <c r="BB480" i="3"/>
  <c r="BA480" i="3"/>
  <c r="AX480" i="3"/>
  <c r="AW480" i="3"/>
  <c r="AV480" i="3"/>
  <c r="AC480" i="3"/>
  <c r="H480" i="3"/>
  <c r="BT479" i="3"/>
  <c r="BS479" i="3"/>
  <c r="BR479" i="3"/>
  <c r="BQ479" i="3"/>
  <c r="BL479" i="3"/>
  <c r="BK479" i="3"/>
  <c r="BJ479" i="3"/>
  <c r="BI479" i="3"/>
  <c r="BH479" i="3"/>
  <c r="BG479" i="3"/>
  <c r="BF479" i="3"/>
  <c r="BE479" i="3"/>
  <c r="BD479" i="3"/>
  <c r="BC479" i="3"/>
  <c r="BB479" i="3"/>
  <c r="BA479" i="3"/>
  <c r="AX479" i="3"/>
  <c r="AW479" i="3"/>
  <c r="AV479" i="3"/>
  <c r="AC479" i="3"/>
  <c r="H479" i="3"/>
  <c r="BT478" i="3"/>
  <c r="BS478" i="3"/>
  <c r="BR478" i="3"/>
  <c r="BQ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L477" i="3"/>
  <c r="BK477" i="3"/>
  <c r="BJ477" i="3"/>
  <c r="BI477" i="3"/>
  <c r="BH477" i="3"/>
  <c r="BG477" i="3"/>
  <c r="BF477" i="3"/>
  <c r="BE477" i="3"/>
  <c r="BD477" i="3"/>
  <c r="BC477" i="3"/>
  <c r="BB477" i="3"/>
  <c r="BA477" i="3"/>
  <c r="AX477" i="3"/>
  <c r="AW477" i="3"/>
  <c r="AV477" i="3"/>
  <c r="AC477" i="3"/>
  <c r="H477" i="3"/>
  <c r="G477" i="3"/>
  <c r="BT476" i="3"/>
  <c r="BS476" i="3"/>
  <c r="BR476" i="3"/>
  <c r="BQ476" i="3"/>
  <c r="BK476" i="3"/>
  <c r="BJ476" i="3"/>
  <c r="BI476" i="3"/>
  <c r="BH476" i="3"/>
  <c r="BG476" i="3"/>
  <c r="BF476" i="3"/>
  <c r="BE476" i="3"/>
  <c r="BD476" i="3"/>
  <c r="BC476" i="3"/>
  <c r="BB476" i="3"/>
  <c r="BA476" i="3"/>
  <c r="AX476" i="3"/>
  <c r="AW476" i="3"/>
  <c r="AV476" i="3"/>
  <c r="AC476" i="3"/>
  <c r="H476" i="3"/>
  <c r="BT475" i="3"/>
  <c r="BS475" i="3"/>
  <c r="BR475" i="3"/>
  <c r="BQ475" i="3"/>
  <c r="BL475" i="3"/>
  <c r="BK475" i="3"/>
  <c r="BJ475" i="3"/>
  <c r="BI475" i="3"/>
  <c r="BH475" i="3"/>
  <c r="BG475" i="3"/>
  <c r="BF475" i="3"/>
  <c r="BE475" i="3"/>
  <c r="BD475" i="3"/>
  <c r="BC475" i="3"/>
  <c r="BB475" i="3"/>
  <c r="BA475" i="3"/>
  <c r="AX475" i="3"/>
  <c r="AW475" i="3"/>
  <c r="AV475" i="3"/>
  <c r="AC475" i="3"/>
  <c r="H475" i="3"/>
  <c r="BT474" i="3"/>
  <c r="BS474" i="3"/>
  <c r="BR474" i="3"/>
  <c r="BQ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L473" i="3"/>
  <c r="BK473" i="3"/>
  <c r="BJ473" i="3"/>
  <c r="BI473" i="3"/>
  <c r="BH473" i="3"/>
  <c r="BG473" i="3"/>
  <c r="BF473" i="3"/>
  <c r="BE473" i="3"/>
  <c r="BD473" i="3"/>
  <c r="BC473" i="3"/>
  <c r="BB473" i="3"/>
  <c r="BA473" i="3"/>
  <c r="AX473" i="3"/>
  <c r="AW473" i="3"/>
  <c r="AV473" i="3"/>
  <c r="AC473" i="3"/>
  <c r="H473" i="3"/>
  <c r="G473" i="3"/>
  <c r="BT472" i="3"/>
  <c r="BS472" i="3"/>
  <c r="BR472" i="3"/>
  <c r="BQ472" i="3"/>
  <c r="BL472" i="3"/>
  <c r="BK472" i="3"/>
  <c r="BJ472" i="3"/>
  <c r="BI472" i="3"/>
  <c r="BH472" i="3"/>
  <c r="BG472" i="3"/>
  <c r="BF472" i="3"/>
  <c r="BE472" i="3"/>
  <c r="BD472" i="3"/>
  <c r="BC472" i="3"/>
  <c r="BB472" i="3"/>
  <c r="AX472" i="3"/>
  <c r="AW472" i="3"/>
  <c r="AV472" i="3"/>
  <c r="AC472" i="3"/>
  <c r="H472" i="3"/>
  <c r="G472" i="3"/>
  <c r="BT471" i="3"/>
  <c r="BS471" i="3"/>
  <c r="BR471" i="3"/>
  <c r="BQ471" i="3"/>
  <c r="BL471" i="3"/>
  <c r="BK471" i="3"/>
  <c r="BJ471" i="3"/>
  <c r="BI471" i="3"/>
  <c r="BH471" i="3"/>
  <c r="BG471" i="3"/>
  <c r="BF471" i="3"/>
  <c r="BE471" i="3"/>
  <c r="BD471" i="3"/>
  <c r="BC471" i="3"/>
  <c r="BB471" i="3"/>
  <c r="AX471" i="3"/>
  <c r="AW471" i="3"/>
  <c r="AV471" i="3"/>
  <c r="AC471" i="3"/>
  <c r="H471" i="3"/>
  <c r="G471" i="3"/>
  <c r="BT470" i="3"/>
  <c r="BS470" i="3"/>
  <c r="BR470" i="3"/>
  <c r="BQ470" i="3"/>
  <c r="BL470" i="3"/>
  <c r="BK470" i="3"/>
  <c r="BJ470" i="3"/>
  <c r="BI470" i="3"/>
  <c r="BH470" i="3"/>
  <c r="BG470" i="3"/>
  <c r="BF470" i="3"/>
  <c r="BE470" i="3"/>
  <c r="BD470" i="3"/>
  <c r="BC470" i="3"/>
  <c r="BB470" i="3"/>
  <c r="AX470" i="3"/>
  <c r="AW470" i="3"/>
  <c r="AV470" i="3"/>
  <c r="AC470" i="3"/>
  <c r="H470" i="3"/>
  <c r="G470" i="3"/>
  <c r="BT469" i="3"/>
  <c r="BS469" i="3"/>
  <c r="BR469" i="3"/>
  <c r="BQ469" i="3"/>
  <c r="BK469" i="3"/>
  <c r="BJ469" i="3"/>
  <c r="BI469" i="3"/>
  <c r="BH469" i="3"/>
  <c r="BG469" i="3"/>
  <c r="BF469" i="3"/>
  <c r="BE469" i="3"/>
  <c r="BD469" i="3"/>
  <c r="BC469" i="3"/>
  <c r="BB469" i="3"/>
  <c r="BA469" i="3"/>
  <c r="AX469" i="3"/>
  <c r="AW469" i="3"/>
  <c r="AV469" i="3"/>
  <c r="AC469" i="3"/>
  <c r="H469" i="3"/>
  <c r="G469" i="3"/>
  <c r="BT468" i="3"/>
  <c r="BS468" i="3"/>
  <c r="BR468" i="3"/>
  <c r="BQ468" i="3"/>
  <c r="BL468" i="3"/>
  <c r="BK468" i="3"/>
  <c r="BJ468" i="3"/>
  <c r="BI468" i="3"/>
  <c r="BH468" i="3"/>
  <c r="BG468" i="3"/>
  <c r="BF468" i="3"/>
  <c r="BE468" i="3"/>
  <c r="BD468" i="3"/>
  <c r="BC468" i="3"/>
  <c r="BB468" i="3"/>
  <c r="BA468" i="3"/>
  <c r="AX468" i="3"/>
  <c r="AW468" i="3"/>
  <c r="AV468" i="3"/>
  <c r="AC468" i="3"/>
  <c r="H468" i="3"/>
  <c r="G468" i="3"/>
  <c r="BT467" i="3"/>
  <c r="BS467" i="3"/>
  <c r="BR467" i="3"/>
  <c r="BQ467" i="3"/>
  <c r="BL467" i="3"/>
  <c r="BK467" i="3"/>
  <c r="BJ467" i="3"/>
  <c r="BI467" i="3"/>
  <c r="BH467" i="3"/>
  <c r="BG467" i="3"/>
  <c r="BF467" i="3"/>
  <c r="BE467" i="3"/>
  <c r="BD467" i="3"/>
  <c r="BC467" i="3"/>
  <c r="BB467" i="3"/>
  <c r="AX467" i="3"/>
  <c r="AW467" i="3"/>
  <c r="AV467" i="3"/>
  <c r="AC467" i="3"/>
  <c r="H467" i="3"/>
  <c r="G467" i="3"/>
  <c r="BT466" i="3"/>
  <c r="BS466" i="3"/>
  <c r="BR466" i="3"/>
  <c r="BQ466" i="3"/>
  <c r="BL466" i="3"/>
  <c r="BK466" i="3"/>
  <c r="BJ466" i="3"/>
  <c r="BI466" i="3"/>
  <c r="BH466" i="3"/>
  <c r="BG466" i="3"/>
  <c r="BF466" i="3"/>
  <c r="BE466" i="3"/>
  <c r="BD466" i="3"/>
  <c r="BC466" i="3"/>
  <c r="BB466" i="3"/>
  <c r="AX466" i="3"/>
  <c r="AW466" i="3"/>
  <c r="AV466" i="3"/>
  <c r="AC466" i="3"/>
  <c r="H466" i="3"/>
  <c r="G466" i="3"/>
  <c r="BT465" i="3"/>
  <c r="BS465" i="3"/>
  <c r="BR465" i="3"/>
  <c r="BQ465" i="3"/>
  <c r="BL465" i="3"/>
  <c r="BK465" i="3"/>
  <c r="BJ465" i="3"/>
  <c r="BI465" i="3"/>
  <c r="BH465" i="3"/>
  <c r="BG465" i="3"/>
  <c r="BF465" i="3"/>
  <c r="BE465" i="3"/>
  <c r="BD465" i="3"/>
  <c r="BC465" i="3"/>
  <c r="BB465" i="3"/>
  <c r="BA465" i="3"/>
  <c r="AX465" i="3"/>
  <c r="AW465" i="3"/>
  <c r="AV465" i="3"/>
  <c r="AC465" i="3"/>
  <c r="H465" i="3"/>
  <c r="G465" i="3"/>
  <c r="BT464" i="3"/>
  <c r="BS464" i="3"/>
  <c r="BR464" i="3"/>
  <c r="BQ464" i="3"/>
  <c r="BL464" i="3"/>
  <c r="BK464" i="3"/>
  <c r="BJ464" i="3"/>
  <c r="BI464" i="3"/>
  <c r="BH464" i="3"/>
  <c r="BG464" i="3"/>
  <c r="BF464" i="3"/>
  <c r="BE464" i="3"/>
  <c r="BD464" i="3"/>
  <c r="BC464" i="3"/>
  <c r="BB464" i="3"/>
  <c r="AX464" i="3"/>
  <c r="AW464" i="3"/>
  <c r="AV464" i="3"/>
  <c r="AC464" i="3"/>
  <c r="H464" i="3"/>
  <c r="G464" i="3"/>
  <c r="BT463" i="3"/>
  <c r="BS463" i="3"/>
  <c r="BR463" i="3"/>
  <c r="BQ463" i="3"/>
  <c r="BL463" i="3"/>
  <c r="BK463" i="3"/>
  <c r="BJ463" i="3"/>
  <c r="BI463" i="3"/>
  <c r="BH463" i="3"/>
  <c r="BG463" i="3"/>
  <c r="BF463" i="3"/>
  <c r="BE463" i="3"/>
  <c r="BD463" i="3"/>
  <c r="BC463" i="3"/>
  <c r="BB463" i="3"/>
  <c r="AX463" i="3"/>
  <c r="AW463" i="3"/>
  <c r="AV463" i="3"/>
  <c r="AC463" i="3"/>
  <c r="H463" i="3"/>
  <c r="G463" i="3"/>
  <c r="BT462" i="3"/>
  <c r="BS462" i="3"/>
  <c r="BR462" i="3"/>
  <c r="BQ462" i="3"/>
  <c r="BL462" i="3"/>
  <c r="BK462" i="3"/>
  <c r="BJ462" i="3"/>
  <c r="BI462" i="3"/>
  <c r="BH462" i="3"/>
  <c r="BG462" i="3"/>
  <c r="BF462" i="3"/>
  <c r="BE462" i="3"/>
  <c r="BD462" i="3"/>
  <c r="BC462" i="3"/>
  <c r="BB462" i="3"/>
  <c r="BA462" i="3"/>
  <c r="AX462" i="3"/>
  <c r="AW462" i="3"/>
  <c r="AV462" i="3"/>
  <c r="AC462" i="3"/>
  <c r="H462" i="3"/>
  <c r="G462" i="3"/>
  <c r="BT461" i="3"/>
  <c r="BS461" i="3"/>
  <c r="BR461" i="3"/>
  <c r="BQ461" i="3"/>
  <c r="BK461" i="3"/>
  <c r="BJ461" i="3"/>
  <c r="BI461" i="3"/>
  <c r="BH461" i="3"/>
  <c r="BG461" i="3"/>
  <c r="BF461" i="3"/>
  <c r="BE461" i="3"/>
  <c r="BD461" i="3"/>
  <c r="BC461" i="3"/>
  <c r="BB461" i="3"/>
  <c r="BA461" i="3"/>
  <c r="AX461" i="3"/>
  <c r="AW461" i="3"/>
  <c r="AV461" i="3"/>
  <c r="AC461" i="3"/>
  <c r="H461" i="3"/>
  <c r="BT460" i="3"/>
  <c r="BS460" i="3"/>
  <c r="BR460" i="3"/>
  <c r="BQ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L459" i="3"/>
  <c r="BK459" i="3"/>
  <c r="BJ459" i="3"/>
  <c r="BI459" i="3"/>
  <c r="BH459" i="3"/>
  <c r="BG459" i="3"/>
  <c r="BF459" i="3"/>
  <c r="BE459" i="3"/>
  <c r="BD459" i="3"/>
  <c r="BC459" i="3"/>
  <c r="BB459" i="3"/>
  <c r="BA459" i="3"/>
  <c r="AX459" i="3"/>
  <c r="AW459" i="3"/>
  <c r="AV459" i="3"/>
  <c r="AC459" i="3"/>
  <c r="H459" i="3"/>
  <c r="G459" i="3"/>
  <c r="BT458" i="3"/>
  <c r="BS458" i="3"/>
  <c r="BR458" i="3"/>
  <c r="BQ458" i="3"/>
  <c r="BK458" i="3"/>
  <c r="BJ458" i="3"/>
  <c r="BI458" i="3"/>
  <c r="BH458" i="3"/>
  <c r="BG458" i="3"/>
  <c r="BF458" i="3"/>
  <c r="BE458" i="3"/>
  <c r="BD458" i="3"/>
  <c r="BC458" i="3"/>
  <c r="BB458" i="3"/>
  <c r="BA458" i="3"/>
  <c r="AX458" i="3"/>
  <c r="AW458" i="3"/>
  <c r="AV458" i="3"/>
  <c r="AC458" i="3"/>
  <c r="H458" i="3"/>
  <c r="G458" i="3"/>
  <c r="BT457" i="3"/>
  <c r="BS457" i="3"/>
  <c r="BR457" i="3"/>
  <c r="BQ457" i="3"/>
  <c r="BL457" i="3"/>
  <c r="BK457" i="3"/>
  <c r="BJ457" i="3"/>
  <c r="BI457" i="3"/>
  <c r="BH457" i="3"/>
  <c r="BG457" i="3"/>
  <c r="BF457" i="3"/>
  <c r="BE457" i="3"/>
  <c r="BD457" i="3"/>
  <c r="BC457" i="3"/>
  <c r="BB457" i="3"/>
  <c r="BA457" i="3"/>
  <c r="AX457" i="3"/>
  <c r="AW457" i="3"/>
  <c r="AV457" i="3"/>
  <c r="AC457" i="3"/>
  <c r="H457" i="3"/>
  <c r="G457" i="3"/>
  <c r="BT456" i="3"/>
  <c r="BS456" i="3"/>
  <c r="BR456" i="3"/>
  <c r="BQ456" i="3"/>
  <c r="BL456" i="3"/>
  <c r="BK456" i="3"/>
  <c r="BJ456" i="3"/>
  <c r="BI456" i="3"/>
  <c r="BH456" i="3"/>
  <c r="BG456" i="3"/>
  <c r="BF456" i="3"/>
  <c r="BE456" i="3"/>
  <c r="BD456" i="3"/>
  <c r="BC456" i="3"/>
  <c r="BB456" i="3"/>
  <c r="AX456" i="3"/>
  <c r="AW456" i="3"/>
  <c r="AV456" i="3"/>
  <c r="AC456" i="3"/>
  <c r="H456" i="3"/>
  <c r="G456" i="3"/>
  <c r="BT455" i="3"/>
  <c r="BS455" i="3"/>
  <c r="BR455" i="3"/>
  <c r="BQ455" i="3"/>
  <c r="BL455" i="3"/>
  <c r="BK455" i="3"/>
  <c r="BJ455" i="3"/>
  <c r="BI455" i="3"/>
  <c r="BH455" i="3"/>
  <c r="BG455" i="3"/>
  <c r="BF455" i="3"/>
  <c r="BE455" i="3"/>
  <c r="BD455" i="3"/>
  <c r="BC455" i="3"/>
  <c r="BB455" i="3"/>
  <c r="AX455" i="3"/>
  <c r="AW455" i="3"/>
  <c r="AV455" i="3"/>
  <c r="AC455" i="3"/>
  <c r="H455" i="3"/>
  <c r="G455" i="3"/>
  <c r="BT454" i="3"/>
  <c r="BS454" i="3"/>
  <c r="BR454" i="3"/>
  <c r="BQ454" i="3"/>
  <c r="BK454" i="3"/>
  <c r="BJ454" i="3"/>
  <c r="BI454" i="3"/>
  <c r="BH454" i="3"/>
  <c r="BG454" i="3"/>
  <c r="BF454" i="3"/>
  <c r="BE454" i="3"/>
  <c r="BD454" i="3"/>
  <c r="BC454" i="3"/>
  <c r="BB454" i="3"/>
  <c r="BA454" i="3"/>
  <c r="AX454" i="3"/>
  <c r="AW454" i="3"/>
  <c r="AV454" i="3"/>
  <c r="AC454" i="3"/>
  <c r="H454" i="3"/>
  <c r="G454" i="3"/>
  <c r="BT453" i="3"/>
  <c r="BS453" i="3"/>
  <c r="BR453" i="3"/>
  <c r="BQ453" i="3"/>
  <c r="BL453" i="3"/>
  <c r="BK453" i="3"/>
  <c r="BJ453" i="3"/>
  <c r="BI453" i="3"/>
  <c r="BH453" i="3"/>
  <c r="BG453" i="3"/>
  <c r="BF453" i="3"/>
  <c r="BE453" i="3"/>
  <c r="BD453" i="3"/>
  <c r="BC453" i="3"/>
  <c r="BB453" i="3"/>
  <c r="BA453" i="3"/>
  <c r="AX453" i="3"/>
  <c r="AW453" i="3"/>
  <c r="AV453" i="3"/>
  <c r="AC453" i="3"/>
  <c r="H453" i="3"/>
  <c r="G453" i="3"/>
  <c r="BT452" i="3"/>
  <c r="BS452" i="3"/>
  <c r="BR452" i="3"/>
  <c r="BQ452" i="3"/>
  <c r="BL452" i="3"/>
  <c r="BK452" i="3"/>
  <c r="BJ452" i="3"/>
  <c r="BI452" i="3"/>
  <c r="BH452" i="3"/>
  <c r="BG452" i="3"/>
  <c r="BF452" i="3"/>
  <c r="BE452" i="3"/>
  <c r="BD452" i="3"/>
  <c r="BC452" i="3"/>
  <c r="BB452" i="3"/>
  <c r="AX452" i="3"/>
  <c r="AW452" i="3"/>
  <c r="AV452" i="3"/>
  <c r="AC452" i="3"/>
  <c r="H452" i="3"/>
  <c r="G452" i="3"/>
  <c r="BT451" i="3"/>
  <c r="BS451" i="3"/>
  <c r="BR451" i="3"/>
  <c r="BQ451" i="3"/>
  <c r="BK451" i="3"/>
  <c r="BJ451" i="3"/>
  <c r="BI451" i="3"/>
  <c r="BH451" i="3"/>
  <c r="BG451" i="3"/>
  <c r="BF451" i="3"/>
  <c r="BE451" i="3"/>
  <c r="BD451" i="3"/>
  <c r="BC451" i="3"/>
  <c r="BB451" i="3"/>
  <c r="BA451" i="3"/>
  <c r="AX451" i="3"/>
  <c r="AW451" i="3"/>
  <c r="AV451" i="3"/>
  <c r="AC451" i="3"/>
  <c r="H451" i="3"/>
  <c r="G451" i="3"/>
  <c r="BT450" i="3"/>
  <c r="BS450" i="3"/>
  <c r="BR450" i="3"/>
  <c r="BQ450" i="3"/>
  <c r="BL450" i="3"/>
  <c r="BK450" i="3"/>
  <c r="BJ450" i="3"/>
  <c r="BI450" i="3"/>
  <c r="BH450" i="3"/>
  <c r="BG450" i="3"/>
  <c r="BF450" i="3"/>
  <c r="BE450" i="3"/>
  <c r="BD450" i="3"/>
  <c r="BC450" i="3"/>
  <c r="BB450" i="3"/>
  <c r="BA450" i="3"/>
  <c r="AX450" i="3"/>
  <c r="AW450" i="3"/>
  <c r="AV450" i="3"/>
  <c r="AC450" i="3"/>
  <c r="H450" i="3"/>
  <c r="G450" i="3"/>
  <c r="BT449" i="3"/>
  <c r="BS449" i="3"/>
  <c r="BR449" i="3"/>
  <c r="BQ449" i="3"/>
  <c r="BK449" i="3"/>
  <c r="BJ449" i="3"/>
  <c r="BI449" i="3"/>
  <c r="BH449" i="3"/>
  <c r="BG449" i="3"/>
  <c r="BF449" i="3"/>
  <c r="BE449" i="3"/>
  <c r="BD449" i="3"/>
  <c r="BC449" i="3"/>
  <c r="BB449" i="3"/>
  <c r="BA449" i="3"/>
  <c r="AX449" i="3"/>
  <c r="AW449" i="3"/>
  <c r="AV449" i="3"/>
  <c r="AC449" i="3"/>
  <c r="H449" i="3"/>
  <c r="BT448" i="3"/>
  <c r="BS448" i="3"/>
  <c r="BR448" i="3"/>
  <c r="BQ448" i="3"/>
  <c r="BL448" i="3"/>
  <c r="BK448" i="3"/>
  <c r="BJ448" i="3"/>
  <c r="BI448" i="3"/>
  <c r="BH448" i="3"/>
  <c r="BG448" i="3"/>
  <c r="BF448" i="3"/>
  <c r="BE448" i="3"/>
  <c r="BD448" i="3"/>
  <c r="BC448" i="3"/>
  <c r="BB448" i="3"/>
  <c r="BA448" i="3"/>
  <c r="AX448" i="3"/>
  <c r="AW448" i="3"/>
  <c r="AV448" i="3"/>
  <c r="AC448" i="3"/>
  <c r="H448" i="3"/>
  <c r="BT447" i="3"/>
  <c r="BS447" i="3"/>
  <c r="BR447" i="3"/>
  <c r="BQ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L446" i="3"/>
  <c r="BK446" i="3"/>
  <c r="BJ446" i="3"/>
  <c r="BI446" i="3"/>
  <c r="BH446" i="3"/>
  <c r="BG446" i="3"/>
  <c r="BF446" i="3"/>
  <c r="BE446" i="3"/>
  <c r="BD446" i="3"/>
  <c r="BC446" i="3"/>
  <c r="BB446" i="3"/>
  <c r="BA446" i="3"/>
  <c r="AX446" i="3"/>
  <c r="AW446" i="3"/>
  <c r="AV446" i="3"/>
  <c r="AC446" i="3"/>
  <c r="H446" i="3"/>
  <c r="G446" i="3"/>
  <c r="BT445" i="3"/>
  <c r="BS445" i="3"/>
  <c r="BR445" i="3"/>
  <c r="BQ445" i="3"/>
  <c r="BK445" i="3"/>
  <c r="BJ445" i="3"/>
  <c r="BI445" i="3"/>
  <c r="BH445" i="3"/>
  <c r="BG445" i="3"/>
  <c r="BF445" i="3"/>
  <c r="BE445" i="3"/>
  <c r="BD445" i="3"/>
  <c r="BC445" i="3"/>
  <c r="BB445" i="3"/>
  <c r="BA445" i="3"/>
  <c r="AX445" i="3"/>
  <c r="AW445" i="3"/>
  <c r="AV445" i="3"/>
  <c r="AC445" i="3"/>
  <c r="H445" i="3"/>
  <c r="BT444" i="3"/>
  <c r="BS444" i="3"/>
  <c r="BR444" i="3"/>
  <c r="BQ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L443" i="3"/>
  <c r="BK443" i="3"/>
  <c r="BJ443" i="3"/>
  <c r="BI443" i="3"/>
  <c r="BH443" i="3"/>
  <c r="BG443" i="3"/>
  <c r="BF443" i="3"/>
  <c r="BE443" i="3"/>
  <c r="BD443" i="3"/>
  <c r="BC443" i="3"/>
  <c r="BB443" i="3"/>
  <c r="BA443" i="3"/>
  <c r="AX443" i="3"/>
  <c r="AW443" i="3"/>
  <c r="AV443" i="3"/>
  <c r="AC443" i="3"/>
  <c r="H443" i="3"/>
  <c r="G443" i="3"/>
  <c r="BT442" i="3"/>
  <c r="BS442" i="3"/>
  <c r="BR442" i="3"/>
  <c r="BQ442" i="3"/>
  <c r="BK442" i="3"/>
  <c r="BJ442" i="3"/>
  <c r="BI442" i="3"/>
  <c r="BH442" i="3"/>
  <c r="BG442" i="3"/>
  <c r="BF442" i="3"/>
  <c r="BE442" i="3"/>
  <c r="BD442" i="3"/>
  <c r="BC442" i="3"/>
  <c r="BB442" i="3"/>
  <c r="BA442" i="3"/>
  <c r="AX442" i="3"/>
  <c r="AW442" i="3"/>
  <c r="AV442" i="3"/>
  <c r="AC442" i="3"/>
  <c r="H442" i="3"/>
  <c r="G442" i="3"/>
  <c r="BT441" i="3"/>
  <c r="BS441" i="3"/>
  <c r="BR441" i="3"/>
  <c r="BQ441" i="3"/>
  <c r="BL441" i="3"/>
  <c r="BK441" i="3"/>
  <c r="BJ441" i="3"/>
  <c r="BI441" i="3"/>
  <c r="BH441" i="3"/>
  <c r="BG441" i="3"/>
  <c r="BF441" i="3"/>
  <c r="BE441" i="3"/>
  <c r="BD441" i="3"/>
  <c r="BC441" i="3"/>
  <c r="BB441" i="3"/>
  <c r="BA441" i="3"/>
  <c r="AX441" i="3"/>
  <c r="AW441" i="3"/>
  <c r="AV441" i="3"/>
  <c r="AC441" i="3"/>
  <c r="H441" i="3"/>
  <c r="G441" i="3"/>
  <c r="BT440" i="3"/>
  <c r="BS440" i="3"/>
  <c r="BR440" i="3"/>
  <c r="BQ440" i="3"/>
  <c r="BL440" i="3"/>
  <c r="BK440" i="3"/>
  <c r="BJ440" i="3"/>
  <c r="BI440" i="3"/>
  <c r="BH440" i="3"/>
  <c r="BG440" i="3"/>
  <c r="BF440" i="3"/>
  <c r="BE440" i="3"/>
  <c r="BD440" i="3"/>
  <c r="BC440" i="3"/>
  <c r="BB440" i="3"/>
  <c r="AX440" i="3"/>
  <c r="AW440" i="3"/>
  <c r="AV440" i="3"/>
  <c r="AC440" i="3"/>
  <c r="H440" i="3"/>
  <c r="G440" i="3"/>
  <c r="BT439" i="3"/>
  <c r="BS439" i="3"/>
  <c r="BR439" i="3"/>
  <c r="BQ439" i="3"/>
  <c r="BL439" i="3"/>
  <c r="BK439" i="3"/>
  <c r="BJ439" i="3"/>
  <c r="BI439" i="3"/>
  <c r="BH439" i="3"/>
  <c r="BG439" i="3"/>
  <c r="BF439" i="3"/>
  <c r="BE439" i="3"/>
  <c r="BD439" i="3"/>
  <c r="BC439" i="3"/>
  <c r="BB439" i="3"/>
  <c r="AX439" i="3"/>
  <c r="AW439" i="3"/>
  <c r="AV439" i="3"/>
  <c r="AC439" i="3"/>
  <c r="H439" i="3"/>
  <c r="G439" i="3"/>
  <c r="BT438" i="3"/>
  <c r="BS438" i="3"/>
  <c r="BR438" i="3"/>
  <c r="BQ438" i="3"/>
  <c r="BK438" i="3"/>
  <c r="BJ438" i="3"/>
  <c r="BI438" i="3"/>
  <c r="BH438" i="3"/>
  <c r="BG438" i="3"/>
  <c r="BF438" i="3"/>
  <c r="BE438" i="3"/>
  <c r="BD438" i="3"/>
  <c r="BC438" i="3"/>
  <c r="BB438" i="3"/>
  <c r="BA438" i="3"/>
  <c r="AX438" i="3"/>
  <c r="AW438" i="3"/>
  <c r="AV438" i="3"/>
  <c r="AC438" i="3"/>
  <c r="H438" i="3"/>
  <c r="G438" i="3"/>
  <c r="BT437" i="3"/>
  <c r="BS437" i="3"/>
  <c r="BR437" i="3"/>
  <c r="BQ437" i="3"/>
  <c r="BL437" i="3"/>
  <c r="BK437" i="3"/>
  <c r="BJ437" i="3"/>
  <c r="BI437" i="3"/>
  <c r="BH437" i="3"/>
  <c r="BG437" i="3"/>
  <c r="BF437" i="3"/>
  <c r="BE437" i="3"/>
  <c r="BD437" i="3"/>
  <c r="BC437" i="3"/>
  <c r="BB437" i="3"/>
  <c r="BA437" i="3"/>
  <c r="AX437" i="3"/>
  <c r="AW437" i="3"/>
  <c r="AV437" i="3"/>
  <c r="AC437" i="3"/>
  <c r="H437" i="3"/>
  <c r="G437" i="3"/>
  <c r="BT436" i="3"/>
  <c r="BS436" i="3"/>
  <c r="BR436" i="3"/>
  <c r="BQ436" i="3"/>
  <c r="BL436" i="3"/>
  <c r="BK436" i="3"/>
  <c r="BJ436" i="3"/>
  <c r="BI436" i="3"/>
  <c r="BH436" i="3"/>
  <c r="BG436" i="3"/>
  <c r="BF436" i="3"/>
  <c r="BE436" i="3"/>
  <c r="BD436" i="3"/>
  <c r="BC436" i="3"/>
  <c r="BB436" i="3"/>
  <c r="AX436" i="3"/>
  <c r="AW436" i="3"/>
  <c r="AV436" i="3"/>
  <c r="AC436" i="3"/>
  <c r="H436" i="3"/>
  <c r="G436" i="3"/>
  <c r="BT435" i="3"/>
  <c r="BS435" i="3"/>
  <c r="BR435" i="3"/>
  <c r="BQ435" i="3"/>
  <c r="BK435" i="3"/>
  <c r="BJ435" i="3"/>
  <c r="BI435" i="3"/>
  <c r="BH435" i="3"/>
  <c r="BG435" i="3"/>
  <c r="BF435" i="3"/>
  <c r="BE435" i="3"/>
  <c r="BD435" i="3"/>
  <c r="BC435" i="3"/>
  <c r="BB435" i="3"/>
  <c r="BA435" i="3"/>
  <c r="AX435" i="3"/>
  <c r="AW435" i="3"/>
  <c r="AV435" i="3"/>
  <c r="AC435" i="3"/>
  <c r="H435" i="3"/>
  <c r="G435" i="3"/>
  <c r="BT434" i="3"/>
  <c r="BS434" i="3"/>
  <c r="BR434" i="3"/>
  <c r="BQ434" i="3"/>
  <c r="BL434" i="3"/>
  <c r="BK434" i="3"/>
  <c r="BJ434" i="3"/>
  <c r="BI434" i="3"/>
  <c r="BH434" i="3"/>
  <c r="BG434" i="3"/>
  <c r="BF434" i="3"/>
  <c r="BE434" i="3"/>
  <c r="BD434" i="3"/>
  <c r="BC434" i="3"/>
  <c r="BB434" i="3"/>
  <c r="BA434" i="3"/>
  <c r="AX434" i="3"/>
  <c r="AW434" i="3"/>
  <c r="AV434" i="3"/>
  <c r="AC434" i="3"/>
  <c r="H434" i="3"/>
  <c r="G434" i="3"/>
  <c r="BT433" i="3"/>
  <c r="BS433" i="3"/>
  <c r="BR433" i="3"/>
  <c r="BQ433" i="3"/>
  <c r="BK433" i="3"/>
  <c r="BJ433" i="3"/>
  <c r="BI433" i="3"/>
  <c r="BH433" i="3"/>
  <c r="BG433" i="3"/>
  <c r="BF433" i="3"/>
  <c r="BE433" i="3"/>
  <c r="BD433" i="3"/>
  <c r="BC433" i="3"/>
  <c r="BB433" i="3"/>
  <c r="BA433" i="3"/>
  <c r="AX433" i="3"/>
  <c r="AW433" i="3"/>
  <c r="AV433" i="3"/>
  <c r="AC433" i="3"/>
  <c r="H433" i="3"/>
  <c r="BT432" i="3"/>
  <c r="BS432" i="3"/>
  <c r="BR432" i="3"/>
  <c r="BQ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L431" i="3"/>
  <c r="BK431" i="3"/>
  <c r="BJ431" i="3"/>
  <c r="BI431" i="3"/>
  <c r="BH431" i="3"/>
  <c r="BG431" i="3"/>
  <c r="BF431" i="3"/>
  <c r="BE431" i="3"/>
  <c r="BD431" i="3"/>
  <c r="BC431" i="3"/>
  <c r="BB431" i="3"/>
  <c r="BA431" i="3"/>
  <c r="AX431" i="3"/>
  <c r="AW431" i="3"/>
  <c r="AV431" i="3"/>
  <c r="AC431" i="3"/>
  <c r="H431" i="3"/>
  <c r="G431" i="3"/>
  <c r="BT430" i="3"/>
  <c r="BS430" i="3"/>
  <c r="BR430" i="3"/>
  <c r="BQ430" i="3"/>
  <c r="BL430" i="3"/>
  <c r="BK430" i="3"/>
  <c r="BJ430" i="3"/>
  <c r="BI430" i="3"/>
  <c r="BH430" i="3"/>
  <c r="BG430" i="3"/>
  <c r="BF430" i="3"/>
  <c r="BE430" i="3"/>
  <c r="BD430" i="3"/>
  <c r="BC430" i="3"/>
  <c r="BB430" i="3"/>
  <c r="AX430" i="3"/>
  <c r="AW430" i="3"/>
  <c r="AV430" i="3"/>
  <c r="AC430" i="3"/>
  <c r="H430" i="3"/>
  <c r="G430" i="3"/>
  <c r="BT429" i="3"/>
  <c r="BS429" i="3"/>
  <c r="BR429" i="3"/>
  <c r="BQ429" i="3"/>
  <c r="BL429" i="3"/>
  <c r="BK429" i="3"/>
  <c r="BJ429" i="3"/>
  <c r="BI429" i="3"/>
  <c r="BH429" i="3"/>
  <c r="BG429" i="3"/>
  <c r="BF429" i="3"/>
  <c r="BE429" i="3"/>
  <c r="BD429" i="3"/>
  <c r="BC429" i="3"/>
  <c r="BB429" i="3"/>
  <c r="AX429" i="3"/>
  <c r="AW429" i="3"/>
  <c r="AV429" i="3"/>
  <c r="AC429" i="3"/>
  <c r="H429" i="3"/>
  <c r="G429" i="3"/>
  <c r="BT428" i="3"/>
  <c r="BS428" i="3"/>
  <c r="BR428" i="3"/>
  <c r="BQ428" i="3"/>
  <c r="BK428" i="3"/>
  <c r="BJ428" i="3"/>
  <c r="BI428" i="3"/>
  <c r="BH428" i="3"/>
  <c r="BG428" i="3"/>
  <c r="BF428" i="3"/>
  <c r="BE428" i="3"/>
  <c r="BD428" i="3"/>
  <c r="BC428" i="3"/>
  <c r="BB428" i="3"/>
  <c r="BA428" i="3"/>
  <c r="AX428" i="3"/>
  <c r="AW428" i="3"/>
  <c r="AV428" i="3"/>
  <c r="AC428" i="3"/>
  <c r="H428" i="3"/>
  <c r="BT427" i="3"/>
  <c r="BS427" i="3"/>
  <c r="BR427" i="3"/>
  <c r="BQ427" i="3"/>
  <c r="BL427" i="3"/>
  <c r="BK427" i="3"/>
  <c r="BJ427" i="3"/>
  <c r="BI427" i="3"/>
  <c r="BH427" i="3"/>
  <c r="BG427" i="3"/>
  <c r="BF427" i="3"/>
  <c r="BE427" i="3"/>
  <c r="BD427" i="3"/>
  <c r="BC427" i="3"/>
  <c r="BB427" i="3"/>
  <c r="BA427" i="3"/>
  <c r="AX427" i="3"/>
  <c r="AW427" i="3"/>
  <c r="AV427" i="3"/>
  <c r="AC427" i="3"/>
  <c r="H427" i="3"/>
  <c r="BT426" i="3"/>
  <c r="BS426" i="3"/>
  <c r="BR426" i="3"/>
  <c r="BQ426" i="3"/>
  <c r="BL426" i="3"/>
  <c r="BK426" i="3"/>
  <c r="BJ426" i="3"/>
  <c r="BI426" i="3"/>
  <c r="BH426" i="3"/>
  <c r="BG426" i="3"/>
  <c r="BF426" i="3"/>
  <c r="BE426" i="3"/>
  <c r="BD426" i="3"/>
  <c r="BC426" i="3"/>
  <c r="BB426" i="3"/>
  <c r="BA426" i="3"/>
  <c r="AX426" i="3"/>
  <c r="AW426" i="3"/>
  <c r="AV426" i="3"/>
  <c r="AC426" i="3"/>
  <c r="H426" i="3"/>
  <c r="BT425" i="3"/>
  <c r="BS425" i="3"/>
  <c r="BR425" i="3"/>
  <c r="BQ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L424" i="3"/>
  <c r="BK424" i="3"/>
  <c r="BJ424" i="3"/>
  <c r="BI424" i="3"/>
  <c r="BH424" i="3"/>
  <c r="BG424" i="3"/>
  <c r="BF424" i="3"/>
  <c r="BE424" i="3"/>
  <c r="BD424" i="3"/>
  <c r="BC424" i="3"/>
  <c r="BB424" i="3"/>
  <c r="BA424" i="3"/>
  <c r="AX424" i="3"/>
  <c r="AW424" i="3"/>
  <c r="AV424" i="3"/>
  <c r="AC424" i="3"/>
  <c r="H424" i="3"/>
  <c r="G424" i="3"/>
  <c r="BT423" i="3"/>
  <c r="BS423" i="3"/>
  <c r="BR423" i="3"/>
  <c r="BQ423" i="3"/>
  <c r="BK423" i="3"/>
  <c r="BJ423" i="3"/>
  <c r="BI423" i="3"/>
  <c r="BH423" i="3"/>
  <c r="BG423" i="3"/>
  <c r="BF423" i="3"/>
  <c r="BE423" i="3"/>
  <c r="BD423" i="3"/>
  <c r="BC423" i="3"/>
  <c r="BB423" i="3"/>
  <c r="BA423" i="3"/>
  <c r="AX423" i="3"/>
  <c r="AW423" i="3"/>
  <c r="AV423" i="3"/>
  <c r="AC423" i="3"/>
  <c r="H423" i="3"/>
  <c r="BT422" i="3"/>
  <c r="BS422" i="3"/>
  <c r="BR422" i="3"/>
  <c r="BQ422" i="3"/>
  <c r="BK422" i="3"/>
  <c r="BJ422" i="3"/>
  <c r="BI422" i="3"/>
  <c r="BH422" i="3"/>
  <c r="BG422" i="3"/>
  <c r="BF422" i="3"/>
  <c r="BE422" i="3"/>
  <c r="BD422" i="3"/>
  <c r="BC422" i="3"/>
  <c r="BB422" i="3"/>
  <c r="BA422" i="3"/>
  <c r="AX422" i="3"/>
  <c r="AW422" i="3"/>
  <c r="AV422" i="3"/>
  <c r="AC422" i="3"/>
  <c r="H422" i="3"/>
  <c r="G422" i="3"/>
  <c r="BT421" i="3"/>
  <c r="BS421" i="3"/>
  <c r="BR421" i="3"/>
  <c r="BQ421" i="3"/>
  <c r="BL421" i="3"/>
  <c r="BK421" i="3"/>
  <c r="BJ421" i="3"/>
  <c r="BI421" i="3"/>
  <c r="BH421" i="3"/>
  <c r="BG421" i="3"/>
  <c r="BF421" i="3"/>
  <c r="BE421" i="3"/>
  <c r="BD421" i="3"/>
  <c r="BC421" i="3"/>
  <c r="BB421" i="3"/>
  <c r="BA421" i="3"/>
  <c r="AX421" i="3"/>
  <c r="AW421" i="3"/>
  <c r="AV421" i="3"/>
  <c r="AC421" i="3"/>
  <c r="H421" i="3"/>
  <c r="G421" i="3"/>
  <c r="BT420" i="3"/>
  <c r="BS420" i="3"/>
  <c r="BR420" i="3"/>
  <c r="BQ420" i="3"/>
  <c r="BL420" i="3"/>
  <c r="BK420" i="3"/>
  <c r="BJ420" i="3"/>
  <c r="BI420" i="3"/>
  <c r="BH420" i="3"/>
  <c r="BG420" i="3"/>
  <c r="BF420" i="3"/>
  <c r="BE420" i="3"/>
  <c r="BD420" i="3"/>
  <c r="BC420" i="3"/>
  <c r="BB420" i="3"/>
  <c r="AX420" i="3"/>
  <c r="AW420" i="3"/>
  <c r="AV420" i="3"/>
  <c r="AC420" i="3"/>
  <c r="H420" i="3"/>
  <c r="G420" i="3"/>
  <c r="BT419" i="3"/>
  <c r="BS419" i="3"/>
  <c r="BR419" i="3"/>
  <c r="BQ419" i="3"/>
  <c r="BK419" i="3"/>
  <c r="BJ419" i="3"/>
  <c r="BI419" i="3"/>
  <c r="BH419" i="3"/>
  <c r="BG419" i="3"/>
  <c r="BF419" i="3"/>
  <c r="BE419" i="3"/>
  <c r="BD419" i="3"/>
  <c r="BC419" i="3"/>
  <c r="BB419" i="3"/>
  <c r="BA419" i="3"/>
  <c r="AX419" i="3"/>
  <c r="AW419" i="3"/>
  <c r="AV419" i="3"/>
  <c r="AC419" i="3"/>
  <c r="H419" i="3"/>
  <c r="G419" i="3"/>
  <c r="BT418" i="3"/>
  <c r="BS418" i="3"/>
  <c r="BR418" i="3"/>
  <c r="BQ418" i="3"/>
  <c r="BL418" i="3"/>
  <c r="BK418" i="3"/>
  <c r="BJ418" i="3"/>
  <c r="BI418" i="3"/>
  <c r="BH418" i="3"/>
  <c r="BG418" i="3"/>
  <c r="BF418" i="3"/>
  <c r="BE418" i="3"/>
  <c r="BD418" i="3"/>
  <c r="BC418" i="3"/>
  <c r="BB418" i="3"/>
  <c r="BA418" i="3"/>
  <c r="AX418" i="3"/>
  <c r="AW418" i="3"/>
  <c r="AV418" i="3"/>
  <c r="AC418" i="3"/>
  <c r="H418" i="3"/>
  <c r="G418" i="3"/>
  <c r="BT417" i="3"/>
  <c r="BS417" i="3"/>
  <c r="BR417" i="3"/>
  <c r="BQ417" i="3"/>
  <c r="BK417" i="3"/>
  <c r="BJ417" i="3"/>
  <c r="BI417" i="3"/>
  <c r="BH417" i="3"/>
  <c r="BG417" i="3"/>
  <c r="BF417" i="3"/>
  <c r="BE417" i="3"/>
  <c r="BD417" i="3"/>
  <c r="BC417" i="3"/>
  <c r="BB417" i="3"/>
  <c r="BA417" i="3"/>
  <c r="AX417" i="3"/>
  <c r="AW417" i="3"/>
  <c r="AV417" i="3"/>
  <c r="AC417" i="3"/>
  <c r="H417" i="3"/>
  <c r="BT416" i="3"/>
  <c r="BS416" i="3"/>
  <c r="BR416" i="3"/>
  <c r="BQ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L415" i="3"/>
  <c r="BK415" i="3"/>
  <c r="BJ415" i="3"/>
  <c r="BI415" i="3"/>
  <c r="BH415" i="3"/>
  <c r="BG415" i="3"/>
  <c r="BF415" i="3"/>
  <c r="BE415" i="3"/>
  <c r="BD415" i="3"/>
  <c r="BC415" i="3"/>
  <c r="BB415" i="3"/>
  <c r="BA415" i="3"/>
  <c r="AX415" i="3"/>
  <c r="AW415" i="3"/>
  <c r="AV415" i="3"/>
  <c r="AC415" i="3"/>
  <c r="H415" i="3"/>
  <c r="G415" i="3"/>
  <c r="BT414" i="3"/>
  <c r="BS414" i="3"/>
  <c r="BR414" i="3"/>
  <c r="BQ414" i="3"/>
  <c r="BL414" i="3"/>
  <c r="BK414" i="3"/>
  <c r="BJ414" i="3"/>
  <c r="BI414" i="3"/>
  <c r="BH414" i="3"/>
  <c r="BG414" i="3"/>
  <c r="BF414" i="3"/>
  <c r="BE414" i="3"/>
  <c r="BD414" i="3"/>
  <c r="BC414" i="3"/>
  <c r="BB414" i="3"/>
  <c r="AX414" i="3"/>
  <c r="AW414" i="3"/>
  <c r="AV414" i="3"/>
  <c r="AC414" i="3"/>
  <c r="H414" i="3"/>
  <c r="G414" i="3"/>
  <c r="BT413" i="3"/>
  <c r="BS413" i="3"/>
  <c r="BR413" i="3"/>
  <c r="BQ413" i="3"/>
  <c r="BL413" i="3"/>
  <c r="BK413" i="3"/>
  <c r="BJ413" i="3"/>
  <c r="BI413" i="3"/>
  <c r="BH413" i="3"/>
  <c r="BG413" i="3"/>
  <c r="BF413" i="3"/>
  <c r="BE413" i="3"/>
  <c r="BD413" i="3"/>
  <c r="BC413" i="3"/>
  <c r="BB413" i="3"/>
  <c r="AX413" i="3"/>
  <c r="AW413" i="3"/>
  <c r="AV413" i="3"/>
  <c r="AC413" i="3"/>
  <c r="H413" i="3"/>
  <c r="G413" i="3"/>
  <c r="BT412" i="3"/>
  <c r="BS412" i="3"/>
  <c r="BR412" i="3"/>
  <c r="BQ412" i="3"/>
  <c r="BK412" i="3"/>
  <c r="BJ412" i="3"/>
  <c r="BI412" i="3"/>
  <c r="BH412" i="3"/>
  <c r="BG412" i="3"/>
  <c r="BF412" i="3"/>
  <c r="BE412" i="3"/>
  <c r="BD412" i="3"/>
  <c r="BC412" i="3"/>
  <c r="BB412" i="3"/>
  <c r="BA412" i="3"/>
  <c r="AX412" i="3"/>
  <c r="AW412" i="3"/>
  <c r="AV412" i="3"/>
  <c r="AC412" i="3"/>
  <c r="H412" i="3"/>
  <c r="BT411" i="3"/>
  <c r="BS411" i="3"/>
  <c r="BR411" i="3"/>
  <c r="BQ411" i="3"/>
  <c r="BL411" i="3"/>
  <c r="BK411" i="3"/>
  <c r="BJ411" i="3"/>
  <c r="BI411" i="3"/>
  <c r="BH411" i="3"/>
  <c r="BG411" i="3"/>
  <c r="BF411" i="3"/>
  <c r="BE411" i="3"/>
  <c r="BD411" i="3"/>
  <c r="BC411" i="3"/>
  <c r="BB411" i="3"/>
  <c r="BA411" i="3"/>
  <c r="AZ411" i="3"/>
  <c r="AX411" i="3"/>
  <c r="AW411" i="3"/>
  <c r="AV411" i="3"/>
  <c r="AC411" i="3"/>
  <c r="H411" i="3"/>
  <c r="BT410" i="3"/>
  <c r="BS410" i="3"/>
  <c r="BR410" i="3"/>
  <c r="BQ410" i="3"/>
  <c r="BL410" i="3"/>
  <c r="BK410" i="3"/>
  <c r="BJ410" i="3"/>
  <c r="BI410" i="3"/>
  <c r="BH410" i="3"/>
  <c r="BG410" i="3"/>
  <c r="BF410" i="3"/>
  <c r="BE410" i="3"/>
  <c r="BD410" i="3"/>
  <c r="BC410" i="3"/>
  <c r="BB410" i="3"/>
  <c r="BA410" i="3"/>
  <c r="AZ410" i="3"/>
  <c r="AX410" i="3"/>
  <c r="AW410" i="3"/>
  <c r="AV410" i="3"/>
  <c r="AC410" i="3"/>
  <c r="H410" i="3"/>
  <c r="BT409" i="3"/>
  <c r="BS409" i="3"/>
  <c r="BR409" i="3"/>
  <c r="BQ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L408" i="3"/>
  <c r="BK408" i="3"/>
  <c r="BJ408" i="3"/>
  <c r="BI408" i="3"/>
  <c r="BH408" i="3"/>
  <c r="BG408" i="3"/>
  <c r="BF408" i="3"/>
  <c r="BE408" i="3"/>
  <c r="BD408" i="3"/>
  <c r="BC408" i="3"/>
  <c r="BB408" i="3"/>
  <c r="BA408" i="3"/>
  <c r="AX408" i="3"/>
  <c r="AW408" i="3"/>
  <c r="AV408" i="3"/>
  <c r="AC408" i="3"/>
  <c r="H408" i="3"/>
  <c r="G408" i="3"/>
  <c r="BT407" i="3"/>
  <c r="BS407" i="3"/>
  <c r="BR407" i="3"/>
  <c r="BQ407" i="3"/>
  <c r="BL407" i="3"/>
  <c r="BK407" i="3"/>
  <c r="BJ407" i="3"/>
  <c r="BI407" i="3"/>
  <c r="BH407" i="3"/>
  <c r="BG407" i="3"/>
  <c r="BF407" i="3"/>
  <c r="BE407" i="3"/>
  <c r="BD407" i="3"/>
  <c r="BC407" i="3"/>
  <c r="BB407" i="3"/>
  <c r="AX407" i="3"/>
  <c r="AW407" i="3"/>
  <c r="AV407" i="3"/>
  <c r="AC407" i="3"/>
  <c r="H407" i="3"/>
  <c r="G407" i="3"/>
  <c r="BT406" i="3"/>
  <c r="BS406" i="3"/>
  <c r="BR406" i="3"/>
  <c r="BQ406" i="3"/>
  <c r="BK406" i="3"/>
  <c r="BJ406" i="3"/>
  <c r="BI406" i="3"/>
  <c r="BH406" i="3"/>
  <c r="BG406" i="3"/>
  <c r="BF406" i="3"/>
  <c r="BE406" i="3"/>
  <c r="BD406" i="3"/>
  <c r="BC406" i="3"/>
  <c r="BB406" i="3"/>
  <c r="BA406" i="3"/>
  <c r="AX406" i="3"/>
  <c r="AW406" i="3"/>
  <c r="AV406" i="3"/>
  <c r="AC406" i="3"/>
  <c r="H406" i="3"/>
  <c r="G406" i="3"/>
  <c r="BT405" i="3"/>
  <c r="BS405" i="3"/>
  <c r="BR405" i="3"/>
  <c r="BQ405" i="3"/>
  <c r="BL405" i="3"/>
  <c r="BK405" i="3"/>
  <c r="BJ405" i="3"/>
  <c r="BI405" i="3"/>
  <c r="BH405" i="3"/>
  <c r="BG405" i="3"/>
  <c r="BF405" i="3"/>
  <c r="BE405" i="3"/>
  <c r="BD405" i="3"/>
  <c r="BC405" i="3"/>
  <c r="BB405" i="3"/>
  <c r="BA405" i="3"/>
  <c r="AX405" i="3"/>
  <c r="AW405" i="3"/>
  <c r="AV405" i="3"/>
  <c r="AC405" i="3"/>
  <c r="H405" i="3"/>
  <c r="G405" i="3"/>
  <c r="BT404" i="3"/>
  <c r="BS404" i="3"/>
  <c r="BR404" i="3"/>
  <c r="BQ404" i="3"/>
  <c r="BL404" i="3"/>
  <c r="BK404" i="3"/>
  <c r="BJ404" i="3"/>
  <c r="BI404" i="3"/>
  <c r="BH404" i="3"/>
  <c r="BG404" i="3"/>
  <c r="BF404" i="3"/>
  <c r="BE404" i="3"/>
  <c r="BD404" i="3"/>
  <c r="BC404" i="3"/>
  <c r="BB404" i="3"/>
  <c r="AX404" i="3"/>
  <c r="AW404" i="3"/>
  <c r="AV404" i="3"/>
  <c r="AC404" i="3"/>
  <c r="H404" i="3"/>
  <c r="G404" i="3"/>
  <c r="BT403" i="3"/>
  <c r="BS403" i="3"/>
  <c r="BR403" i="3"/>
  <c r="BQ403" i="3"/>
  <c r="BK403" i="3"/>
  <c r="BJ403" i="3"/>
  <c r="BI403" i="3"/>
  <c r="BH403" i="3"/>
  <c r="BG403" i="3"/>
  <c r="BF403" i="3"/>
  <c r="BE403" i="3"/>
  <c r="BD403" i="3"/>
  <c r="BC403" i="3"/>
  <c r="BB403" i="3"/>
  <c r="BA403" i="3"/>
  <c r="AX403" i="3"/>
  <c r="AW403" i="3"/>
  <c r="AV403" i="3"/>
  <c r="AC403" i="3"/>
  <c r="H403" i="3"/>
  <c r="G403" i="3"/>
  <c r="BT402" i="3"/>
  <c r="BS402" i="3"/>
  <c r="BR402" i="3"/>
  <c r="BQ402" i="3"/>
  <c r="BL402" i="3"/>
  <c r="BK402" i="3"/>
  <c r="BJ402" i="3"/>
  <c r="BI402" i="3"/>
  <c r="BH402" i="3"/>
  <c r="BG402" i="3"/>
  <c r="BF402" i="3"/>
  <c r="BE402" i="3"/>
  <c r="BD402" i="3"/>
  <c r="BC402" i="3"/>
  <c r="BB402" i="3"/>
  <c r="BA402" i="3"/>
  <c r="AX402" i="3"/>
  <c r="AW402" i="3"/>
  <c r="AV402" i="3"/>
  <c r="AC402" i="3"/>
  <c r="H402" i="3"/>
  <c r="G402" i="3"/>
  <c r="BT401" i="3"/>
  <c r="BS401" i="3"/>
  <c r="BR401" i="3"/>
  <c r="BQ401" i="3"/>
  <c r="BK401" i="3"/>
  <c r="BJ401" i="3"/>
  <c r="BI401" i="3"/>
  <c r="BH401" i="3"/>
  <c r="BG401" i="3"/>
  <c r="BF401" i="3"/>
  <c r="BE401" i="3"/>
  <c r="BD401" i="3"/>
  <c r="BC401" i="3"/>
  <c r="BB401" i="3"/>
  <c r="BA401" i="3"/>
  <c r="AX401" i="3"/>
  <c r="AW401" i="3"/>
  <c r="AV401" i="3"/>
  <c r="AC401" i="3"/>
  <c r="H401" i="3"/>
  <c r="BT400" i="3"/>
  <c r="BS400" i="3"/>
  <c r="BR400" i="3"/>
  <c r="BQ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L399" i="3"/>
  <c r="BK399" i="3"/>
  <c r="BJ399" i="3"/>
  <c r="BI399" i="3"/>
  <c r="BH399" i="3"/>
  <c r="BG399" i="3"/>
  <c r="BF399" i="3"/>
  <c r="BE399" i="3"/>
  <c r="BD399" i="3"/>
  <c r="BC399" i="3"/>
  <c r="BB399" i="3"/>
  <c r="BA399" i="3"/>
  <c r="AX399" i="3"/>
  <c r="AW399" i="3"/>
  <c r="AV399" i="3"/>
  <c r="AC399" i="3"/>
  <c r="H399" i="3"/>
  <c r="G399" i="3"/>
  <c r="BT398" i="3"/>
  <c r="BS398" i="3"/>
  <c r="BR398" i="3"/>
  <c r="BQ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E15" i="4"/>
  <c r="F7" i="1"/>
  <c r="G7" i="1"/>
  <c r="L21" i="4"/>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N17" i="43"/>
  <c r="M17" i="43"/>
  <c r="C18" i="43"/>
  <c r="F15" i="43"/>
  <c r="E15" i="43"/>
  <c r="D15" i="43"/>
  <c r="C15" i="43"/>
  <c r="C10" i="43"/>
  <c r="C11" i="43"/>
  <c r="C9" i="43"/>
  <c r="A7" i="43"/>
  <c r="F33" i="15"/>
  <c r="F61" i="15"/>
  <c r="M19" i="15"/>
  <c r="BR13" i="3"/>
  <c r="B22" i="1"/>
  <c r="B23" i="1"/>
  <c r="B24" i="1"/>
  <c r="B43" i="1"/>
  <c r="BQ13" i="3"/>
  <c r="BQ14" i="3"/>
  <c r="BQ15" i="3"/>
  <c r="BQ16" i="3"/>
  <c r="BQ17" i="3"/>
  <c r="BS13" i="3"/>
  <c r="BS14" i="3"/>
  <c r="BS15" i="3"/>
  <c r="BS16" i="3"/>
  <c r="BS17" i="3"/>
  <c r="BR14" i="3"/>
  <c r="BR15" i="3"/>
  <c r="BR16" i="3"/>
  <c r="BR17" i="3"/>
  <c r="BT13" i="3"/>
  <c r="BT14" i="3"/>
  <c r="BT15" i="3"/>
  <c r="BT16" i="3"/>
  <c r="BT17" i="3"/>
  <c r="BL15" i="3"/>
  <c r="E19" i="6"/>
  <c r="E20" i="6"/>
  <c r="D3" i="36"/>
  <c r="M8" i="1"/>
  <c r="F23" i="15"/>
  <c r="D24" i="15"/>
  <c r="O8" i="1"/>
  <c r="P8" i="1"/>
  <c r="M12" i="1"/>
  <c r="O12" i="1"/>
  <c r="P12"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R493" i="3"/>
  <c r="BS493" i="3"/>
  <c r="BT493" i="3"/>
  <c r="H494" i="3"/>
  <c r="AC494" i="3"/>
  <c r="BB494" i="3"/>
  <c r="BC494" i="3"/>
  <c r="BD494" i="3"/>
  <c r="BE494" i="3"/>
  <c r="BF494" i="3"/>
  <c r="BG494" i="3"/>
  <c r="BH494" i="3"/>
  <c r="BI494" i="3"/>
  <c r="BJ494" i="3"/>
  <c r="BK494" i="3"/>
  <c r="BQ494" i="3"/>
  <c r="BR494" i="3"/>
  <c r="BS494" i="3"/>
  <c r="BT494" i="3"/>
  <c r="H495" i="3"/>
  <c r="AC495" i="3"/>
  <c r="BB495" i="3"/>
  <c r="BC495" i="3"/>
  <c r="BD495" i="3"/>
  <c r="BE495" i="3"/>
  <c r="BF495" i="3"/>
  <c r="BG495" i="3"/>
  <c r="BH495" i="3"/>
  <c r="BI495" i="3"/>
  <c r="BJ495" i="3"/>
  <c r="BK495" i="3"/>
  <c r="BR495" i="3"/>
  <c r="BS495" i="3"/>
  <c r="BT495" i="3"/>
  <c r="H496" i="3"/>
  <c r="AC496" i="3"/>
  <c r="BB496" i="3"/>
  <c r="BC496" i="3"/>
  <c r="BD496" i="3"/>
  <c r="BE496" i="3"/>
  <c r="BF496" i="3"/>
  <c r="BG496" i="3"/>
  <c r="BH496" i="3"/>
  <c r="BI496" i="3"/>
  <c r="BJ496" i="3"/>
  <c r="BK496" i="3"/>
  <c r="BQ496" i="3"/>
  <c r="BR496" i="3"/>
  <c r="BS496" i="3"/>
  <c r="BT496" i="3"/>
  <c r="H497" i="3"/>
  <c r="AC497" i="3"/>
  <c r="G497" i="3"/>
  <c r="BB497" i="3"/>
  <c r="BC497" i="3"/>
  <c r="BD497" i="3"/>
  <c r="BE497" i="3"/>
  <c r="BF497" i="3"/>
  <c r="BG497" i="3"/>
  <c r="BH497" i="3"/>
  <c r="BI497" i="3"/>
  <c r="BJ497" i="3"/>
  <c r="BK497" i="3"/>
  <c r="BR497" i="3"/>
  <c r="BS497" i="3"/>
  <c r="BT497" i="3"/>
  <c r="H498" i="3"/>
  <c r="AC498" i="3"/>
  <c r="G498" i="3"/>
  <c r="BB498" i="3"/>
  <c r="BC498" i="3"/>
  <c r="BD498" i="3"/>
  <c r="BE498" i="3"/>
  <c r="BF498" i="3"/>
  <c r="BG498" i="3"/>
  <c r="BH498" i="3"/>
  <c r="BI498" i="3"/>
  <c r="BJ498" i="3"/>
  <c r="BK498" i="3"/>
  <c r="BQ498" i="3"/>
  <c r="BR498" i="3"/>
  <c r="BS498" i="3"/>
  <c r="BT498" i="3"/>
  <c r="H499" i="3"/>
  <c r="AC499" i="3"/>
  <c r="BB499" i="3"/>
  <c r="BC499" i="3"/>
  <c r="BD499" i="3"/>
  <c r="BE499" i="3"/>
  <c r="BF499" i="3"/>
  <c r="BG499" i="3"/>
  <c r="BH499" i="3"/>
  <c r="BI499" i="3"/>
  <c r="BJ499" i="3"/>
  <c r="BK499" i="3"/>
  <c r="BR499" i="3"/>
  <c r="BS499" i="3"/>
  <c r="BT499" i="3"/>
  <c r="H500" i="3"/>
  <c r="AC500" i="3"/>
  <c r="G500" i="3"/>
  <c r="BB500" i="3"/>
  <c r="BC500" i="3"/>
  <c r="BD500" i="3"/>
  <c r="BE500" i="3"/>
  <c r="BF500" i="3"/>
  <c r="BG500" i="3"/>
  <c r="BH500" i="3"/>
  <c r="BI500" i="3"/>
  <c r="BJ500" i="3"/>
  <c r="BK500" i="3"/>
  <c r="BQ500" i="3"/>
  <c r="BR500" i="3"/>
  <c r="BS500" i="3"/>
  <c r="BT500" i="3"/>
  <c r="H501" i="3"/>
  <c r="AC501" i="3"/>
  <c r="G501" i="3"/>
  <c r="BB501" i="3"/>
  <c r="BC501" i="3"/>
  <c r="BD501" i="3"/>
  <c r="BE501" i="3"/>
  <c r="BF501" i="3"/>
  <c r="BG501" i="3"/>
  <c r="BH501" i="3"/>
  <c r="BI501" i="3"/>
  <c r="BJ501" i="3"/>
  <c r="BK501" i="3"/>
  <c r="BR501" i="3"/>
  <c r="BS501" i="3"/>
  <c r="BT501" i="3"/>
  <c r="H502" i="3"/>
  <c r="AC502" i="3"/>
  <c r="G502" i="3"/>
  <c r="BB502" i="3"/>
  <c r="BC502" i="3"/>
  <c r="BD502" i="3"/>
  <c r="BE502" i="3"/>
  <c r="BF502" i="3"/>
  <c r="BG502" i="3"/>
  <c r="BH502" i="3"/>
  <c r="BI502" i="3"/>
  <c r="BJ502" i="3"/>
  <c r="BK502" i="3"/>
  <c r="BQ502" i="3"/>
  <c r="BR502" i="3"/>
  <c r="BS502" i="3"/>
  <c r="BT502" i="3"/>
  <c r="H503" i="3"/>
  <c r="AC503" i="3"/>
  <c r="BB503" i="3"/>
  <c r="BC503" i="3"/>
  <c r="BD503" i="3"/>
  <c r="BE503" i="3"/>
  <c r="BF503" i="3"/>
  <c r="BG503" i="3"/>
  <c r="BH503" i="3"/>
  <c r="BI503" i="3"/>
  <c r="BJ503" i="3"/>
  <c r="BK503" i="3"/>
  <c r="BR503" i="3"/>
  <c r="BS503" i="3"/>
  <c r="BT503" i="3"/>
  <c r="H504" i="3"/>
  <c r="AC504" i="3"/>
  <c r="BB504" i="3"/>
  <c r="BC504" i="3"/>
  <c r="BD504" i="3"/>
  <c r="BE504" i="3"/>
  <c r="BF504" i="3"/>
  <c r="BG504" i="3"/>
  <c r="BH504" i="3"/>
  <c r="BI504" i="3"/>
  <c r="BJ504" i="3"/>
  <c r="BK504" i="3"/>
  <c r="BQ504" i="3"/>
  <c r="BR504" i="3"/>
  <c r="BS504" i="3"/>
  <c r="BT504" i="3"/>
  <c r="H505" i="3"/>
  <c r="AC505" i="3"/>
  <c r="G505" i="3"/>
  <c r="BB505" i="3"/>
  <c r="BC505" i="3"/>
  <c r="BD505" i="3"/>
  <c r="BE505" i="3"/>
  <c r="BF505" i="3"/>
  <c r="BG505" i="3"/>
  <c r="BH505" i="3"/>
  <c r="BI505" i="3"/>
  <c r="BJ505" i="3"/>
  <c r="BK505" i="3"/>
  <c r="BR505" i="3"/>
  <c r="BS505" i="3"/>
  <c r="BT505" i="3"/>
  <c r="H506" i="3"/>
  <c r="AC506" i="3"/>
  <c r="BB506" i="3"/>
  <c r="BC506" i="3"/>
  <c r="BD506" i="3"/>
  <c r="BE506" i="3"/>
  <c r="BF506" i="3"/>
  <c r="BG506" i="3"/>
  <c r="BH506" i="3"/>
  <c r="BI506" i="3"/>
  <c r="BJ506" i="3"/>
  <c r="BK506" i="3"/>
  <c r="BQ506" i="3"/>
  <c r="BR506" i="3"/>
  <c r="BS506" i="3"/>
  <c r="BT506" i="3"/>
  <c r="H507" i="3"/>
  <c r="AC507" i="3"/>
  <c r="BB507" i="3"/>
  <c r="BC507" i="3"/>
  <c r="BD507" i="3"/>
  <c r="BE507" i="3"/>
  <c r="BF507" i="3"/>
  <c r="BG507" i="3"/>
  <c r="BH507" i="3"/>
  <c r="BI507" i="3"/>
  <c r="BJ507" i="3"/>
  <c r="BK507" i="3"/>
  <c r="BR507" i="3"/>
  <c r="BS507" i="3"/>
  <c r="BT507" i="3"/>
  <c r="H508" i="3"/>
  <c r="AC508" i="3"/>
  <c r="G508" i="3"/>
  <c r="BB508" i="3"/>
  <c r="BC508" i="3"/>
  <c r="BD508" i="3"/>
  <c r="BE508" i="3"/>
  <c r="BF508" i="3"/>
  <c r="BG508" i="3"/>
  <c r="BH508" i="3"/>
  <c r="BI508" i="3"/>
  <c r="BJ508" i="3"/>
  <c r="BK508" i="3"/>
  <c r="BQ508" i="3"/>
  <c r="BR508" i="3"/>
  <c r="BS508" i="3"/>
  <c r="BT508" i="3"/>
  <c r="H509" i="3"/>
  <c r="BB509" i="3"/>
  <c r="BC509" i="3"/>
  <c r="BD509" i="3"/>
  <c r="BE509" i="3"/>
  <c r="BF509" i="3"/>
  <c r="BG509" i="3"/>
  <c r="BH509" i="3"/>
  <c r="BI509" i="3"/>
  <c r="BJ509" i="3"/>
  <c r="BK509" i="3"/>
  <c r="BR509" i="3"/>
  <c r="BS509" i="3"/>
  <c r="BT509" i="3"/>
  <c r="H510" i="3"/>
  <c r="AC510" i="3"/>
  <c r="BB510" i="3"/>
  <c r="BC510" i="3"/>
  <c r="BD510" i="3"/>
  <c r="BE510" i="3"/>
  <c r="BF510" i="3"/>
  <c r="BG510" i="3"/>
  <c r="BH510" i="3"/>
  <c r="BI510" i="3"/>
  <c r="BJ510" i="3"/>
  <c r="BK510" i="3"/>
  <c r="BQ510" i="3"/>
  <c r="BR510" i="3"/>
  <c r="BS510" i="3"/>
  <c r="BT510" i="3"/>
  <c r="H511" i="3"/>
  <c r="AC511" i="3"/>
  <c r="BB511" i="3"/>
  <c r="BC511" i="3"/>
  <c r="BD511" i="3"/>
  <c r="BE511" i="3"/>
  <c r="BF511" i="3"/>
  <c r="BG511" i="3"/>
  <c r="BH511" i="3"/>
  <c r="BI511" i="3"/>
  <c r="BJ511" i="3"/>
  <c r="BK511" i="3"/>
  <c r="BR511" i="3"/>
  <c r="BS511" i="3"/>
  <c r="BT511" i="3"/>
  <c r="H512" i="3"/>
  <c r="AC512" i="3"/>
  <c r="G512" i="3"/>
  <c r="BB512" i="3"/>
  <c r="BC512" i="3"/>
  <c r="BD512" i="3"/>
  <c r="BE512" i="3"/>
  <c r="BF512" i="3"/>
  <c r="BG512" i="3"/>
  <c r="BH512" i="3"/>
  <c r="BI512" i="3"/>
  <c r="BJ512" i="3"/>
  <c r="BK512" i="3"/>
  <c r="BQ512" i="3"/>
  <c r="BR512" i="3"/>
  <c r="BS512" i="3"/>
  <c r="BT512" i="3"/>
  <c r="H513" i="3"/>
  <c r="AC513" i="3"/>
  <c r="G513" i="3"/>
  <c r="BB513" i="3"/>
  <c r="BC513" i="3"/>
  <c r="BD513" i="3"/>
  <c r="BE513" i="3"/>
  <c r="BF513" i="3"/>
  <c r="BG513" i="3"/>
  <c r="BH513" i="3"/>
  <c r="BI513" i="3"/>
  <c r="BJ513" i="3"/>
  <c r="BK513" i="3"/>
  <c r="BR513" i="3"/>
  <c r="BS513" i="3"/>
  <c r="BT513" i="3"/>
  <c r="H514" i="3"/>
  <c r="AC514" i="3"/>
  <c r="G514" i="3"/>
  <c r="BB514" i="3"/>
  <c r="BC514" i="3"/>
  <c r="BD514" i="3"/>
  <c r="BE514" i="3"/>
  <c r="BF514" i="3"/>
  <c r="BG514" i="3"/>
  <c r="BH514" i="3"/>
  <c r="BI514" i="3"/>
  <c r="BJ514" i="3"/>
  <c r="BK514" i="3"/>
  <c r="BQ514" i="3"/>
  <c r="BR514" i="3"/>
  <c r="BS514" i="3"/>
  <c r="BT514" i="3"/>
  <c r="H515" i="3"/>
  <c r="AC515" i="3"/>
  <c r="BB515" i="3"/>
  <c r="BC515" i="3"/>
  <c r="BD515" i="3"/>
  <c r="BE515" i="3"/>
  <c r="BF515" i="3"/>
  <c r="BG515" i="3"/>
  <c r="BH515" i="3"/>
  <c r="BI515" i="3"/>
  <c r="BJ515" i="3"/>
  <c r="BK515" i="3"/>
  <c r="BR515" i="3"/>
  <c r="BS515" i="3"/>
  <c r="BT515" i="3"/>
  <c r="H516" i="3"/>
  <c r="AC516" i="3"/>
  <c r="BB516" i="3"/>
  <c r="BC516" i="3"/>
  <c r="BD516" i="3"/>
  <c r="BE516" i="3"/>
  <c r="BF516" i="3"/>
  <c r="BG516" i="3"/>
  <c r="BH516" i="3"/>
  <c r="BI516" i="3"/>
  <c r="BJ516" i="3"/>
  <c r="BK516" i="3"/>
  <c r="BQ516" i="3"/>
  <c r="BR516" i="3"/>
  <c r="BS516" i="3"/>
  <c r="BT516" i="3"/>
  <c r="H517" i="3"/>
  <c r="AC517" i="3"/>
  <c r="G517" i="3"/>
  <c r="BB517" i="3"/>
  <c r="BC517" i="3"/>
  <c r="BD517" i="3"/>
  <c r="BE517" i="3"/>
  <c r="BF517" i="3"/>
  <c r="BG517" i="3"/>
  <c r="BH517" i="3"/>
  <c r="BI517" i="3"/>
  <c r="BJ517" i="3"/>
  <c r="BK517" i="3"/>
  <c r="BR517" i="3"/>
  <c r="BS517" i="3"/>
  <c r="BT517" i="3"/>
  <c r="H518" i="3"/>
  <c r="AC518" i="3"/>
  <c r="BB518" i="3"/>
  <c r="BC518" i="3"/>
  <c r="BD518" i="3"/>
  <c r="BE518" i="3"/>
  <c r="BF518" i="3"/>
  <c r="BG518" i="3"/>
  <c r="BH518" i="3"/>
  <c r="BI518" i="3"/>
  <c r="BJ518" i="3"/>
  <c r="BK518" i="3"/>
  <c r="BQ518" i="3"/>
  <c r="BR518" i="3"/>
  <c r="BS518" i="3"/>
  <c r="BT518" i="3"/>
  <c r="H519" i="3"/>
  <c r="AC519" i="3"/>
  <c r="BB519" i="3"/>
  <c r="BC519" i="3"/>
  <c r="BD519" i="3"/>
  <c r="BE519" i="3"/>
  <c r="BF519" i="3"/>
  <c r="BG519" i="3"/>
  <c r="BH519" i="3"/>
  <c r="BI519" i="3"/>
  <c r="BJ519" i="3"/>
  <c r="BK519" i="3"/>
  <c r="BR519" i="3"/>
  <c r="BS519" i="3"/>
  <c r="BT519" i="3"/>
  <c r="H520" i="3"/>
  <c r="AC520" i="3"/>
  <c r="BB520" i="3"/>
  <c r="BC520" i="3"/>
  <c r="BD520" i="3"/>
  <c r="BE520" i="3"/>
  <c r="BF520" i="3"/>
  <c r="BG520" i="3"/>
  <c r="BH520" i="3"/>
  <c r="BI520" i="3"/>
  <c r="BJ520" i="3"/>
  <c r="BK520" i="3"/>
  <c r="BQ520" i="3"/>
  <c r="BR520" i="3"/>
  <c r="BS520" i="3"/>
  <c r="BT520" i="3"/>
  <c r="H521" i="3"/>
  <c r="BB521" i="3"/>
  <c r="BC521" i="3"/>
  <c r="BD521" i="3"/>
  <c r="BE521" i="3"/>
  <c r="BF521" i="3"/>
  <c r="BG521" i="3"/>
  <c r="BH521" i="3"/>
  <c r="BI521" i="3"/>
  <c r="BJ521" i="3"/>
  <c r="BK521" i="3"/>
  <c r="BR521" i="3"/>
  <c r="BS521" i="3"/>
  <c r="BT521" i="3"/>
  <c r="H522" i="3"/>
  <c r="AC522" i="3"/>
  <c r="G522" i="3"/>
  <c r="BB522" i="3"/>
  <c r="BC522" i="3"/>
  <c r="BD522" i="3"/>
  <c r="BE522" i="3"/>
  <c r="BF522" i="3"/>
  <c r="BG522" i="3"/>
  <c r="BH522" i="3"/>
  <c r="BI522" i="3"/>
  <c r="BJ522" i="3"/>
  <c r="BK522" i="3"/>
  <c r="BQ522" i="3"/>
  <c r="BR522" i="3"/>
  <c r="BS522" i="3"/>
  <c r="BT522" i="3"/>
  <c r="H523" i="3"/>
  <c r="AC523" i="3"/>
  <c r="G523" i="3"/>
  <c r="BB523" i="3"/>
  <c r="BC523" i="3"/>
  <c r="BD523" i="3"/>
  <c r="BE523" i="3"/>
  <c r="BF523" i="3"/>
  <c r="BG523" i="3"/>
  <c r="BH523" i="3"/>
  <c r="BI523" i="3"/>
  <c r="BJ523" i="3"/>
  <c r="BK523" i="3"/>
  <c r="BR523" i="3"/>
  <c r="BS523" i="3"/>
  <c r="BT523" i="3"/>
  <c r="H524" i="3"/>
  <c r="AC524" i="3"/>
  <c r="BB524" i="3"/>
  <c r="BC524" i="3"/>
  <c r="BD524" i="3"/>
  <c r="BE524" i="3"/>
  <c r="BF524" i="3"/>
  <c r="BG524" i="3"/>
  <c r="BH524" i="3"/>
  <c r="BI524" i="3"/>
  <c r="BJ524" i="3"/>
  <c r="BK524" i="3"/>
  <c r="BQ524" i="3"/>
  <c r="BR524" i="3"/>
  <c r="BS524" i="3"/>
  <c r="BT524" i="3"/>
  <c r="H525" i="3"/>
  <c r="AC525" i="3"/>
  <c r="G525" i="3"/>
  <c r="BB525" i="3"/>
  <c r="BC525" i="3"/>
  <c r="BD525" i="3"/>
  <c r="BE525" i="3"/>
  <c r="BF525" i="3"/>
  <c r="BG525" i="3"/>
  <c r="BH525" i="3"/>
  <c r="BI525" i="3"/>
  <c r="BJ525" i="3"/>
  <c r="BK525" i="3"/>
  <c r="BR525" i="3"/>
  <c r="BS525" i="3"/>
  <c r="BT525" i="3"/>
  <c r="H526" i="3"/>
  <c r="AC526" i="3"/>
  <c r="G526" i="3"/>
  <c r="BB526" i="3"/>
  <c r="BC526" i="3"/>
  <c r="BD526" i="3"/>
  <c r="BE526" i="3"/>
  <c r="BF526" i="3"/>
  <c r="BG526" i="3"/>
  <c r="BH526" i="3"/>
  <c r="BI526" i="3"/>
  <c r="BJ526" i="3"/>
  <c r="BK526" i="3"/>
  <c r="BQ526" i="3"/>
  <c r="BR526" i="3"/>
  <c r="BS526" i="3"/>
  <c r="BT526" i="3"/>
  <c r="H527" i="3"/>
  <c r="AC527" i="3"/>
  <c r="BB527" i="3"/>
  <c r="BC527" i="3"/>
  <c r="BD527" i="3"/>
  <c r="BE527" i="3"/>
  <c r="BF527" i="3"/>
  <c r="BG527" i="3"/>
  <c r="BH527" i="3"/>
  <c r="BI527" i="3"/>
  <c r="BJ527" i="3"/>
  <c r="BK527" i="3"/>
  <c r="BR527" i="3"/>
  <c r="BS527" i="3"/>
  <c r="BT527" i="3"/>
  <c r="H528" i="3"/>
  <c r="AC528" i="3"/>
  <c r="BB528" i="3"/>
  <c r="BC528" i="3"/>
  <c r="BD528" i="3"/>
  <c r="BE528" i="3"/>
  <c r="BF528" i="3"/>
  <c r="BG528" i="3"/>
  <c r="BH528" i="3"/>
  <c r="BI528" i="3"/>
  <c r="BJ528" i="3"/>
  <c r="BK528" i="3"/>
  <c r="BQ528" i="3"/>
  <c r="BR528" i="3"/>
  <c r="BS528" i="3"/>
  <c r="BT528" i="3"/>
  <c r="H529" i="3"/>
  <c r="AC529" i="3"/>
  <c r="BB529" i="3"/>
  <c r="BC529" i="3"/>
  <c r="BD529" i="3"/>
  <c r="BE529" i="3"/>
  <c r="BF529" i="3"/>
  <c r="BG529" i="3"/>
  <c r="BH529" i="3"/>
  <c r="BI529" i="3"/>
  <c r="BJ529" i="3"/>
  <c r="BK529" i="3"/>
  <c r="BR529" i="3"/>
  <c r="BS529" i="3"/>
  <c r="BT529" i="3"/>
  <c r="H530" i="3"/>
  <c r="AC530" i="3"/>
  <c r="BB530" i="3"/>
  <c r="BC530" i="3"/>
  <c r="BD530" i="3"/>
  <c r="BE530" i="3"/>
  <c r="BF530" i="3"/>
  <c r="BG530" i="3"/>
  <c r="BH530" i="3"/>
  <c r="BI530" i="3"/>
  <c r="BJ530" i="3"/>
  <c r="BK530" i="3"/>
  <c r="BQ530" i="3"/>
  <c r="BR530" i="3"/>
  <c r="BS530" i="3"/>
  <c r="BT530" i="3"/>
  <c r="H531" i="3"/>
  <c r="AC531" i="3"/>
  <c r="BB531" i="3"/>
  <c r="BC531" i="3"/>
  <c r="BD531" i="3"/>
  <c r="BE531" i="3"/>
  <c r="BF531" i="3"/>
  <c r="BG531" i="3"/>
  <c r="BH531" i="3"/>
  <c r="BI531" i="3"/>
  <c r="BJ531" i="3"/>
  <c r="BK531" i="3"/>
  <c r="BR531" i="3"/>
  <c r="BS531" i="3"/>
  <c r="BT531" i="3"/>
  <c r="H532" i="3"/>
  <c r="AC532" i="3"/>
  <c r="BB532" i="3"/>
  <c r="BC532" i="3"/>
  <c r="BD532" i="3"/>
  <c r="BE532" i="3"/>
  <c r="BF532" i="3"/>
  <c r="BG532" i="3"/>
  <c r="BH532" i="3"/>
  <c r="BI532" i="3"/>
  <c r="BJ532" i="3"/>
  <c r="BK532" i="3"/>
  <c r="BQ532" i="3"/>
  <c r="BR532" i="3"/>
  <c r="BS532" i="3"/>
  <c r="BT532" i="3"/>
  <c r="H533" i="3"/>
  <c r="AC533" i="3"/>
  <c r="BB533" i="3"/>
  <c r="BC533" i="3"/>
  <c r="BD533" i="3"/>
  <c r="BE533" i="3"/>
  <c r="BF533" i="3"/>
  <c r="BG533" i="3"/>
  <c r="BH533" i="3"/>
  <c r="BI533" i="3"/>
  <c r="BJ533" i="3"/>
  <c r="BK533" i="3"/>
  <c r="BR533" i="3"/>
  <c r="BS533" i="3"/>
  <c r="BT533" i="3"/>
  <c r="H534" i="3"/>
  <c r="AC534" i="3"/>
  <c r="BB534" i="3"/>
  <c r="BC534" i="3"/>
  <c r="BD534" i="3"/>
  <c r="BE534" i="3"/>
  <c r="BF534" i="3"/>
  <c r="BG534" i="3"/>
  <c r="BH534" i="3"/>
  <c r="BI534" i="3"/>
  <c r="BJ534" i="3"/>
  <c r="BK534" i="3"/>
  <c r="BQ534" i="3"/>
  <c r="BR534" i="3"/>
  <c r="BS534" i="3"/>
  <c r="BT534" i="3"/>
  <c r="H535" i="3"/>
  <c r="AC535" i="3"/>
  <c r="BB535" i="3"/>
  <c r="BC535" i="3"/>
  <c r="BD535" i="3"/>
  <c r="BE535" i="3"/>
  <c r="BF535" i="3"/>
  <c r="BG535" i="3"/>
  <c r="BH535" i="3"/>
  <c r="BI535" i="3"/>
  <c r="BJ535" i="3"/>
  <c r="BK535" i="3"/>
  <c r="BR535" i="3"/>
  <c r="BS535" i="3"/>
  <c r="BT535" i="3"/>
  <c r="H536" i="3"/>
  <c r="AC536" i="3"/>
  <c r="BB536" i="3"/>
  <c r="BC536" i="3"/>
  <c r="BD536" i="3"/>
  <c r="BE536" i="3"/>
  <c r="BF536" i="3"/>
  <c r="BG536" i="3"/>
  <c r="BH536" i="3"/>
  <c r="BI536" i="3"/>
  <c r="BJ536" i="3"/>
  <c r="BK536" i="3"/>
  <c r="BQ536" i="3"/>
  <c r="BR536" i="3"/>
  <c r="BS536" i="3"/>
  <c r="BT536" i="3"/>
  <c r="H537" i="3"/>
  <c r="AC537" i="3"/>
  <c r="BB537" i="3"/>
  <c r="BC537" i="3"/>
  <c r="BD537" i="3"/>
  <c r="BE537" i="3"/>
  <c r="BF537" i="3"/>
  <c r="BG537" i="3"/>
  <c r="BH537" i="3"/>
  <c r="BI537" i="3"/>
  <c r="BJ537" i="3"/>
  <c r="BK537" i="3"/>
  <c r="BR537" i="3"/>
  <c r="BS537" i="3"/>
  <c r="BT537" i="3"/>
  <c r="H538" i="3"/>
  <c r="AC538" i="3"/>
  <c r="BB538" i="3"/>
  <c r="BC538" i="3"/>
  <c r="BD538" i="3"/>
  <c r="BE538" i="3"/>
  <c r="BF538" i="3"/>
  <c r="BG538" i="3"/>
  <c r="BH538" i="3"/>
  <c r="BI538" i="3"/>
  <c r="BJ538" i="3"/>
  <c r="BK538" i="3"/>
  <c r="BQ538" i="3"/>
  <c r="BR538" i="3"/>
  <c r="BS538" i="3"/>
  <c r="BT538" i="3"/>
  <c r="H539" i="3"/>
  <c r="AC539" i="3"/>
  <c r="BB539" i="3"/>
  <c r="BC539" i="3"/>
  <c r="BD539" i="3"/>
  <c r="BE539" i="3"/>
  <c r="BF539" i="3"/>
  <c r="BG539" i="3"/>
  <c r="BH539" i="3"/>
  <c r="BI539" i="3"/>
  <c r="BJ539" i="3"/>
  <c r="BK539" i="3"/>
  <c r="BR539" i="3"/>
  <c r="BS539" i="3"/>
  <c r="BT539" i="3"/>
  <c r="H540" i="3"/>
  <c r="AC540" i="3"/>
  <c r="BB540" i="3"/>
  <c r="BC540" i="3"/>
  <c r="BD540" i="3"/>
  <c r="BE540" i="3"/>
  <c r="BF540" i="3"/>
  <c r="BG540" i="3"/>
  <c r="BH540" i="3"/>
  <c r="BI540" i="3"/>
  <c r="BJ540" i="3"/>
  <c r="BK540" i="3"/>
  <c r="BQ540" i="3"/>
  <c r="BR540" i="3"/>
  <c r="BS540" i="3"/>
  <c r="BT540" i="3"/>
  <c r="H541" i="3"/>
  <c r="AC541" i="3"/>
  <c r="BB541" i="3"/>
  <c r="BC541" i="3"/>
  <c r="BD541" i="3"/>
  <c r="BE541" i="3"/>
  <c r="BF541" i="3"/>
  <c r="BG541" i="3"/>
  <c r="BH541" i="3"/>
  <c r="BI541" i="3"/>
  <c r="BJ541" i="3"/>
  <c r="BK541" i="3"/>
  <c r="BR541" i="3"/>
  <c r="BS541" i="3"/>
  <c r="BT541" i="3"/>
  <c r="H542" i="3"/>
  <c r="AC542" i="3"/>
  <c r="G542" i="3"/>
  <c r="BB542" i="3"/>
  <c r="BC542" i="3"/>
  <c r="BD542" i="3"/>
  <c r="BE542" i="3"/>
  <c r="BF542" i="3"/>
  <c r="BG542" i="3"/>
  <c r="BH542" i="3"/>
  <c r="BI542" i="3"/>
  <c r="BJ542" i="3"/>
  <c r="BK542" i="3"/>
  <c r="BQ542" i="3"/>
  <c r="BR542" i="3"/>
  <c r="BS542" i="3"/>
  <c r="BT542" i="3"/>
  <c r="H543" i="3"/>
  <c r="AC543" i="3"/>
  <c r="BB543" i="3"/>
  <c r="BC543" i="3"/>
  <c r="BD543" i="3"/>
  <c r="BE543" i="3"/>
  <c r="BF543" i="3"/>
  <c r="BG543" i="3"/>
  <c r="BH543" i="3"/>
  <c r="BI543" i="3"/>
  <c r="BJ543" i="3"/>
  <c r="BK543" i="3"/>
  <c r="BR543" i="3"/>
  <c r="BS543" i="3"/>
  <c r="BT543" i="3"/>
  <c r="H544" i="3"/>
  <c r="AC544" i="3"/>
  <c r="BB544" i="3"/>
  <c r="BC544" i="3"/>
  <c r="BD544" i="3"/>
  <c r="BE544" i="3"/>
  <c r="BF544" i="3"/>
  <c r="BG544" i="3"/>
  <c r="BH544" i="3"/>
  <c r="BI544" i="3"/>
  <c r="BJ544" i="3"/>
  <c r="BK544" i="3"/>
  <c r="BQ544" i="3"/>
  <c r="BR544" i="3"/>
  <c r="BS544" i="3"/>
  <c r="BT544" i="3"/>
  <c r="H545" i="3"/>
  <c r="AC545" i="3"/>
  <c r="BB545" i="3"/>
  <c r="BC545" i="3"/>
  <c r="BD545" i="3"/>
  <c r="BE545" i="3"/>
  <c r="BF545" i="3"/>
  <c r="BG545" i="3"/>
  <c r="BH545" i="3"/>
  <c r="BI545" i="3"/>
  <c r="BJ545" i="3"/>
  <c r="BK545" i="3"/>
  <c r="BR545" i="3"/>
  <c r="BS545" i="3"/>
  <c r="BT545" i="3"/>
  <c r="H546" i="3"/>
  <c r="AC546" i="3"/>
  <c r="BB546" i="3"/>
  <c r="BC546" i="3"/>
  <c r="BD546" i="3"/>
  <c r="BE546" i="3"/>
  <c r="BF546" i="3"/>
  <c r="BG546" i="3"/>
  <c r="BH546" i="3"/>
  <c r="BI546" i="3"/>
  <c r="BJ546" i="3"/>
  <c r="BK546" i="3"/>
  <c r="BQ546" i="3"/>
  <c r="BR546" i="3"/>
  <c r="BS546" i="3"/>
  <c r="BT546" i="3"/>
  <c r="H547" i="3"/>
  <c r="AC547" i="3"/>
  <c r="BB547" i="3"/>
  <c r="BC547" i="3"/>
  <c r="BD547" i="3"/>
  <c r="BE547" i="3"/>
  <c r="BF547" i="3"/>
  <c r="BG547" i="3"/>
  <c r="BH547" i="3"/>
  <c r="BI547" i="3"/>
  <c r="BJ547" i="3"/>
  <c r="BK547" i="3"/>
  <c r="BR547" i="3"/>
  <c r="BS547" i="3"/>
  <c r="BT547" i="3"/>
  <c r="H548" i="3"/>
  <c r="AC548" i="3"/>
  <c r="BB548" i="3"/>
  <c r="BC548" i="3"/>
  <c r="BD548" i="3"/>
  <c r="BE548" i="3"/>
  <c r="BF548" i="3"/>
  <c r="BG548" i="3"/>
  <c r="BH548" i="3"/>
  <c r="BI548" i="3"/>
  <c r="BJ548" i="3"/>
  <c r="BK548" i="3"/>
  <c r="BQ548" i="3"/>
  <c r="BR548" i="3"/>
  <c r="BS548" i="3"/>
  <c r="BT548" i="3"/>
  <c r="H549" i="3"/>
  <c r="AC549" i="3"/>
  <c r="BB549" i="3"/>
  <c r="BC549" i="3"/>
  <c r="BD549" i="3"/>
  <c r="BE549" i="3"/>
  <c r="BF549" i="3"/>
  <c r="BG549" i="3"/>
  <c r="BH549" i="3"/>
  <c r="BI549" i="3"/>
  <c r="BJ549" i="3"/>
  <c r="BK549" i="3"/>
  <c r="BR549" i="3"/>
  <c r="BS549" i="3"/>
  <c r="BT549" i="3"/>
  <c r="H550" i="3"/>
  <c r="AC550" i="3"/>
  <c r="G550" i="3"/>
  <c r="BB550" i="3"/>
  <c r="BC550" i="3"/>
  <c r="BD550" i="3"/>
  <c r="BE550" i="3"/>
  <c r="BF550" i="3"/>
  <c r="BG550" i="3"/>
  <c r="BH550" i="3"/>
  <c r="BI550" i="3"/>
  <c r="BJ550" i="3"/>
  <c r="BK550" i="3"/>
  <c r="BQ550" i="3"/>
  <c r="BR550" i="3"/>
  <c r="BS550" i="3"/>
  <c r="BT550" i="3"/>
  <c r="H551" i="3"/>
  <c r="AC551" i="3"/>
  <c r="G551" i="3"/>
  <c r="BB551" i="3"/>
  <c r="BC551" i="3"/>
  <c r="BD551" i="3"/>
  <c r="BE551" i="3"/>
  <c r="BF551" i="3"/>
  <c r="BG551" i="3"/>
  <c r="BH551" i="3"/>
  <c r="BI551" i="3"/>
  <c r="BJ551" i="3"/>
  <c r="BK551" i="3"/>
  <c r="BR551" i="3"/>
  <c r="BS551" i="3"/>
  <c r="BT551" i="3"/>
  <c r="H552" i="3"/>
  <c r="AC552" i="3"/>
  <c r="G552" i="3"/>
  <c r="BB552" i="3"/>
  <c r="BC552" i="3"/>
  <c r="BD552" i="3"/>
  <c r="BE552" i="3"/>
  <c r="BF552" i="3"/>
  <c r="BG552" i="3"/>
  <c r="BH552" i="3"/>
  <c r="BI552" i="3"/>
  <c r="BJ552" i="3"/>
  <c r="BK552" i="3"/>
  <c r="BQ552" i="3"/>
  <c r="BR552" i="3"/>
  <c r="BS552" i="3"/>
  <c r="BT552" i="3"/>
  <c r="H553" i="3"/>
  <c r="AC553" i="3"/>
  <c r="BB553" i="3"/>
  <c r="BC553" i="3"/>
  <c r="BD553" i="3"/>
  <c r="BE553" i="3"/>
  <c r="BF553" i="3"/>
  <c r="BG553" i="3"/>
  <c r="BH553" i="3"/>
  <c r="BI553" i="3"/>
  <c r="BJ553" i="3"/>
  <c r="BK553" i="3"/>
  <c r="BR553" i="3"/>
  <c r="BS553" i="3"/>
  <c r="BT553" i="3"/>
  <c r="H554" i="3"/>
  <c r="AC554" i="3"/>
  <c r="BB554" i="3"/>
  <c r="BC554" i="3"/>
  <c r="BD554" i="3"/>
  <c r="BE554" i="3"/>
  <c r="BF554" i="3"/>
  <c r="BG554" i="3"/>
  <c r="BH554" i="3"/>
  <c r="BI554" i="3"/>
  <c r="BJ554" i="3"/>
  <c r="BK554" i="3"/>
  <c r="BQ554" i="3"/>
  <c r="BR554" i="3"/>
  <c r="BS554" i="3"/>
  <c r="BT554" i="3"/>
  <c r="H555" i="3"/>
  <c r="AC555" i="3"/>
  <c r="BB555" i="3"/>
  <c r="BC555" i="3"/>
  <c r="BD555" i="3"/>
  <c r="BE555" i="3"/>
  <c r="BF555" i="3"/>
  <c r="BG555" i="3"/>
  <c r="BH555" i="3"/>
  <c r="BI555" i="3"/>
  <c r="BJ555" i="3"/>
  <c r="BK555" i="3"/>
  <c r="BR555" i="3"/>
  <c r="BS555" i="3"/>
  <c r="BT555" i="3"/>
  <c r="H556" i="3"/>
  <c r="AC556" i="3"/>
  <c r="G556" i="3"/>
  <c r="BB556" i="3"/>
  <c r="BC556" i="3"/>
  <c r="BD556" i="3"/>
  <c r="BE556" i="3"/>
  <c r="BF556" i="3"/>
  <c r="BG556" i="3"/>
  <c r="BH556" i="3"/>
  <c r="BI556" i="3"/>
  <c r="BJ556" i="3"/>
  <c r="BK556" i="3"/>
  <c r="BQ556" i="3"/>
  <c r="BR556" i="3"/>
  <c r="BS556" i="3"/>
  <c r="BT556" i="3"/>
  <c r="H557" i="3"/>
  <c r="BB557" i="3"/>
  <c r="BC557" i="3"/>
  <c r="BD557" i="3"/>
  <c r="BE557" i="3"/>
  <c r="BF557" i="3"/>
  <c r="BG557" i="3"/>
  <c r="BH557" i="3"/>
  <c r="BI557" i="3"/>
  <c r="BJ557" i="3"/>
  <c r="BK557" i="3"/>
  <c r="BR557" i="3"/>
  <c r="BS557" i="3"/>
  <c r="BT557" i="3"/>
  <c r="H558" i="3"/>
  <c r="AC558" i="3"/>
  <c r="BB558" i="3"/>
  <c r="BC558" i="3"/>
  <c r="BD558" i="3"/>
  <c r="BE558" i="3"/>
  <c r="BF558" i="3"/>
  <c r="BG558" i="3"/>
  <c r="BH558" i="3"/>
  <c r="BI558" i="3"/>
  <c r="BJ558" i="3"/>
  <c r="BK558" i="3"/>
  <c r="BQ558" i="3"/>
  <c r="BR558" i="3"/>
  <c r="BS558" i="3"/>
  <c r="BT558" i="3"/>
  <c r="H559" i="3"/>
  <c r="AC559" i="3"/>
  <c r="G559" i="3"/>
  <c r="BB559" i="3"/>
  <c r="BC559" i="3"/>
  <c r="BD559" i="3"/>
  <c r="BE559" i="3"/>
  <c r="BF559" i="3"/>
  <c r="BG559" i="3"/>
  <c r="BH559" i="3"/>
  <c r="BI559" i="3"/>
  <c r="BJ559" i="3"/>
  <c r="BK559" i="3"/>
  <c r="BR559" i="3"/>
  <c r="BS559" i="3"/>
  <c r="BT559" i="3"/>
  <c r="H560" i="3"/>
  <c r="AC560" i="3"/>
  <c r="G560" i="3"/>
  <c r="BB560" i="3"/>
  <c r="BC560" i="3"/>
  <c r="BD560" i="3"/>
  <c r="BE560" i="3"/>
  <c r="BF560" i="3"/>
  <c r="BG560" i="3"/>
  <c r="BH560" i="3"/>
  <c r="BI560" i="3"/>
  <c r="BJ560" i="3"/>
  <c r="BK560" i="3"/>
  <c r="BQ560" i="3"/>
  <c r="BR560" i="3"/>
  <c r="BS560" i="3"/>
  <c r="BT560" i="3"/>
  <c r="H561" i="3"/>
  <c r="AC561" i="3"/>
  <c r="BB561" i="3"/>
  <c r="BC561" i="3"/>
  <c r="BD561" i="3"/>
  <c r="BE561" i="3"/>
  <c r="BF561" i="3"/>
  <c r="BG561" i="3"/>
  <c r="BH561" i="3"/>
  <c r="BI561" i="3"/>
  <c r="BJ561" i="3"/>
  <c r="BK561" i="3"/>
  <c r="BR561" i="3"/>
  <c r="BS561" i="3"/>
  <c r="BT561" i="3"/>
  <c r="H562" i="3"/>
  <c r="AC562" i="3"/>
  <c r="G562" i="3"/>
  <c r="BB562" i="3"/>
  <c r="BC562" i="3"/>
  <c r="BD562" i="3"/>
  <c r="BE562" i="3"/>
  <c r="BF562" i="3"/>
  <c r="BG562" i="3"/>
  <c r="BH562" i="3"/>
  <c r="BI562" i="3"/>
  <c r="BJ562" i="3"/>
  <c r="BK562" i="3"/>
  <c r="BQ562" i="3"/>
  <c r="BR562" i="3"/>
  <c r="BS562" i="3"/>
  <c r="BT562" i="3"/>
  <c r="H563" i="3"/>
  <c r="AC563" i="3"/>
  <c r="G563" i="3"/>
  <c r="BB563" i="3"/>
  <c r="BC563" i="3"/>
  <c r="BD563" i="3"/>
  <c r="BE563" i="3"/>
  <c r="BF563" i="3"/>
  <c r="BG563" i="3"/>
  <c r="BH563" i="3"/>
  <c r="BI563" i="3"/>
  <c r="BJ563" i="3"/>
  <c r="BK563" i="3"/>
  <c r="BR563" i="3"/>
  <c r="BS563" i="3"/>
  <c r="BT563" i="3"/>
  <c r="H564" i="3"/>
  <c r="AC564" i="3"/>
  <c r="BB564" i="3"/>
  <c r="BC564" i="3"/>
  <c r="BD564" i="3"/>
  <c r="BE564" i="3"/>
  <c r="BF564" i="3"/>
  <c r="BG564" i="3"/>
  <c r="BH564" i="3"/>
  <c r="BI564" i="3"/>
  <c r="BJ564" i="3"/>
  <c r="BK564" i="3"/>
  <c r="BQ564" i="3"/>
  <c r="BR564" i="3"/>
  <c r="BS564" i="3"/>
  <c r="BT564" i="3"/>
  <c r="H565" i="3"/>
  <c r="AC565" i="3"/>
  <c r="BB565" i="3"/>
  <c r="BC565" i="3"/>
  <c r="BD565" i="3"/>
  <c r="BE565" i="3"/>
  <c r="BF565" i="3"/>
  <c r="BG565" i="3"/>
  <c r="BH565" i="3"/>
  <c r="BI565" i="3"/>
  <c r="BJ565" i="3"/>
  <c r="BK565" i="3"/>
  <c r="BR565" i="3"/>
  <c r="BS565" i="3"/>
  <c r="BT565" i="3"/>
  <c r="H566" i="3"/>
  <c r="AC566" i="3"/>
  <c r="G566" i="3"/>
  <c r="BB566" i="3"/>
  <c r="BC566" i="3"/>
  <c r="BD566" i="3"/>
  <c r="BE566" i="3"/>
  <c r="BF566" i="3"/>
  <c r="BG566" i="3"/>
  <c r="BH566" i="3"/>
  <c r="BI566" i="3"/>
  <c r="BJ566" i="3"/>
  <c r="BK566" i="3"/>
  <c r="BQ566" i="3"/>
  <c r="BR566" i="3"/>
  <c r="BS566" i="3"/>
  <c r="BT566" i="3"/>
  <c r="H567" i="3"/>
  <c r="AC567" i="3"/>
  <c r="BB567" i="3"/>
  <c r="BC567" i="3"/>
  <c r="BD567" i="3"/>
  <c r="BE567" i="3"/>
  <c r="BF567" i="3"/>
  <c r="BG567" i="3"/>
  <c r="BH567" i="3"/>
  <c r="BI567" i="3"/>
  <c r="BJ567" i="3"/>
  <c r="BK567" i="3"/>
  <c r="BR567" i="3"/>
  <c r="BS567" i="3"/>
  <c r="BT567" i="3"/>
  <c r="H568" i="3"/>
  <c r="AC568" i="3"/>
  <c r="BB568" i="3"/>
  <c r="BC568" i="3"/>
  <c r="BD568" i="3"/>
  <c r="BE568" i="3"/>
  <c r="BF568" i="3"/>
  <c r="BG568" i="3"/>
  <c r="BH568" i="3"/>
  <c r="BI568" i="3"/>
  <c r="BJ568" i="3"/>
  <c r="BK568" i="3"/>
  <c r="BQ568" i="3"/>
  <c r="BR568" i="3"/>
  <c r="BS568" i="3"/>
  <c r="BT568" i="3"/>
  <c r="H569" i="3"/>
  <c r="AC569" i="3"/>
  <c r="BB569" i="3"/>
  <c r="BC569" i="3"/>
  <c r="BD569" i="3"/>
  <c r="BE569" i="3"/>
  <c r="BF569" i="3"/>
  <c r="BG569" i="3"/>
  <c r="BH569" i="3"/>
  <c r="BI569" i="3"/>
  <c r="BJ569" i="3"/>
  <c r="BK569" i="3"/>
  <c r="BR569" i="3"/>
  <c r="BS569" i="3"/>
  <c r="BT569" i="3"/>
  <c r="H570" i="3"/>
  <c r="AC570" i="3"/>
  <c r="G570" i="3"/>
  <c r="BB570" i="3"/>
  <c r="BC570" i="3"/>
  <c r="BD570" i="3"/>
  <c r="BE570" i="3"/>
  <c r="BF570" i="3"/>
  <c r="BG570" i="3"/>
  <c r="BH570" i="3"/>
  <c r="BI570" i="3"/>
  <c r="BJ570" i="3"/>
  <c r="BK570" i="3"/>
  <c r="BQ570" i="3"/>
  <c r="BR570" i="3"/>
  <c r="BS570" i="3"/>
  <c r="BT570" i="3"/>
  <c r="H571" i="3"/>
  <c r="AC571" i="3"/>
  <c r="BB571" i="3"/>
  <c r="BC571" i="3"/>
  <c r="BD571" i="3"/>
  <c r="BE571" i="3"/>
  <c r="BF571" i="3"/>
  <c r="BG571" i="3"/>
  <c r="BH571" i="3"/>
  <c r="BI571" i="3"/>
  <c r="BJ571" i="3"/>
  <c r="BK571" i="3"/>
  <c r="BR571" i="3"/>
  <c r="BS571" i="3"/>
  <c r="BT571" i="3"/>
  <c r="H572" i="3"/>
  <c r="AC572" i="3"/>
  <c r="BB572" i="3"/>
  <c r="BC572" i="3"/>
  <c r="BD572" i="3"/>
  <c r="BE572" i="3"/>
  <c r="BF572" i="3"/>
  <c r="BG572" i="3"/>
  <c r="BH572" i="3"/>
  <c r="BI572" i="3"/>
  <c r="BJ572" i="3"/>
  <c r="BK572" i="3"/>
  <c r="BQ572" i="3"/>
  <c r="BR572" i="3"/>
  <c r="BS572" i="3"/>
  <c r="BT572" i="3"/>
  <c r="H573" i="3"/>
  <c r="AC573" i="3"/>
  <c r="BB573" i="3"/>
  <c r="BC573" i="3"/>
  <c r="BD573" i="3"/>
  <c r="BE573" i="3"/>
  <c r="BF573" i="3"/>
  <c r="BG573" i="3"/>
  <c r="BH573" i="3"/>
  <c r="BI573" i="3"/>
  <c r="BJ573" i="3"/>
  <c r="BK573" i="3"/>
  <c r="BR573" i="3"/>
  <c r="BS573" i="3"/>
  <c r="BT573" i="3"/>
  <c r="H574" i="3"/>
  <c r="AC574" i="3"/>
  <c r="BB574" i="3"/>
  <c r="BC574" i="3"/>
  <c r="BD574" i="3"/>
  <c r="BE574" i="3"/>
  <c r="BF574" i="3"/>
  <c r="BG574" i="3"/>
  <c r="BH574" i="3"/>
  <c r="BI574" i="3"/>
  <c r="BJ574" i="3"/>
  <c r="BK574" i="3"/>
  <c r="BQ574" i="3"/>
  <c r="BR574" i="3"/>
  <c r="BS574" i="3"/>
  <c r="BT574" i="3"/>
  <c r="H575" i="3"/>
  <c r="AC575" i="3"/>
  <c r="G575" i="3"/>
  <c r="BB575" i="3"/>
  <c r="BC575" i="3"/>
  <c r="BD575" i="3"/>
  <c r="BE575" i="3"/>
  <c r="BF575" i="3"/>
  <c r="BG575" i="3"/>
  <c r="BH575" i="3"/>
  <c r="BI575" i="3"/>
  <c r="BJ575" i="3"/>
  <c r="BK575" i="3"/>
  <c r="BR575" i="3"/>
  <c r="BS575" i="3"/>
  <c r="BT575" i="3"/>
  <c r="H576" i="3"/>
  <c r="AC576" i="3"/>
  <c r="G576" i="3"/>
  <c r="BB576" i="3"/>
  <c r="BC576" i="3"/>
  <c r="BD576" i="3"/>
  <c r="BE576" i="3"/>
  <c r="BF576" i="3"/>
  <c r="BG576" i="3"/>
  <c r="BH576" i="3"/>
  <c r="BI576" i="3"/>
  <c r="BJ576" i="3"/>
  <c r="BK576" i="3"/>
  <c r="BQ576" i="3"/>
  <c r="BR576" i="3"/>
  <c r="BS576" i="3"/>
  <c r="BT576" i="3"/>
  <c r="H577" i="3"/>
  <c r="AC577" i="3"/>
  <c r="BB577" i="3"/>
  <c r="BC577" i="3"/>
  <c r="BD577" i="3"/>
  <c r="BE577" i="3"/>
  <c r="BF577" i="3"/>
  <c r="BG577" i="3"/>
  <c r="BH577" i="3"/>
  <c r="BI577" i="3"/>
  <c r="BJ577" i="3"/>
  <c r="BK577" i="3"/>
  <c r="BR577" i="3"/>
  <c r="BS577" i="3"/>
  <c r="BT577" i="3"/>
  <c r="H578" i="3"/>
  <c r="AC578" i="3"/>
  <c r="G578" i="3"/>
  <c r="BB578" i="3"/>
  <c r="BC578" i="3"/>
  <c r="BD578" i="3"/>
  <c r="BE578" i="3"/>
  <c r="BF578" i="3"/>
  <c r="BG578" i="3"/>
  <c r="BH578" i="3"/>
  <c r="BI578" i="3"/>
  <c r="BJ578" i="3"/>
  <c r="BK578" i="3"/>
  <c r="BQ578" i="3"/>
  <c r="BR578" i="3"/>
  <c r="BS578" i="3"/>
  <c r="BT578" i="3"/>
  <c r="H579" i="3"/>
  <c r="AC579" i="3"/>
  <c r="G579" i="3"/>
  <c r="BB579" i="3"/>
  <c r="BC579" i="3"/>
  <c r="BD579" i="3"/>
  <c r="BE579" i="3"/>
  <c r="BF579" i="3"/>
  <c r="BG579" i="3"/>
  <c r="BH579" i="3"/>
  <c r="BI579" i="3"/>
  <c r="BJ579" i="3"/>
  <c r="BK579" i="3"/>
  <c r="BR579" i="3"/>
  <c r="BS579" i="3"/>
  <c r="BT579" i="3"/>
  <c r="H580" i="3"/>
  <c r="AC580" i="3"/>
  <c r="BB580" i="3"/>
  <c r="BC580" i="3"/>
  <c r="BD580" i="3"/>
  <c r="BE580" i="3"/>
  <c r="BF580" i="3"/>
  <c r="BG580" i="3"/>
  <c r="BH580" i="3"/>
  <c r="BI580" i="3"/>
  <c r="BJ580" i="3"/>
  <c r="BK580" i="3"/>
  <c r="BQ580" i="3"/>
  <c r="BR580" i="3"/>
  <c r="BS580" i="3"/>
  <c r="BT580" i="3"/>
  <c r="H581" i="3"/>
  <c r="AC581" i="3"/>
  <c r="BB581" i="3"/>
  <c r="BC581" i="3"/>
  <c r="BD581" i="3"/>
  <c r="BE581" i="3"/>
  <c r="BF581" i="3"/>
  <c r="BG581" i="3"/>
  <c r="BH581" i="3"/>
  <c r="BI581" i="3"/>
  <c r="BJ581" i="3"/>
  <c r="BK581" i="3"/>
  <c r="BR581" i="3"/>
  <c r="BS581" i="3"/>
  <c r="BT581" i="3"/>
  <c r="H582" i="3"/>
  <c r="AC582" i="3"/>
  <c r="G582" i="3"/>
  <c r="BB582" i="3"/>
  <c r="BC582" i="3"/>
  <c r="BD582" i="3"/>
  <c r="BE582" i="3"/>
  <c r="BF582" i="3"/>
  <c r="BG582" i="3"/>
  <c r="BH582" i="3"/>
  <c r="BI582" i="3"/>
  <c r="BJ582" i="3"/>
  <c r="BK582" i="3"/>
  <c r="BQ582" i="3"/>
  <c r="BR582" i="3"/>
  <c r="BS582" i="3"/>
  <c r="BT582" i="3"/>
  <c r="H583" i="3"/>
  <c r="AC583" i="3"/>
  <c r="BB583" i="3"/>
  <c r="BC583" i="3"/>
  <c r="BD583" i="3"/>
  <c r="BE583" i="3"/>
  <c r="BF583" i="3"/>
  <c r="BG583" i="3"/>
  <c r="BH583" i="3"/>
  <c r="BI583" i="3"/>
  <c r="BJ583" i="3"/>
  <c r="BK583" i="3"/>
  <c r="BR583" i="3"/>
  <c r="BS583" i="3"/>
  <c r="BT583" i="3"/>
  <c r="H584" i="3"/>
  <c r="AC584" i="3"/>
  <c r="BB584" i="3"/>
  <c r="BC584" i="3"/>
  <c r="BD584" i="3"/>
  <c r="BE584" i="3"/>
  <c r="BF584" i="3"/>
  <c r="BG584" i="3"/>
  <c r="BH584" i="3"/>
  <c r="BI584" i="3"/>
  <c r="BJ584" i="3"/>
  <c r="BK584" i="3"/>
  <c r="BQ584" i="3"/>
  <c r="BR584" i="3"/>
  <c r="BS584" i="3"/>
  <c r="BT584" i="3"/>
  <c r="H7" i="12"/>
  <c r="I7" i="12"/>
  <c r="J7" i="12"/>
  <c r="K7" i="12"/>
  <c r="H111" i="21"/>
  <c r="B110" i="39"/>
  <c r="H35" i="39"/>
  <c r="AB35" i="39"/>
  <c r="B112" i="39"/>
  <c r="J30" i="36"/>
  <c r="AC30" i="36"/>
  <c r="H30" i="36"/>
  <c r="F30" i="36"/>
  <c r="AA30" i="36"/>
  <c r="C26" i="35"/>
  <c r="C79" i="35"/>
  <c r="J31" i="35"/>
  <c r="W31" i="35"/>
  <c r="H31" i="35"/>
  <c r="F31" i="35"/>
  <c r="AA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W41" i="33"/>
  <c r="D113" i="33"/>
  <c r="F37" i="33"/>
  <c r="D111" i="33"/>
  <c r="E111" i="33"/>
  <c r="F111" i="33"/>
  <c r="S515" i="31"/>
  <c r="S516" i="31"/>
  <c r="S517" i="31"/>
  <c r="S518" i="31"/>
  <c r="S519" i="31"/>
  <c r="S520" i="31"/>
  <c r="S521" i="31"/>
  <c r="S522" i="31"/>
  <c r="S523" i="31"/>
  <c r="S524"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W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H13" i="40"/>
  <c r="U13" i="40"/>
  <c r="B77" i="40"/>
  <c r="J12" i="40"/>
  <c r="AC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U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B104" i="39"/>
  <c r="F31" i="39"/>
  <c r="D97" i="39"/>
  <c r="J23" i="39"/>
  <c r="AC23" i="39"/>
  <c r="D95" i="39"/>
  <c r="E95" i="39"/>
  <c r="F95" i="39"/>
  <c r="D93" i="39"/>
  <c r="E93" i="39"/>
  <c r="F93" i="39"/>
  <c r="G93" i="39"/>
  <c r="D91" i="39"/>
  <c r="E91" i="39"/>
  <c r="F91" i="39"/>
  <c r="G91" i="39"/>
  <c r="D89" i="39"/>
  <c r="E89" i="39"/>
  <c r="F89" i="39"/>
  <c r="G89" i="39"/>
  <c r="B86" i="39"/>
  <c r="J14"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J40" i="37"/>
  <c r="D107" i="37"/>
  <c r="E107" i="37"/>
  <c r="F107" i="37"/>
  <c r="G107" i="37"/>
  <c r="H107" i="37"/>
  <c r="I107" i="37"/>
  <c r="J107" i="37"/>
  <c r="K107" i="37"/>
  <c r="L107" i="37"/>
  <c r="M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D79" i="37"/>
  <c r="E79" i="37"/>
  <c r="D75" i="37"/>
  <c r="E75" i="37"/>
  <c r="D73" i="37"/>
  <c r="E73" i="37"/>
  <c r="F73" i="37"/>
  <c r="D71" i="37"/>
  <c r="H15" i="37"/>
  <c r="AB15" i="37"/>
  <c r="B68" i="37"/>
  <c r="H14" i="37"/>
  <c r="AB14" i="37"/>
  <c r="B66" i="37"/>
  <c r="B64" i="37"/>
  <c r="H12" i="37"/>
  <c r="D63" i="37"/>
  <c r="E63" i="37"/>
  <c r="M61" i="37"/>
  <c r="L61" i="37"/>
  <c r="K61" i="37"/>
  <c r="J61" i="37"/>
  <c r="I61" i="37"/>
  <c r="H61" i="37"/>
  <c r="G61" i="37"/>
  <c r="F61" i="37"/>
  <c r="E61" i="37"/>
  <c r="D61" i="37"/>
  <c r="C61" i="37"/>
  <c r="F60" i="37"/>
  <c r="G6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J24" i="36"/>
  <c r="B71" i="36"/>
  <c r="J23" i="36"/>
  <c r="AC23" i="36"/>
  <c r="D70" i="36"/>
  <c r="H22" i="36"/>
  <c r="AB22" i="36"/>
  <c r="D68" i="36"/>
  <c r="E68" i="36"/>
  <c r="F68" i="36"/>
  <c r="G68" i="36"/>
  <c r="D64" i="36"/>
  <c r="E64" i="36"/>
  <c r="F64" i="36"/>
  <c r="G64" i="36"/>
  <c r="J16" i="36"/>
  <c r="W16" i="36"/>
  <c r="D62" i="36"/>
  <c r="E62" i="36"/>
  <c r="F62" i="36"/>
  <c r="G62" i="36"/>
  <c r="B59" i="36"/>
  <c r="J13"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F35" i="35"/>
  <c r="AA35" i="35"/>
  <c r="B97" i="35"/>
  <c r="B77" i="35"/>
  <c r="J25" i="35"/>
  <c r="W25" i="35"/>
  <c r="B75" i="35"/>
  <c r="J24" i="35"/>
  <c r="AC24" i="35"/>
  <c r="B73" i="35"/>
  <c r="H23" i="35"/>
  <c r="U23" i="35"/>
  <c r="B57" i="35"/>
  <c r="B61" i="35"/>
  <c r="J13" i="35"/>
  <c r="AC13" i="35"/>
  <c r="B59" i="35"/>
  <c r="B131" i="34"/>
  <c r="H47" i="34"/>
  <c r="U47" i="34"/>
  <c r="B129" i="34"/>
  <c r="B127" i="34"/>
  <c r="J45" i="34"/>
  <c r="W45" i="34"/>
  <c r="B99" i="34"/>
  <c r="B97" i="34"/>
  <c r="J31" i="34"/>
  <c r="B95" i="34"/>
  <c r="B93" i="34"/>
  <c r="F29" i="34"/>
  <c r="S29" i="34"/>
  <c r="B75" i="34"/>
  <c r="B73" i="34"/>
  <c r="H13" i="34"/>
  <c r="B71" i="34"/>
  <c r="B130" i="33"/>
  <c r="F46" i="33"/>
  <c r="AA46" i="33"/>
  <c r="B128" i="33"/>
  <c r="B126" i="33"/>
  <c r="H44" i="33"/>
  <c r="B98" i="33"/>
  <c r="B96" i="33"/>
  <c r="F30" i="33"/>
  <c r="B94" i="33"/>
  <c r="B74" i="33"/>
  <c r="H14" i="33"/>
  <c r="U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J42" i="33"/>
  <c r="AC42"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AC41" i="33"/>
  <c r="Q41" i="33"/>
  <c r="Z41" i="33"/>
  <c r="Q40" i="33"/>
  <c r="Z40" i="33"/>
  <c r="J40" i="33"/>
  <c r="AC40" i="33"/>
  <c r="H40" i="33"/>
  <c r="AB40" i="33"/>
  <c r="Q39" i="33"/>
  <c r="Z39" i="33"/>
  <c r="J39" i="33"/>
  <c r="AC39" i="33"/>
  <c r="Q38" i="33"/>
  <c r="Z38" i="33"/>
  <c r="J38" i="33"/>
  <c r="AC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Q585" i="3"/>
  <c r="BR585" i="3"/>
  <c r="BS585" i="3"/>
  <c r="BT585" i="3"/>
  <c r="BB586" i="3"/>
  <c r="BC586" i="3"/>
  <c r="BD586" i="3"/>
  <c r="BE586" i="3"/>
  <c r="BF586" i="3"/>
  <c r="BG586" i="3"/>
  <c r="BH586" i="3"/>
  <c r="BI586" i="3"/>
  <c r="BJ586" i="3"/>
  <c r="BK586" i="3"/>
  <c r="BQ586" i="3"/>
  <c r="BR586" i="3"/>
  <c r="BS586" i="3"/>
  <c r="BT586" i="3"/>
  <c r="BB587" i="3"/>
  <c r="BC587" i="3"/>
  <c r="BD587" i="3"/>
  <c r="BE587" i="3"/>
  <c r="BF587" i="3"/>
  <c r="BG587" i="3"/>
  <c r="BH587" i="3"/>
  <c r="BI587" i="3"/>
  <c r="BJ587" i="3"/>
  <c r="BK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AA41" i="21"/>
  <c r="F45" i="39"/>
  <c r="S45" i="39"/>
  <c r="J45" i="39"/>
  <c r="W45" i="39"/>
  <c r="J44" i="39"/>
  <c r="AC44" i="39"/>
  <c r="F36" i="39"/>
  <c r="S36" i="39"/>
  <c r="H36" i="39"/>
  <c r="AB36" i="39"/>
  <c r="J35" i="39"/>
  <c r="AC35" i="39"/>
  <c r="J36" i="39"/>
  <c r="AC36" i="39"/>
  <c r="W40" i="39"/>
  <c r="W25" i="37"/>
  <c r="U30" i="37"/>
  <c r="E103" i="37"/>
  <c r="F103" i="37"/>
  <c r="G103" i="37"/>
  <c r="H103" i="37"/>
  <c r="I103" i="37"/>
  <c r="J103" i="37"/>
  <c r="K103" i="37"/>
  <c r="L103" i="37"/>
  <c r="M103" i="37"/>
  <c r="F39" i="37"/>
  <c r="S39" i="37"/>
  <c r="F29" i="36"/>
  <c r="AA29" i="36"/>
  <c r="W8" i="36"/>
  <c r="F16" i="36"/>
  <c r="AA16" i="36"/>
  <c r="U9" i="36"/>
  <c r="AA31" i="36"/>
  <c r="W31" i="36"/>
  <c r="U31" i="36"/>
  <c r="H22" i="35"/>
  <c r="AB22" i="35"/>
  <c r="W28" i="35"/>
  <c r="U31" i="35"/>
  <c r="S34" i="35"/>
  <c r="W34" i="35"/>
  <c r="W36" i="35"/>
  <c r="W22" i="35"/>
  <c r="S31" i="35"/>
  <c r="F36" i="34"/>
  <c r="J35" i="34"/>
  <c r="W9" i="34"/>
  <c r="S34" i="34"/>
  <c r="H39" i="33"/>
  <c r="AB39" i="33"/>
  <c r="F26" i="33"/>
  <c r="AA26" i="33"/>
  <c r="U33" i="33"/>
  <c r="S40" i="33"/>
  <c r="W39" i="33"/>
  <c r="H39" i="37"/>
  <c r="AB39" i="37"/>
  <c r="S27" i="35"/>
  <c r="F11" i="40"/>
  <c r="AA11" i="40"/>
  <c r="H11" i="40"/>
  <c r="AB11" i="40"/>
  <c r="W8" i="40"/>
  <c r="AB39" i="40"/>
  <c r="AA9" i="40"/>
  <c r="U9" i="40"/>
  <c r="S34" i="40"/>
  <c r="U40" i="40"/>
  <c r="F42" i="39"/>
  <c r="AA42" i="39"/>
  <c r="F41" i="39"/>
  <c r="S41" i="39"/>
  <c r="H40" i="39"/>
  <c r="AB40" i="39"/>
  <c r="H39" i="39"/>
  <c r="U39" i="39"/>
  <c r="H34" i="39"/>
  <c r="U34" i="39"/>
  <c r="E109" i="39"/>
  <c r="H31" i="39"/>
  <c r="AB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5" i="39"/>
  <c r="H11" i="39"/>
  <c r="S40" i="39"/>
  <c r="C15" i="39"/>
  <c r="H11" i="21"/>
  <c r="U11" i="21"/>
  <c r="J11" i="21"/>
  <c r="W11" i="21"/>
  <c r="H37" i="40"/>
  <c r="U37" i="40"/>
  <c r="H36" i="40"/>
  <c r="AB36" i="40"/>
  <c r="F35" i="40"/>
  <c r="AA35" i="40"/>
  <c r="H23" i="40"/>
  <c r="AB23" i="40"/>
  <c r="H17" i="40"/>
  <c r="U17" i="40"/>
  <c r="J15" i="40"/>
  <c r="W15" i="40"/>
  <c r="J11" i="40"/>
  <c r="W11" i="40"/>
  <c r="AB8" i="39"/>
  <c r="AC12" i="34"/>
  <c r="AB12" i="35"/>
  <c r="AB12" i="36"/>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AA39" i="37"/>
  <c r="J33" i="37"/>
  <c r="AC33" i="37"/>
  <c r="U42" i="34"/>
  <c r="H40" i="34"/>
  <c r="U40" i="34"/>
  <c r="E114" i="34"/>
  <c r="H36" i="34"/>
  <c r="U36" i="34"/>
  <c r="F37" i="34"/>
  <c r="AA37" i="34"/>
  <c r="S35" i="34"/>
  <c r="F28" i="34"/>
  <c r="AA28" i="34"/>
  <c r="F25" i="34"/>
  <c r="S25" i="34"/>
  <c r="H23" i="34"/>
  <c r="U23" i="34"/>
  <c r="J23" i="34"/>
  <c r="F19" i="34"/>
  <c r="H17" i="34"/>
  <c r="U17" i="34"/>
  <c r="F15" i="34"/>
  <c r="J15" i="34"/>
  <c r="W15" i="34"/>
  <c r="H15" i="34"/>
  <c r="AB15" i="34"/>
  <c r="S9" i="34"/>
  <c r="W8" i="34"/>
  <c r="J28" i="34"/>
  <c r="W28" i="34"/>
  <c r="F41" i="33"/>
  <c r="AA41" i="33"/>
  <c r="S38" i="33"/>
  <c r="J19" i="33"/>
  <c r="AC19" i="33"/>
  <c r="J15" i="33"/>
  <c r="AC15" i="33"/>
  <c r="F11" i="33"/>
  <c r="AA11" i="33"/>
  <c r="U40" i="33"/>
  <c r="W40" i="33"/>
  <c r="U8" i="33"/>
  <c r="F37" i="40"/>
  <c r="AA37" i="40"/>
  <c r="F36" i="40"/>
  <c r="AA36" i="40"/>
  <c r="H28" i="40"/>
  <c r="U28" i="40"/>
  <c r="F23" i="40"/>
  <c r="AA23" i="40"/>
  <c r="F17" i="40"/>
  <c r="AA17" i="40"/>
  <c r="J17" i="40"/>
  <c r="W17" i="40"/>
  <c r="F15" i="40"/>
  <c r="S15" i="40"/>
  <c r="H15" i="40"/>
  <c r="AB15" i="40"/>
  <c r="AC11" i="40"/>
  <c r="AA12" i="36"/>
  <c r="AB30" i="36"/>
  <c r="U30" i="35"/>
  <c r="U33" i="35"/>
  <c r="F29" i="35"/>
  <c r="S29" i="35"/>
  <c r="H29" i="35"/>
  <c r="AB29" i="35"/>
  <c r="H33" i="37"/>
  <c r="AB33" i="37"/>
  <c r="F33" i="37"/>
  <c r="AA33" i="37"/>
  <c r="W33"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H37" i="33"/>
  <c r="AB37" i="33"/>
  <c r="H15" i="33"/>
  <c r="AB15" i="33"/>
  <c r="H11" i="33"/>
  <c r="AB11" i="33"/>
  <c r="F28" i="40"/>
  <c r="AA28" i="40"/>
  <c r="AA29" i="35"/>
  <c r="AA42" i="34"/>
  <c r="S42" i="34"/>
  <c r="AA38" i="34"/>
  <c r="J37" i="34"/>
  <c r="AC37" i="34"/>
  <c r="J11" i="33"/>
  <c r="W11" i="33"/>
  <c r="U23" i="40"/>
  <c r="J42" i="21"/>
  <c r="AC42" i="21"/>
  <c r="H42" i="21"/>
  <c r="U42" i="21"/>
  <c r="J44" i="34"/>
  <c r="AC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H10" i="36"/>
  <c r="AB10" i="36"/>
  <c r="J14" i="36"/>
  <c r="AC14" i="36"/>
  <c r="H14" i="36"/>
  <c r="U14" i="36"/>
  <c r="F28" i="36"/>
  <c r="AA28" i="36"/>
  <c r="H27" i="21"/>
  <c r="AB27" i="21"/>
  <c r="H29" i="21"/>
  <c r="U29" i="21"/>
  <c r="F31" i="21"/>
  <c r="S31"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11" i="36"/>
  <c r="AC11" i="36"/>
  <c r="H11" i="36"/>
  <c r="U11" i="36"/>
  <c r="F11" i="36"/>
  <c r="AA11" i="36"/>
  <c r="H13" i="36"/>
  <c r="AB13" i="36"/>
  <c r="F13" i="36"/>
  <c r="S13" i="36"/>
  <c r="E89" i="37"/>
  <c r="F89" i="37"/>
  <c r="G89" i="37"/>
  <c r="H89" i="37"/>
  <c r="I89" i="37"/>
  <c r="J89" i="37"/>
  <c r="K89" i="37"/>
  <c r="L89" i="37"/>
  <c r="M89" i="37"/>
  <c r="J29" i="37"/>
  <c r="W29" i="37"/>
  <c r="F29" i="37"/>
  <c r="S29" i="37"/>
  <c r="H36" i="37"/>
  <c r="AB36" i="37"/>
  <c r="J37" i="37"/>
  <c r="AC37" i="37"/>
  <c r="H37" i="37"/>
  <c r="U37" i="37"/>
  <c r="H40" i="37"/>
  <c r="U40" i="37"/>
  <c r="F40" i="37"/>
  <c r="AA40" i="37"/>
  <c r="W12" i="40"/>
  <c r="F14" i="33"/>
  <c r="S14" i="33"/>
  <c r="H30" i="33"/>
  <c r="AB30" i="33"/>
  <c r="J30" i="33"/>
  <c r="J44" i="33"/>
  <c r="AC44" i="33"/>
  <c r="J46" i="33"/>
  <c r="AC46" i="33"/>
  <c r="H46" i="33"/>
  <c r="AB46" i="33"/>
  <c r="J13" i="34"/>
  <c r="W13" i="34"/>
  <c r="J29" i="34"/>
  <c r="H29" i="34"/>
  <c r="AB29" i="34"/>
  <c r="H31" i="34"/>
  <c r="AB31" i="34"/>
  <c r="H45" i="34"/>
  <c r="U45" i="34"/>
  <c r="F45" i="34"/>
  <c r="S45" i="34"/>
  <c r="F47" i="34"/>
  <c r="S47" i="34"/>
  <c r="F13" i="35"/>
  <c r="S13" i="35"/>
  <c r="H13" i="35"/>
  <c r="U13" i="35"/>
  <c r="F25" i="35"/>
  <c r="S25" i="35"/>
  <c r="J35" i="35"/>
  <c r="AC35" i="35"/>
  <c r="H35" i="35"/>
  <c r="AB35" i="35"/>
  <c r="F25" i="36"/>
  <c r="S25" i="36"/>
  <c r="H13" i="37"/>
  <c r="AB13" i="37"/>
  <c r="F13" i="37"/>
  <c r="S13" i="37"/>
  <c r="J13" i="37"/>
  <c r="W13" i="37"/>
  <c r="J28" i="37"/>
  <c r="AC28" i="37"/>
  <c r="H38" i="37"/>
  <c r="AB38" i="37"/>
  <c r="J38" i="37"/>
  <c r="AC38" i="37"/>
  <c r="F38" i="37"/>
  <c r="S38" i="37"/>
  <c r="F43" i="39"/>
  <c r="AA43" i="39"/>
  <c r="H43" i="39"/>
  <c r="F14" i="39"/>
  <c r="F12" i="40"/>
  <c r="S12" i="40"/>
  <c r="H12" i="40"/>
  <c r="AB12" i="40"/>
  <c r="H30" i="40"/>
  <c r="AB30" i="40"/>
  <c r="F33" i="40"/>
  <c r="AA33" i="40"/>
  <c r="H33" i="40"/>
  <c r="U33" i="40"/>
  <c r="J35" i="40"/>
  <c r="AC35" i="40"/>
  <c r="J37" i="40"/>
  <c r="AC37" i="40"/>
  <c r="J13" i="40"/>
  <c r="W13" i="40"/>
  <c r="F14" i="37"/>
  <c r="S14" i="37"/>
  <c r="F27" i="37"/>
  <c r="AA27" i="37"/>
  <c r="F13" i="39"/>
  <c r="J13" i="39"/>
  <c r="W13" i="39"/>
  <c r="H13" i="39"/>
  <c r="H14" i="40"/>
  <c r="AB14" i="40"/>
  <c r="J14" i="40"/>
  <c r="W14" i="40"/>
  <c r="F14" i="40"/>
  <c r="AA14" i="40"/>
  <c r="J14" i="37"/>
  <c r="AC14" i="37"/>
  <c r="J27" i="37"/>
  <c r="AC27" i="37"/>
  <c r="AA13" i="35"/>
  <c r="U46" i="33"/>
  <c r="AA14" i="33"/>
  <c r="J36" i="37"/>
  <c r="AC36" i="37"/>
  <c r="J10" i="36"/>
  <c r="AC10" i="36"/>
  <c r="S11" i="36"/>
  <c r="W11" i="35"/>
  <c r="AC30" i="34"/>
  <c r="S45" i="33"/>
  <c r="AB31" i="33"/>
  <c r="W29" i="33"/>
  <c r="AC28" i="21"/>
  <c r="S44" i="34"/>
  <c r="BA586" i="3"/>
  <c r="BA585" i="3"/>
  <c r="F17" i="21"/>
  <c r="AA17" i="21"/>
  <c r="H17" i="21"/>
  <c r="AB17" i="21"/>
  <c r="F15" i="21"/>
  <c r="S15" i="21"/>
  <c r="AB11" i="21"/>
  <c r="J41" i="39"/>
  <c r="W41" i="39"/>
  <c r="AC45" i="39"/>
  <c r="W44" i="39"/>
  <c r="W36" i="39"/>
  <c r="U36" i="39"/>
  <c r="G540" i="3"/>
  <c r="G535" i="3"/>
  <c r="G531" i="3"/>
  <c r="G527" i="3"/>
  <c r="G518" i="3"/>
  <c r="G510" i="3"/>
  <c r="G504" i="3"/>
  <c r="G496" i="3"/>
  <c r="G580" i="3"/>
  <c r="G572" i="3"/>
  <c r="G564" i="3"/>
  <c r="G554" i="3"/>
  <c r="BL584" i="3"/>
  <c r="BL576" i="3"/>
  <c r="BL568" i="3"/>
  <c r="BL560" i="3"/>
  <c r="BL546" i="3"/>
  <c r="BL538" i="3"/>
  <c r="BL530" i="3"/>
  <c r="BL522" i="3"/>
  <c r="BL512" i="3"/>
  <c r="BL502" i="3"/>
  <c r="BL494" i="3"/>
  <c r="BL574" i="3"/>
  <c r="BL566" i="3"/>
  <c r="BL556" i="3"/>
  <c r="BL544" i="3"/>
  <c r="BL536" i="3"/>
  <c r="BL532" i="3"/>
  <c r="BL528" i="3"/>
  <c r="BL524" i="3"/>
  <c r="BL518" i="3"/>
  <c r="BL510" i="3"/>
  <c r="BL500" i="3"/>
  <c r="G493" i="3"/>
  <c r="BA582" i="3"/>
  <c r="BA558" i="3"/>
  <c r="BA556" i="3"/>
  <c r="AZ556" i="3"/>
  <c r="BA554" i="3"/>
  <c r="BA552" i="3"/>
  <c r="BA548" i="3"/>
  <c r="BA544" i="3"/>
  <c r="BA542" i="3"/>
  <c r="BA540" i="3"/>
  <c r="BA538" i="3"/>
  <c r="AZ538" i="3"/>
  <c r="BA536" i="3"/>
  <c r="AZ536" i="3"/>
  <c r="BA534" i="3"/>
  <c r="BA532" i="3"/>
  <c r="BA530" i="3"/>
  <c r="AZ530" i="3"/>
  <c r="BA522" i="3"/>
  <c r="BA518" i="3"/>
  <c r="AZ518" i="3"/>
  <c r="BA516" i="3"/>
  <c r="BA514" i="3"/>
  <c r="BA506" i="3"/>
  <c r="BA500" i="3"/>
  <c r="AZ500" i="3"/>
  <c r="BA494" i="3"/>
  <c r="BA581"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c r="BQ557" i="3"/>
  <c r="BL557" i="3"/>
  <c r="BQ583" i="3"/>
  <c r="BQ581" i="3"/>
  <c r="BL581" i="3"/>
  <c r="BQ579" i="3"/>
  <c r="BL579" i="3"/>
  <c r="BQ577" i="3"/>
  <c r="BQ575" i="3"/>
  <c r="BL575" i="3"/>
  <c r="BQ573" i="3"/>
  <c r="BQ571" i="3"/>
  <c r="BL571" i="3"/>
  <c r="BQ569" i="3"/>
  <c r="BQ567" i="3"/>
  <c r="BL567" i="3"/>
  <c r="BQ565" i="3"/>
  <c r="BQ563" i="3"/>
  <c r="BL563" i="3"/>
  <c r="BQ561" i="3"/>
  <c r="BL561" i="3"/>
  <c r="BQ559" i="3"/>
  <c r="G555" i="3"/>
  <c r="G549" i="3"/>
  <c r="G545" i="3"/>
  <c r="G541" i="3"/>
  <c r="G537" i="3"/>
  <c r="BQ555" i="3"/>
  <c r="BL555" i="3"/>
  <c r="BQ553" i="3"/>
  <c r="BQ551" i="3"/>
  <c r="BQ549" i="3"/>
  <c r="BQ547" i="3"/>
  <c r="BQ545" i="3"/>
  <c r="BQ543" i="3"/>
  <c r="BQ541" i="3"/>
  <c r="BQ539" i="3"/>
  <c r="BQ537" i="3"/>
  <c r="BQ535" i="3"/>
  <c r="BQ533" i="3"/>
  <c r="BQ531" i="3"/>
  <c r="BQ529" i="3"/>
  <c r="BQ527" i="3"/>
  <c r="BQ525" i="3"/>
  <c r="BQ523" i="3"/>
  <c r="BA521" i="3"/>
  <c r="AC521" i="3"/>
  <c r="G521" i="3"/>
  <c r="BQ521" i="3"/>
  <c r="BL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BQ5"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c r="H43" i="33"/>
  <c r="AB43" i="33"/>
  <c r="H17" i="37"/>
  <c r="U17" i="37"/>
  <c r="AB2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W23" i="35"/>
  <c r="U39" i="37"/>
  <c r="AC8" i="37"/>
  <c r="U26" i="37"/>
  <c r="AB37" i="34"/>
  <c r="AC36" i="34"/>
  <c r="AA13" i="33"/>
  <c r="AC45" i="33"/>
  <c r="U19" i="21"/>
  <c r="W44" i="21"/>
  <c r="U26" i="21"/>
  <c r="AC46" i="21"/>
  <c r="U12" i="21"/>
  <c r="F43" i="33"/>
  <c r="AA43" i="33"/>
  <c r="AC15" i="34"/>
  <c r="H37" i="21"/>
  <c r="U37" i="21"/>
  <c r="S42" i="21"/>
  <c r="H19" i="34"/>
  <c r="AB19" i="34"/>
  <c r="F36" i="35"/>
  <c r="S36" i="35"/>
  <c r="H9" i="37"/>
  <c r="AB9" i="37"/>
  <c r="J12" i="37"/>
  <c r="W12" i="37"/>
  <c r="F12" i="37"/>
  <c r="S12" i="37"/>
  <c r="E71" i="37"/>
  <c r="F71" i="37"/>
  <c r="G71" i="37"/>
  <c r="F15" i="37"/>
  <c r="AA15" i="37"/>
  <c r="E94" i="37"/>
  <c r="F94" i="37"/>
  <c r="G94" i="37"/>
  <c r="H94" i="37"/>
  <c r="I94" i="37"/>
  <c r="J94" i="37"/>
  <c r="K94" i="37"/>
  <c r="L94" i="37"/>
  <c r="M94" i="37"/>
  <c r="F31" i="37"/>
  <c r="S31" i="37"/>
  <c r="J42" i="39"/>
  <c r="AC42" i="39"/>
  <c r="H21" i="40"/>
  <c r="AB21" i="40"/>
  <c r="AC12" i="37"/>
  <c r="H31" i="37"/>
  <c r="U31" i="37"/>
  <c r="J15" i="37"/>
  <c r="W15" i="37"/>
  <c r="AT6" i="3"/>
  <c r="H5" i="3"/>
  <c r="C12" i="43"/>
  <c r="H19" i="40"/>
  <c r="U19" i="40"/>
  <c r="F88" i="40"/>
  <c r="G88" i="40"/>
  <c r="F19" i="40"/>
  <c r="S19" i="40"/>
  <c r="S14" i="40"/>
  <c r="AC43" i="39"/>
  <c r="AB44" i="39"/>
  <c r="G101" i="39"/>
  <c r="H37" i="39"/>
  <c r="AB37" i="39"/>
  <c r="AC37" i="39"/>
  <c r="H25" i="39"/>
  <c r="AB25" i="39"/>
  <c r="J25" i="39"/>
  <c r="F25" i="39"/>
  <c r="AA25" i="39"/>
  <c r="F15" i="39"/>
  <c r="AA15" i="39"/>
  <c r="H15" i="39"/>
  <c r="U15" i="39"/>
  <c r="J15" i="39"/>
  <c r="W15" i="39"/>
  <c r="H41" i="39"/>
  <c r="AB34" i="39"/>
  <c r="S42" i="39"/>
  <c r="AA41" i="39"/>
  <c r="W9" i="39"/>
  <c r="W8" i="39"/>
  <c r="J19" i="40"/>
  <c r="AC19" i="40"/>
  <c r="J50" i="40"/>
  <c r="A8" i="52"/>
  <c r="B54" i="72"/>
  <c r="H103" i="9"/>
  <c r="D8" i="53"/>
  <c r="B16" i="53"/>
  <c r="B33" i="72"/>
  <c r="C7" i="37"/>
  <c r="C7" i="34"/>
  <c r="C7" i="36"/>
  <c r="W35" i="40"/>
  <c r="J11" i="39"/>
  <c r="W11" i="39"/>
  <c r="F11" i="39"/>
  <c r="AA11" i="39"/>
  <c r="A126" i="9"/>
  <c r="A12" i="52"/>
  <c r="B56" i="72"/>
  <c r="S11" i="39"/>
  <c r="G4" i="4"/>
  <c r="I4" i="4"/>
  <c r="K5" i="4"/>
  <c r="B47" i="48"/>
  <c r="AZ24" i="3"/>
  <c r="AZ32" i="3"/>
  <c r="BL549" i="3"/>
  <c r="AZ522" i="3"/>
  <c r="G524" i="3"/>
  <c r="G303" i="3"/>
  <c r="BL304" i="3"/>
  <c r="G305" i="3"/>
  <c r="BL306" i="3"/>
  <c r="BA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L343" i="3"/>
  <c r="AZ343" i="3"/>
  <c r="BA345" i="3"/>
  <c r="BL355" i="3"/>
  <c r="G356" i="3"/>
  <c r="BL357" i="3"/>
  <c r="BA359" i="3"/>
  <c r="AZ359" i="3"/>
  <c r="BA360" i="3"/>
  <c r="BL360" i="3"/>
  <c r="G361" i="3"/>
  <c r="BA362" i="3"/>
  <c r="G370" i="3"/>
  <c r="BL371" i="3"/>
  <c r="G372" i="3"/>
  <c r="BL373" i="3"/>
  <c r="BA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BL120" i="3"/>
  <c r="AZ120" i="3"/>
  <c r="G121" i="3"/>
  <c r="BA123" i="3"/>
  <c r="AZ123" i="3"/>
  <c r="BL124" i="3"/>
  <c r="AZ124" i="3"/>
  <c r="G125" i="3"/>
  <c r="BA127" i="3"/>
  <c r="AZ127" i="3"/>
  <c r="BL128" i="3"/>
  <c r="G129" i="3"/>
  <c r="BA131" i="3"/>
  <c r="AZ131" i="3"/>
  <c r="BL132" i="3"/>
  <c r="AZ132" i="3"/>
  <c r="G133" i="3"/>
  <c r="BA135" i="3"/>
  <c r="BL136" i="3"/>
  <c r="G137" i="3"/>
  <c r="BA139" i="3"/>
  <c r="BL140" i="3"/>
  <c r="AZ140" i="3"/>
  <c r="G141" i="3"/>
  <c r="BA143" i="3"/>
  <c r="BL144" i="3"/>
  <c r="G145" i="3"/>
  <c r="BA147" i="3"/>
  <c r="BL148" i="3"/>
  <c r="AZ148" i="3"/>
  <c r="G149" i="3"/>
  <c r="BA151" i="3"/>
  <c r="BL152" i="3"/>
  <c r="AZ152" i="3"/>
  <c r="G153" i="3"/>
  <c r="BA155" i="3"/>
  <c r="BL156" i="3"/>
  <c r="AZ156" i="3"/>
  <c r="G157" i="3"/>
  <c r="BA159" i="3"/>
  <c r="BL160" i="3"/>
  <c r="G161" i="3"/>
  <c r="BA163" i="3"/>
  <c r="AZ163" i="3"/>
  <c r="BL164" i="3"/>
  <c r="AZ164" i="3"/>
  <c r="G165" i="3"/>
  <c r="BA167" i="3"/>
  <c r="BL168" i="3"/>
  <c r="G169" i="3"/>
  <c r="BA171" i="3"/>
  <c r="AZ171" i="3"/>
  <c r="BL172" i="3"/>
  <c r="AZ172" i="3"/>
  <c r="G173" i="3"/>
  <c r="BA175" i="3"/>
  <c r="BL176" i="3"/>
  <c r="G177" i="3"/>
  <c r="BA179" i="3"/>
  <c r="BL180" i="3"/>
  <c r="AZ180" i="3"/>
  <c r="G181" i="3"/>
  <c r="BA183" i="3"/>
  <c r="AZ183" i="3"/>
  <c r="BL184" i="3"/>
  <c r="AZ184" i="3"/>
  <c r="G185" i="3"/>
  <c r="BA187" i="3"/>
  <c r="BL188" i="3"/>
  <c r="AZ188" i="3"/>
  <c r="G189" i="3"/>
  <c r="BA191" i="3"/>
  <c r="AZ191" i="3"/>
  <c r="BL192" i="3"/>
  <c r="G193" i="3"/>
  <c r="BA195" i="3"/>
  <c r="AZ195" i="3"/>
  <c r="BL196" i="3"/>
  <c r="AZ196" i="3"/>
  <c r="G197" i="3"/>
  <c r="BA199" i="3"/>
  <c r="AZ199" i="3"/>
  <c r="BL200" i="3"/>
  <c r="G201" i="3"/>
  <c r="BA203" i="3"/>
  <c r="AZ203" i="3"/>
  <c r="BL204" i="3"/>
  <c r="AZ204" i="3"/>
  <c r="AZ43" i="3"/>
  <c r="AZ47" i="3"/>
  <c r="AZ59" i="3"/>
  <c r="AZ63" i="3"/>
  <c r="AZ75" i="3"/>
  <c r="AZ79" i="3"/>
  <c r="AZ136" i="3"/>
  <c r="AZ144" i="3"/>
  <c r="AZ160" i="3"/>
  <c r="AZ168" i="3"/>
  <c r="AZ176" i="3"/>
  <c r="AZ192" i="3"/>
  <c r="AZ200" i="3"/>
  <c r="AZ89" i="3"/>
  <c r="AZ109" i="3"/>
  <c r="AZ128" i="3"/>
  <c r="G530" i="3"/>
  <c r="G516" i="3"/>
  <c r="G506" i="3"/>
  <c r="G494" i="3"/>
  <c r="G16" i="3"/>
  <c r="G15" i="3"/>
  <c r="BA304" i="3"/>
  <c r="AZ304" i="3"/>
  <c r="BA305" i="3"/>
  <c r="BL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BL351" i="3"/>
  <c r="G352" i="3"/>
  <c r="G354" i="3"/>
  <c r="BA355" i="3"/>
  <c r="AZ355" i="3"/>
  <c r="BA356" i="3"/>
  <c r="BL356" i="3"/>
  <c r="AZ356" i="3"/>
  <c r="G357" i="3"/>
  <c r="G360" i="3"/>
  <c r="BL361" i="3"/>
  <c r="BA363" i="3"/>
  <c r="BA364" i="3"/>
  <c r="BL364" i="3"/>
  <c r="G365" i="3"/>
  <c r="G368" i="3"/>
  <c r="BL369" i="3"/>
  <c r="BA371" i="3"/>
  <c r="AZ371" i="3"/>
  <c r="BA372" i="3"/>
  <c r="BL372" i="3"/>
  <c r="AZ372" i="3"/>
  <c r="G373" i="3"/>
  <c r="G376" i="3"/>
  <c r="BL377" i="3"/>
  <c r="BL379" i="3"/>
  <c r="BA381" i="3"/>
  <c r="AZ381" i="3"/>
  <c r="BA382" i="3"/>
  <c r="BL382" i="3"/>
  <c r="AZ382" i="3"/>
  <c r="G383" i="3"/>
  <c r="G386" i="3"/>
  <c r="BL387" i="3"/>
  <c r="BA389" i="3"/>
  <c r="AZ389" i="3"/>
  <c r="BA390" i="3"/>
  <c r="BL390" i="3"/>
  <c r="AZ390" i="3"/>
  <c r="G391" i="3"/>
  <c r="G394" i="3"/>
  <c r="AZ170" i="3"/>
  <c r="AZ182" i="3"/>
  <c r="AZ186" i="3"/>
  <c r="AZ190" i="3"/>
  <c r="AZ194" i="3"/>
  <c r="AZ198" i="3"/>
  <c r="AZ202" i="3"/>
  <c r="AZ206" i="3"/>
  <c r="BA16" i="3"/>
  <c r="BL303" i="3"/>
  <c r="AZ303" i="3"/>
  <c r="G304" i="3"/>
  <c r="BA306" i="3"/>
  <c r="AZ306" i="3"/>
  <c r="BL307" i="3"/>
  <c r="AZ307" i="3"/>
  <c r="G308" i="3"/>
  <c r="BA310" i="3"/>
  <c r="AZ310" i="3"/>
  <c r="BL311" i="3"/>
  <c r="G312" i="3"/>
  <c r="BA314" i="3"/>
  <c r="BL315" i="3"/>
  <c r="AZ315" i="3"/>
  <c r="G316" i="3"/>
  <c r="BA318" i="3"/>
  <c r="AZ318" i="3"/>
  <c r="BL319" i="3"/>
  <c r="G320" i="3"/>
  <c r="BA322" i="3"/>
  <c r="AZ322" i="3"/>
  <c r="BL323" i="3"/>
  <c r="G324" i="3"/>
  <c r="BA326" i="3"/>
  <c r="AZ326" i="3"/>
  <c r="BL327" i="3"/>
  <c r="G328" i="3"/>
  <c r="BA330" i="3"/>
  <c r="BL331" i="3"/>
  <c r="AZ331" i="3"/>
  <c r="G332" i="3"/>
  <c r="BA334" i="3"/>
  <c r="AZ334" i="3"/>
  <c r="BL335" i="3"/>
  <c r="G336" i="3"/>
  <c r="BA338" i="3"/>
  <c r="AZ338" i="3"/>
  <c r="BL339" i="3"/>
  <c r="G340" i="3"/>
  <c r="G344" i="3"/>
  <c r="G348" i="3"/>
  <c r="G355" i="3"/>
  <c r="AZ218" i="3"/>
  <c r="AZ311" i="3"/>
  <c r="AZ327" i="3"/>
  <c r="G342" i="3"/>
  <c r="BL345" i="3"/>
  <c r="G346" i="3"/>
  <c r="BL349" i="3"/>
  <c r="AZ349" i="3"/>
  <c r="BL352" i="3"/>
  <c r="G353" i="3"/>
  <c r="BA357" i="3"/>
  <c r="BL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33" i="3"/>
  <c r="AZ237" i="3"/>
  <c r="AZ249" i="3"/>
  <c r="AZ253" i="3"/>
  <c r="AZ273" i="3"/>
  <c r="BA379" i="3"/>
  <c r="BL380" i="3"/>
  <c r="G381" i="3"/>
  <c r="BA383" i="3"/>
  <c r="AZ383" i="3"/>
  <c r="BL384" i="3"/>
  <c r="G385" i="3"/>
  <c r="BA387" i="3"/>
  <c r="BL388" i="3"/>
  <c r="AZ388" i="3"/>
  <c r="G389" i="3"/>
  <c r="BA391" i="3"/>
  <c r="AZ391" i="3"/>
  <c r="BL392" i="3"/>
  <c r="G393" i="3"/>
  <c r="AZ275" i="3"/>
  <c r="AZ283" i="3"/>
  <c r="AZ287" i="3"/>
  <c r="AZ295" i="3"/>
  <c r="BJ5" i="3"/>
  <c r="BF5" i="3"/>
  <c r="AZ305" i="3"/>
  <c r="AZ317" i="3"/>
  <c r="AZ329" i="3"/>
  <c r="AZ333" i="3"/>
  <c r="AZ337" i="3"/>
  <c r="AZ345" i="3"/>
  <c r="AC5" i="3"/>
  <c r="G548" i="3"/>
  <c r="G520" i="3"/>
  <c r="BS5" i="3"/>
  <c r="AZ347" i="3"/>
  <c r="BI5" i="3"/>
  <c r="BE5" i="3"/>
  <c r="G17" i="3"/>
  <c r="BA17" i="3"/>
  <c r="BT5" i="3"/>
  <c r="AZ350" i="3"/>
  <c r="AZ360" i="3"/>
  <c r="BA15" i="3"/>
  <c r="AZ15" i="3"/>
  <c r="BR5" i="3"/>
  <c r="AZ392" i="3"/>
  <c r="AZ396" i="3"/>
  <c r="AZ394" i="3"/>
  <c r="G509" i="3"/>
  <c r="AZ426" i="3"/>
  <c r="AZ434" i="3"/>
  <c r="AZ446" i="3"/>
  <c r="AZ450" i="3"/>
  <c r="AZ462" i="3"/>
  <c r="AZ479" i="3"/>
  <c r="AZ483" i="3"/>
  <c r="AZ487" i="3"/>
  <c r="AZ491" i="3"/>
  <c r="AZ475" i="3"/>
  <c r="AZ477" i="3"/>
  <c r="AZ481" i="3"/>
  <c r="AZ489" i="3"/>
  <c r="AZ376" i="3"/>
  <c r="U36" i="40"/>
  <c r="N4" i="43"/>
  <c r="F81" i="43"/>
  <c r="H83" i="43"/>
  <c r="M6" i="43"/>
  <c r="E17" i="43"/>
  <c r="I17" i="43"/>
  <c r="J17" i="43"/>
  <c r="F6" i="1"/>
  <c r="U17" i="39"/>
  <c r="S14" i="35"/>
  <c r="U43" i="21"/>
  <c r="U35" i="21"/>
  <c r="AC35" i="21"/>
  <c r="U10" i="21"/>
  <c r="O6" i="1"/>
  <c r="P6" i="1"/>
  <c r="G9" i="1"/>
  <c r="F48" i="9"/>
  <c r="O52" i="9"/>
  <c r="W44" i="34"/>
  <c r="S15" i="37"/>
  <c r="U12" i="40"/>
  <c r="J37" i="33"/>
  <c r="W37" i="33"/>
  <c r="J34" i="33"/>
  <c r="W34" i="33"/>
  <c r="F33" i="34"/>
  <c r="S33" i="34"/>
  <c r="H20" i="36"/>
  <c r="U20" i="36"/>
  <c r="J20" i="36"/>
  <c r="W20" i="36"/>
  <c r="J27" i="36"/>
  <c r="W27" i="36"/>
  <c r="AB25" i="37"/>
  <c r="H35" i="40"/>
  <c r="AB35" i="40"/>
  <c r="AC29" i="35"/>
  <c r="W29" i="35"/>
  <c r="H35" i="37"/>
  <c r="U35" i="37"/>
  <c r="AC14" i="35"/>
  <c r="H20" i="35"/>
  <c r="U20" i="35"/>
  <c r="F20" i="35"/>
  <c r="AA20" i="35"/>
  <c r="AB23" i="35"/>
  <c r="AB29" i="36"/>
  <c r="H32" i="37"/>
  <c r="AB32" i="37"/>
  <c r="F96" i="37"/>
  <c r="G96" i="37"/>
  <c r="H96" i="37"/>
  <c r="I96" i="37"/>
  <c r="J96" i="37"/>
  <c r="K96" i="37"/>
  <c r="L96" i="37"/>
  <c r="M96" i="37"/>
  <c r="H27" i="40"/>
  <c r="U27" i="40"/>
  <c r="J27" i="40"/>
  <c r="AC27" i="40"/>
  <c r="F27" i="40"/>
  <c r="S27" i="40"/>
  <c r="J30" i="40"/>
  <c r="AC30" i="40"/>
  <c r="F30" i="40"/>
  <c r="AA30" i="40"/>
  <c r="AC21" i="40"/>
  <c r="S11" i="40"/>
  <c r="E98" i="40"/>
  <c r="F98" i="40"/>
  <c r="G98" i="40"/>
  <c r="H98" i="40"/>
  <c r="I98" i="40"/>
  <c r="J98" i="40"/>
  <c r="K98" i="40"/>
  <c r="L98" i="40"/>
  <c r="M98" i="40"/>
  <c r="AZ424" i="3"/>
  <c r="AZ448" i="3"/>
  <c r="F10" i="33"/>
  <c r="S10" i="33"/>
  <c r="F34" i="33"/>
  <c r="AA34" i="33"/>
  <c r="H34" i="33"/>
  <c r="U34" i="33"/>
  <c r="F35" i="33"/>
  <c r="S35" i="33"/>
  <c r="F39" i="34"/>
  <c r="S39" i="34"/>
  <c r="J39" i="34"/>
  <c r="W39" i="34"/>
  <c r="F40" i="34"/>
  <c r="S40" i="34"/>
  <c r="F43" i="34"/>
  <c r="AA43" i="34"/>
  <c r="H44" i="34"/>
  <c r="AB44" i="34"/>
  <c r="F39" i="39"/>
  <c r="S39" i="39"/>
  <c r="J39" i="39"/>
  <c r="AC39" i="39"/>
  <c r="E97" i="39"/>
  <c r="AZ427" i="3"/>
  <c r="AZ443" i="3"/>
  <c r="AZ459" i="3"/>
  <c r="AZ485" i="3"/>
  <c r="AZ353" i="3"/>
  <c r="AZ386" i="3"/>
  <c r="C40" i="11"/>
  <c r="AZ223" i="3"/>
  <c r="AZ235" i="3"/>
  <c r="AZ240" i="3"/>
  <c r="AZ251" i="3"/>
  <c r="AZ256" i="3"/>
  <c r="AZ268" i="3"/>
  <c r="AZ271" i="3"/>
  <c r="AZ280" i="3"/>
  <c r="AZ288" i="3"/>
  <c r="AZ114" i="3"/>
  <c r="AZ130" i="3"/>
  <c r="AZ29" i="3"/>
  <c r="AZ31" i="3"/>
  <c r="AZ33" i="3"/>
  <c r="AZ42" i="3"/>
  <c r="AZ45" i="3"/>
  <c r="AZ58" i="3"/>
  <c r="AZ61" i="3"/>
  <c r="AZ74" i="3"/>
  <c r="AZ77" i="3"/>
  <c r="AZ86" i="3"/>
  <c r="AZ102" i="3"/>
  <c r="AZ110" i="3"/>
  <c r="F23" i="39"/>
  <c r="AA23" i="39"/>
  <c r="F97" i="39"/>
  <c r="H27" i="36"/>
  <c r="U27" i="36"/>
  <c r="F27" i="36"/>
  <c r="AA27" i="36"/>
  <c r="H33" i="34"/>
  <c r="U33" i="34"/>
  <c r="F32" i="37"/>
  <c r="AA32" i="37"/>
  <c r="F20" i="36"/>
  <c r="AA20" i="36"/>
  <c r="J33" i="34"/>
  <c r="AC33" i="34"/>
  <c r="H23" i="39"/>
  <c r="U23" i="39"/>
  <c r="G97" i="39"/>
  <c r="D48" i="9"/>
  <c r="M52" i="9"/>
  <c r="K9" i="1"/>
  <c r="M9" i="1"/>
  <c r="O9" i="1"/>
  <c r="P9" i="1"/>
  <c r="F3" i="35"/>
  <c r="J51" i="15"/>
  <c r="AE9" i="1"/>
  <c r="L48" i="77"/>
  <c r="L47" i="77"/>
  <c r="AC24" i="36"/>
  <c r="W24" i="36"/>
  <c r="AC31" i="40"/>
  <c r="W31" i="40"/>
  <c r="W33" i="40"/>
  <c r="AC33" i="40"/>
  <c r="AA38" i="40"/>
  <c r="S38" i="40"/>
  <c r="W12" i="36"/>
  <c r="AC12" i="36"/>
  <c r="AZ503" i="3"/>
  <c r="AZ567" i="3"/>
  <c r="AZ575" i="3"/>
  <c r="AZ581" i="3"/>
  <c r="BL587" i="3"/>
  <c r="BA587" i="3"/>
  <c r="BL580" i="3"/>
  <c r="BA580" i="3"/>
  <c r="BL578" i="3"/>
  <c r="BA578" i="3"/>
  <c r="BL577" i="3"/>
  <c r="BA577" i="3"/>
  <c r="BA576" i="3"/>
  <c r="AZ576" i="3"/>
  <c r="BA574" i="3"/>
  <c r="AZ574" i="3"/>
  <c r="BL565" i="3"/>
  <c r="BA565" i="3"/>
  <c r="BL564" i="3"/>
  <c r="BA564" i="3"/>
  <c r="BL562" i="3"/>
  <c r="BA562" i="3"/>
  <c r="BA561" i="3"/>
  <c r="AZ561" i="3"/>
  <c r="BA560" i="3"/>
  <c r="AZ560" i="3"/>
  <c r="BL559" i="3"/>
  <c r="AZ559" i="3"/>
  <c r="BL558" i="3"/>
  <c r="AZ558" i="3"/>
  <c r="BL551" i="3"/>
  <c r="BA551" i="3"/>
  <c r="BL550" i="3"/>
  <c r="BA550" i="3"/>
  <c r="BA549" i="3"/>
  <c r="AZ549" i="3"/>
  <c r="BL548" i="3"/>
  <c r="AZ548" i="3"/>
  <c r="BL525" i="3"/>
  <c r="BA525" i="3"/>
  <c r="BA524" i="3"/>
  <c r="AZ524" i="3"/>
  <c r="BL523" i="3"/>
  <c r="AZ523" i="3"/>
  <c r="BA520" i="3"/>
  <c r="AZ520" i="3"/>
  <c r="BA519" i="3"/>
  <c r="AZ519" i="3"/>
  <c r="BL517" i="3"/>
  <c r="AZ517" i="3"/>
  <c r="BL516" i="3"/>
  <c r="BA515" i="3"/>
  <c r="AZ515" i="3"/>
  <c r="BL514" i="3"/>
  <c r="AZ514" i="3"/>
  <c r="BL513" i="3"/>
  <c r="AZ513" i="3"/>
  <c r="BA512" i="3"/>
  <c r="AZ512" i="3"/>
  <c r="BA511" i="3"/>
  <c r="AZ511" i="3"/>
  <c r="BA510" i="3"/>
  <c r="AZ510" i="3"/>
  <c r="BL509" i="3"/>
  <c r="AZ509" i="3"/>
  <c r="BA508" i="3"/>
  <c r="AZ508" i="3"/>
  <c r="BL506" i="3"/>
  <c r="BL505" i="3"/>
  <c r="BA505" i="3"/>
  <c r="BL504" i="3"/>
  <c r="BA504" i="3"/>
  <c r="BA502" i="3"/>
  <c r="AZ502" i="3"/>
  <c r="BL501" i="3"/>
  <c r="BA501" i="3"/>
  <c r="BL499" i="3"/>
  <c r="BL498" i="3"/>
  <c r="BA498" i="3"/>
  <c r="BL497" i="3"/>
  <c r="BA497" i="3"/>
  <c r="BL496" i="3"/>
  <c r="BA496" i="3"/>
  <c r="BL495" i="3"/>
  <c r="AZ495" i="3"/>
  <c r="BK5" i="3"/>
  <c r="BG5" i="3"/>
  <c r="BC5" i="3"/>
  <c r="BH5" i="3"/>
  <c r="BD5" i="3"/>
  <c r="BA493" i="3"/>
  <c r="H82" i="43"/>
  <c r="AA39" i="34"/>
  <c r="AZ387" i="3"/>
  <c r="AZ379" i="3"/>
  <c r="AZ357" i="3"/>
  <c r="AZ364" i="3"/>
  <c r="AZ351" i="3"/>
  <c r="AZ380" i="3"/>
  <c r="AZ341" i="3"/>
  <c r="AZ325" i="3"/>
  <c r="AZ309" i="3"/>
  <c r="AB33" i="40"/>
  <c r="W44" i="33"/>
  <c r="AC31" i="33"/>
  <c r="W37" i="34"/>
  <c r="U33" i="37"/>
  <c r="U35" i="35"/>
  <c r="AZ521" i="3"/>
  <c r="AZ557" i="3"/>
  <c r="AZ499" i="3"/>
  <c r="AZ507" i="3"/>
  <c r="AZ563" i="3"/>
  <c r="AZ571" i="3"/>
  <c r="AZ579" i="3"/>
  <c r="AZ494" i="3"/>
  <c r="AZ506" i="3"/>
  <c r="AZ516" i="3"/>
  <c r="AZ532" i="3"/>
  <c r="AZ544" i="3"/>
  <c r="BL586" i="3"/>
  <c r="AZ586" i="3"/>
  <c r="W11" i="36"/>
  <c r="AA14" i="37"/>
  <c r="AB11" i="35"/>
  <c r="U31" i="34"/>
  <c r="AC34" i="36"/>
  <c r="AA12" i="34"/>
  <c r="C21" i="39"/>
  <c r="U34" i="34"/>
  <c r="BL585" i="3"/>
  <c r="AZ585" i="3"/>
  <c r="H12" i="33"/>
  <c r="U12" i="33"/>
  <c r="H38" i="33"/>
  <c r="AB38" i="33"/>
  <c r="F9" i="36"/>
  <c r="AA9" i="36"/>
  <c r="F23" i="36"/>
  <c r="AA23" i="36"/>
  <c r="H38" i="40"/>
  <c r="F40" i="40"/>
  <c r="AA40" i="40"/>
  <c r="BA584" i="3"/>
  <c r="AZ584" i="3"/>
  <c r="G584" i="3"/>
  <c r="BL583" i="3"/>
  <c r="BA583" i="3"/>
  <c r="G583" i="3"/>
  <c r="BL582" i="3"/>
  <c r="G574" i="3"/>
  <c r="BL573" i="3"/>
  <c r="BA573" i="3"/>
  <c r="BL572" i="3"/>
  <c r="BA572" i="3"/>
  <c r="G571" i="3"/>
  <c r="BL570" i="3"/>
  <c r="BA570" i="3"/>
  <c r="BL569" i="3"/>
  <c r="BA569" i="3"/>
  <c r="BA568" i="3"/>
  <c r="AZ568" i="3"/>
  <c r="G568" i="3"/>
  <c r="G567" i="3"/>
  <c r="BA566" i="3"/>
  <c r="AZ566" i="3"/>
  <c r="G558" i="3"/>
  <c r="BA555" i="3"/>
  <c r="AZ555" i="3"/>
  <c r="BL554" i="3"/>
  <c r="AZ554" i="3"/>
  <c r="BL553" i="3"/>
  <c r="AZ553" i="3"/>
  <c r="G553" i="3"/>
  <c r="BL552" i="3"/>
  <c r="BL547" i="3"/>
  <c r="AZ547" i="3"/>
  <c r="G547" i="3"/>
  <c r="BA546" i="3"/>
  <c r="AZ546" i="3"/>
  <c r="G546" i="3"/>
  <c r="BL545" i="3"/>
  <c r="BA545" i="3"/>
  <c r="G544" i="3"/>
  <c r="BL543" i="3"/>
  <c r="G543" i="3"/>
  <c r="BL542" i="3"/>
  <c r="AZ542" i="3"/>
  <c r="BL541" i="3"/>
  <c r="BA541" i="3"/>
  <c r="BL540" i="3"/>
  <c r="BL539" i="3"/>
  <c r="AZ539" i="3"/>
  <c r="G539" i="3"/>
  <c r="G538" i="3"/>
  <c r="BL537" i="3"/>
  <c r="BA537" i="3"/>
  <c r="G536" i="3"/>
  <c r="BL535" i="3"/>
  <c r="BL534" i="3"/>
  <c r="AZ534" i="3"/>
  <c r="G534" i="3"/>
  <c r="AZ402" i="3"/>
  <c r="AZ418" i="3"/>
  <c r="BL533" i="3"/>
  <c r="BA533" i="3"/>
  <c r="G533" i="3"/>
  <c r="G532" i="3"/>
  <c r="BL531" i="3"/>
  <c r="AZ531" i="3"/>
  <c r="BL529" i="3"/>
  <c r="BA529" i="3"/>
  <c r="G529" i="3"/>
  <c r="BA528" i="3"/>
  <c r="AZ528" i="3"/>
  <c r="G528" i="3"/>
  <c r="BL527" i="3"/>
  <c r="BL526" i="3"/>
  <c r="BA526" i="3"/>
  <c r="M20" i="15"/>
  <c r="F34" i="77"/>
  <c r="F62" i="77"/>
  <c r="M20" i="77"/>
  <c r="C5" i="11"/>
  <c r="K6" i="1"/>
  <c r="M6" i="1"/>
  <c r="D3" i="80"/>
  <c r="M18" i="79"/>
  <c r="B118" i="79"/>
  <c r="BL16" i="3"/>
  <c r="D78" i="9"/>
  <c r="D78" i="79"/>
  <c r="D93" i="79"/>
  <c r="BA398" i="3"/>
  <c r="AZ398" i="3"/>
  <c r="G401" i="3"/>
  <c r="BL401" i="3"/>
  <c r="AZ401" i="3"/>
  <c r="BL403" i="3"/>
  <c r="AZ403" i="3"/>
  <c r="BA404" i="3"/>
  <c r="AZ404" i="3"/>
  <c r="BL406" i="3"/>
  <c r="AZ406" i="3"/>
  <c r="BA407" i="3"/>
  <c r="AZ407" i="3"/>
  <c r="G410" i="3"/>
  <c r="G411" i="3"/>
  <c r="G412" i="3"/>
  <c r="BL412" i="3"/>
  <c r="AZ412" i="3"/>
  <c r="BA413" i="3"/>
  <c r="AZ413" i="3"/>
  <c r="BA414" i="3"/>
  <c r="AZ414" i="3"/>
  <c r="G417" i="3"/>
  <c r="BL417" i="3"/>
  <c r="AZ417" i="3"/>
  <c r="BL419" i="3"/>
  <c r="AZ419" i="3"/>
  <c r="BA420" i="3"/>
  <c r="AZ420" i="3"/>
  <c r="BL422" i="3"/>
  <c r="AZ422" i="3"/>
  <c r="G423" i="3"/>
  <c r="BL423" i="3"/>
  <c r="AZ423" i="3"/>
  <c r="G426" i="3"/>
  <c r="G427" i="3"/>
  <c r="G428" i="3"/>
  <c r="BL428" i="3"/>
  <c r="AZ428" i="3"/>
  <c r="BA429" i="3"/>
  <c r="AZ429" i="3"/>
  <c r="BA430" i="3"/>
  <c r="AZ430" i="3"/>
  <c r="G433" i="3"/>
  <c r="BL433" i="3"/>
  <c r="AZ433" i="3"/>
  <c r="BL435" i="3"/>
  <c r="AZ435" i="3"/>
  <c r="BA436" i="3"/>
  <c r="AZ436" i="3"/>
  <c r="BL438" i="3"/>
  <c r="AZ438" i="3"/>
  <c r="BA439" i="3"/>
  <c r="AZ439" i="3"/>
  <c r="BA440" i="3"/>
  <c r="AZ440" i="3"/>
  <c r="BL442" i="3"/>
  <c r="AZ442" i="3"/>
  <c r="G445" i="3"/>
  <c r="BL445" i="3"/>
  <c r="AZ445" i="3"/>
  <c r="G448" i="3"/>
  <c r="G449" i="3"/>
  <c r="BL449" i="3"/>
  <c r="AZ449" i="3"/>
  <c r="BL451" i="3"/>
  <c r="AZ451" i="3"/>
  <c r="BA452" i="3"/>
  <c r="AZ452" i="3"/>
  <c r="BL454" i="3"/>
  <c r="AZ454" i="3"/>
  <c r="BA455" i="3"/>
  <c r="AZ455" i="3"/>
  <c r="BA456" i="3"/>
  <c r="AZ456" i="3"/>
  <c r="BL458" i="3"/>
  <c r="AZ458" i="3"/>
  <c r="G461" i="3"/>
  <c r="BL461" i="3"/>
  <c r="AZ461" i="3"/>
  <c r="BA463" i="3"/>
  <c r="AZ463" i="3"/>
  <c r="BA464" i="3"/>
  <c r="AZ464" i="3"/>
  <c r="BA466" i="3"/>
  <c r="AZ466" i="3"/>
  <c r="BA467" i="3"/>
  <c r="AZ467" i="3"/>
  <c r="BL469" i="3"/>
  <c r="AZ469" i="3"/>
  <c r="BA470" i="3"/>
  <c r="AZ470" i="3"/>
  <c r="BA471" i="3"/>
  <c r="AZ471" i="3"/>
  <c r="BA472" i="3"/>
  <c r="AZ472" i="3"/>
  <c r="G475" i="3"/>
  <c r="G476" i="3"/>
  <c r="BL476" i="3"/>
  <c r="AZ476" i="3"/>
  <c r="G479" i="3"/>
  <c r="G480" i="3"/>
  <c r="BL480" i="3"/>
  <c r="AZ480" i="3"/>
  <c r="G483" i="3"/>
  <c r="G484" i="3"/>
  <c r="BL484" i="3"/>
  <c r="AZ484" i="3"/>
  <c r="G487" i="3"/>
  <c r="G488" i="3"/>
  <c r="BL488" i="3"/>
  <c r="AZ488" i="3"/>
  <c r="G491" i="3"/>
  <c r="G492" i="3"/>
  <c r="BL492" i="3"/>
  <c r="AZ492" i="3"/>
  <c r="G307" i="3"/>
  <c r="BL308" i="3"/>
  <c r="AZ308" i="3"/>
  <c r="BL314" i="3"/>
  <c r="AZ314" i="3"/>
  <c r="BA316" i="3"/>
  <c r="AZ316" i="3"/>
  <c r="BA319" i="3"/>
  <c r="AZ319" i="3"/>
  <c r="BA323" i="3"/>
  <c r="AZ323" i="3"/>
  <c r="BL330" i="3"/>
  <c r="AZ330" i="3"/>
  <c r="BA332" i="3"/>
  <c r="AZ332" i="3"/>
  <c r="BA335" i="3"/>
  <c r="AZ335" i="3"/>
  <c r="BA339" i="3"/>
  <c r="AZ339" i="3"/>
  <c r="G345" i="3"/>
  <c r="BL348" i="3"/>
  <c r="AZ348" i="3"/>
  <c r="BA352" i="3"/>
  <c r="AZ352" i="3"/>
  <c r="BL354" i="3"/>
  <c r="AZ354" i="3"/>
  <c r="BA358" i="3"/>
  <c r="AZ358" i="3"/>
  <c r="BL363" i="3"/>
  <c r="AZ363" i="3"/>
  <c r="BL368" i="3"/>
  <c r="AZ368" i="3"/>
  <c r="G374" i="3"/>
  <c r="BL375" i="3"/>
  <c r="AZ375" i="3"/>
  <c r="G382" i="3"/>
  <c r="BA384" i="3"/>
  <c r="AZ384" i="3"/>
  <c r="BL385" i="3"/>
  <c r="G387" i="3"/>
  <c r="BL212" i="3"/>
  <c r="AZ212" i="3"/>
  <c r="BL225" i="3"/>
  <c r="AZ225" i="3"/>
  <c r="BL239" i="3"/>
  <c r="AZ239" i="3"/>
  <c r="BL267" i="3"/>
  <c r="BL269" i="3"/>
  <c r="AZ269" i="3"/>
  <c r="AZ270" i="3"/>
  <c r="AZ274" i="3"/>
  <c r="BL278" i="3"/>
  <c r="G288" i="3"/>
  <c r="G289" i="3"/>
  <c r="BL289" i="3"/>
  <c r="BA290" i="3"/>
  <c r="AZ290" i="3"/>
  <c r="BA291" i="3"/>
  <c r="AZ291" i="3"/>
  <c r="G294" i="3"/>
  <c r="BL294" i="3"/>
  <c r="BL296" i="3"/>
  <c r="AZ296" i="3"/>
  <c r="BA297" i="3"/>
  <c r="AZ297" i="3"/>
  <c r="BL299" i="3"/>
  <c r="AZ299" i="3"/>
  <c r="BA300" i="3"/>
  <c r="AZ300" i="3"/>
  <c r="G114" i="3"/>
  <c r="G115" i="3"/>
  <c r="BL117" i="3"/>
  <c r="AZ117" i="3"/>
  <c r="BA118" i="3"/>
  <c r="AZ118" i="3"/>
  <c r="BL119" i="3"/>
  <c r="AZ119" i="3"/>
  <c r="BA121" i="3"/>
  <c r="AZ121" i="3"/>
  <c r="G124" i="3"/>
  <c r="G127" i="3"/>
  <c r="G130" i="3"/>
  <c r="G131" i="3"/>
  <c r="BL133" i="3"/>
  <c r="AZ133" i="3"/>
  <c r="BA134" i="3"/>
  <c r="AZ134" i="3"/>
  <c r="BL135" i="3"/>
  <c r="AZ135" i="3"/>
  <c r="BA137" i="3"/>
  <c r="AZ137" i="3"/>
  <c r="BA138" i="3"/>
  <c r="AZ138" i="3"/>
  <c r="BL139" i="3"/>
  <c r="AZ139" i="3"/>
  <c r="BA141" i="3"/>
  <c r="AZ141" i="3"/>
  <c r="BA142" i="3"/>
  <c r="AZ142" i="3"/>
  <c r="BL143" i="3"/>
  <c r="AZ143" i="3"/>
  <c r="BA145" i="3"/>
  <c r="AZ145" i="3"/>
  <c r="BA146" i="3"/>
  <c r="AZ146" i="3"/>
  <c r="BL147" i="3"/>
  <c r="AZ147" i="3"/>
  <c r="BA149" i="3"/>
  <c r="AZ149" i="3"/>
  <c r="BA150" i="3"/>
  <c r="AZ150" i="3"/>
  <c r="BL151" i="3"/>
  <c r="AZ151" i="3"/>
  <c r="BA153" i="3"/>
  <c r="AZ153" i="3"/>
  <c r="BA154" i="3"/>
  <c r="AZ154" i="3"/>
  <c r="BL155" i="3"/>
  <c r="AZ155" i="3"/>
  <c r="BA157" i="3"/>
  <c r="AZ157" i="3"/>
  <c r="BA158" i="3"/>
  <c r="AZ158" i="3"/>
  <c r="BL159" i="3"/>
  <c r="AZ159" i="3"/>
  <c r="BA161" i="3"/>
  <c r="AZ161" i="3"/>
  <c r="BA162" i="3"/>
  <c r="AZ162" i="3"/>
  <c r="G171" i="3"/>
  <c r="BA173" i="3"/>
  <c r="AZ173" i="3"/>
  <c r="BA174" i="3"/>
  <c r="AZ174" i="3"/>
  <c r="BL175" i="3"/>
  <c r="AZ175" i="3"/>
  <c r="BA177" i="3"/>
  <c r="AZ177" i="3"/>
  <c r="BA178" i="3"/>
  <c r="AZ178" i="3"/>
  <c r="BL179" i="3"/>
  <c r="AZ179" i="3"/>
  <c r="G183" i="3"/>
  <c r="G186" i="3"/>
  <c r="G396" i="3"/>
  <c r="G397" i="3"/>
  <c r="BL397" i="3"/>
  <c r="AZ397" i="3"/>
  <c r="BA208" i="3"/>
  <c r="AZ208" i="3"/>
  <c r="BA209" i="3"/>
  <c r="AZ209" i="3"/>
  <c r="G212" i="3"/>
  <c r="BA213" i="3"/>
  <c r="AZ213" i="3"/>
  <c r="BA214" i="3"/>
  <c r="AZ214" i="3"/>
  <c r="BA215" i="3"/>
  <c r="AZ215" i="3"/>
  <c r="G218" i="3"/>
  <c r="G219" i="3"/>
  <c r="BL219" i="3"/>
  <c r="AZ219" i="3"/>
  <c r="BA220" i="3"/>
  <c r="AZ220" i="3"/>
  <c r="BL222" i="3"/>
  <c r="AZ222" i="3"/>
  <c r="G225" i="3"/>
  <c r="BA226" i="3"/>
  <c r="AZ226" i="3"/>
  <c r="BA227" i="3"/>
  <c r="AZ227" i="3"/>
  <c r="BL229" i="3"/>
  <c r="AZ229" i="3"/>
  <c r="BA230" i="3"/>
  <c r="AZ230" i="3"/>
  <c r="BL232" i="3"/>
  <c r="AZ232" i="3"/>
  <c r="G235" i="3"/>
  <c r="G236" i="3"/>
  <c r="BL236" i="3"/>
  <c r="AZ236" i="3"/>
  <c r="G239" i="3"/>
  <c r="BL241" i="3"/>
  <c r="AZ241" i="3"/>
  <c r="BA242" i="3"/>
  <c r="AZ242" i="3"/>
  <c r="BA243" i="3"/>
  <c r="AZ243" i="3"/>
  <c r="BL245" i="3"/>
  <c r="AZ245" i="3"/>
  <c r="BA246" i="3"/>
  <c r="AZ246" i="3"/>
  <c r="BL248" i="3"/>
  <c r="AZ248" i="3"/>
  <c r="G251" i="3"/>
  <c r="G252" i="3"/>
  <c r="BL252" i="3"/>
  <c r="AZ252" i="3"/>
  <c r="G255" i="3"/>
  <c r="BL255" i="3"/>
  <c r="AZ255" i="3"/>
  <c r="BL257" i="3"/>
  <c r="AZ257" i="3"/>
  <c r="BA258" i="3"/>
  <c r="AZ258" i="3"/>
  <c r="BA259" i="3"/>
  <c r="AZ259" i="3"/>
  <c r="BL261" i="3"/>
  <c r="AZ261" i="3"/>
  <c r="BA262" i="3"/>
  <c r="AZ262" i="3"/>
  <c r="BA263" i="3"/>
  <c r="AZ263" i="3"/>
  <c r="BL265" i="3"/>
  <c r="AZ265" i="3"/>
  <c r="BA266" i="3"/>
  <c r="AZ266" i="3"/>
  <c r="BL272" i="3"/>
  <c r="AZ272" i="3"/>
  <c r="G276" i="3"/>
  <c r="BL276" i="3"/>
  <c r="AZ276" i="3"/>
  <c r="BA277" i="3"/>
  <c r="AZ277" i="3"/>
  <c r="BL279" i="3"/>
  <c r="AZ279" i="3"/>
  <c r="G282" i="3"/>
  <c r="BL282" i="3"/>
  <c r="AZ282" i="3"/>
  <c r="G285" i="3"/>
  <c r="BL285" i="3"/>
  <c r="AZ285" i="3"/>
  <c r="BA286" i="3"/>
  <c r="AZ286" i="3"/>
  <c r="BA165" i="3"/>
  <c r="AZ165" i="3"/>
  <c r="BA166" i="3"/>
  <c r="AZ166" i="3"/>
  <c r="BL167" i="3"/>
  <c r="AZ167" i="3"/>
  <c r="AZ169" i="3"/>
  <c r="BL25" i="3"/>
  <c r="AZ25" i="3"/>
  <c r="BL187" i="3"/>
  <c r="AZ187" i="3"/>
  <c r="G190" i="3"/>
  <c r="G191" i="3"/>
  <c r="G194" i="3"/>
  <c r="G195" i="3"/>
  <c r="G198" i="3"/>
  <c r="G199" i="3"/>
  <c r="G202" i="3"/>
  <c r="G203" i="3"/>
  <c r="G205" i="3"/>
  <c r="BL205" i="3"/>
  <c r="AZ205" i="3"/>
  <c r="G18" i="3"/>
  <c r="BL18" i="3"/>
  <c r="BA19" i="3"/>
  <c r="AZ19" i="3"/>
  <c r="BA20" i="3"/>
  <c r="AZ20" i="3"/>
  <c r="BA21" i="3"/>
  <c r="AZ21" i="3"/>
  <c r="G24" i="3"/>
  <c r="G25" i="3"/>
  <c r="BA26" i="3"/>
  <c r="AZ26" i="3"/>
  <c r="BL28" i="3"/>
  <c r="AZ28" i="3"/>
  <c r="G31" i="3"/>
  <c r="G32" i="3"/>
  <c r="G33" i="3"/>
  <c r="G34" i="3"/>
  <c r="BL34" i="3"/>
  <c r="AZ34" i="3"/>
  <c r="BA35" i="3"/>
  <c r="AZ35" i="3"/>
  <c r="BL37" i="3"/>
  <c r="AZ37" i="3"/>
  <c r="BA38" i="3"/>
  <c r="AZ38" i="3"/>
  <c r="BA39" i="3"/>
  <c r="AZ39" i="3"/>
  <c r="G42" i="3"/>
  <c r="G43" i="3"/>
  <c r="G44" i="3"/>
  <c r="BL44" i="3"/>
  <c r="AZ44" i="3"/>
  <c r="G47" i="3"/>
  <c r="G48" i="3"/>
  <c r="BL48" i="3"/>
  <c r="BA49" i="3"/>
  <c r="AZ49" i="3"/>
  <c r="BA50" i="3"/>
  <c r="AZ50" i="3"/>
  <c r="BA51" i="3"/>
  <c r="AZ51" i="3"/>
  <c r="BL53" i="3"/>
  <c r="AZ53" i="3"/>
  <c r="BA54" i="3"/>
  <c r="AZ54" i="3"/>
  <c r="BA55" i="3"/>
  <c r="AZ55" i="3"/>
  <c r="G58" i="3"/>
  <c r="G59" i="3"/>
  <c r="G60" i="3"/>
  <c r="BL60" i="3"/>
  <c r="AZ60" i="3"/>
  <c r="G63" i="3"/>
  <c r="G64" i="3"/>
  <c r="BL64" i="3"/>
  <c r="BA65" i="3"/>
  <c r="AZ65" i="3"/>
  <c r="BA66" i="3"/>
  <c r="AZ66" i="3"/>
  <c r="BA67" i="3"/>
  <c r="AZ67" i="3"/>
  <c r="BL69" i="3"/>
  <c r="AZ69" i="3"/>
  <c r="BA70" i="3"/>
  <c r="AZ70" i="3"/>
  <c r="BA71" i="3"/>
  <c r="AZ71" i="3"/>
  <c r="BA72" i="3"/>
  <c r="BL72" i="3"/>
  <c r="AZ72" i="3"/>
  <c r="G74" i="3"/>
  <c r="G75" i="3"/>
  <c r="G76" i="3"/>
  <c r="BL76" i="3"/>
  <c r="G79" i="3"/>
  <c r="G80" i="3"/>
  <c r="BL80" i="3"/>
  <c r="AZ80" i="3"/>
  <c r="BA81" i="3"/>
  <c r="AZ81" i="3"/>
  <c r="BA82" i="3"/>
  <c r="AZ82" i="3"/>
  <c r="BA83" i="3"/>
  <c r="AZ83" i="3"/>
  <c r="BL85" i="3"/>
  <c r="AZ85" i="3"/>
  <c r="G88" i="3"/>
  <c r="BL88" i="3"/>
  <c r="AZ88" i="3"/>
  <c r="BA90" i="3"/>
  <c r="AZ90" i="3"/>
  <c r="BA92" i="3"/>
  <c r="AZ92" i="3"/>
  <c r="BA93" i="3"/>
  <c r="AZ93" i="3"/>
  <c r="BA94" i="3"/>
  <c r="AZ94" i="3"/>
  <c r="BA96" i="3"/>
  <c r="AZ96" i="3"/>
  <c r="BA97" i="3"/>
  <c r="AZ97" i="3"/>
  <c r="BA99" i="3"/>
  <c r="AZ99" i="3"/>
  <c r="BL101" i="3"/>
  <c r="AZ101" i="3"/>
  <c r="BA103" i="3"/>
  <c r="AZ103" i="3"/>
  <c r="BL105" i="3"/>
  <c r="AZ105" i="3"/>
  <c r="BA106" i="3"/>
  <c r="AZ106" i="3"/>
  <c r="G109" i="3"/>
  <c r="G110" i="3"/>
  <c r="G111" i="3"/>
  <c r="BL111" i="3"/>
  <c r="BA112" i="3"/>
  <c r="AZ112" i="3"/>
  <c r="I20" i="66"/>
  <c r="D1" i="66"/>
  <c r="E10" i="66"/>
  <c r="AZ111" i="3"/>
  <c r="C7" i="80"/>
  <c r="C58" i="80"/>
  <c r="M47" i="79"/>
  <c r="C7" i="78"/>
  <c r="C58" i="78"/>
  <c r="J51" i="77"/>
  <c r="C51" i="10"/>
  <c r="A13" i="51"/>
  <c r="B11" i="72"/>
  <c r="A2" i="79"/>
  <c r="A118" i="79"/>
  <c r="AC34" i="33"/>
  <c r="S26" i="33"/>
  <c r="S41" i="33"/>
  <c r="U35" i="33"/>
  <c r="S34" i="33"/>
  <c r="AB26" i="33"/>
  <c r="S9" i="33"/>
  <c r="W28" i="36"/>
  <c r="F35" i="43"/>
  <c r="F39" i="43"/>
  <c r="M11" i="43"/>
  <c r="N7" i="43"/>
  <c r="H113" i="43"/>
  <c r="F36" i="43"/>
  <c r="N2" i="43"/>
  <c r="L59" i="77"/>
  <c r="L56" i="77"/>
  <c r="L60" i="77"/>
  <c r="J57" i="77"/>
  <c r="J55" i="77"/>
  <c r="J58" i="77"/>
  <c r="Q50" i="77"/>
  <c r="L58" i="77"/>
  <c r="L57" i="77"/>
  <c r="K53" i="77"/>
  <c r="J53" i="77"/>
  <c r="A15" i="62"/>
  <c r="B61" i="72"/>
  <c r="U45" i="39"/>
  <c r="AC38" i="39"/>
  <c r="S38" i="39"/>
  <c r="G8" i="1"/>
  <c r="G10" i="1"/>
  <c r="D93" i="9"/>
  <c r="G28" i="6"/>
  <c r="F70" i="43"/>
  <c r="A2" i="9"/>
  <c r="A4" i="52"/>
  <c r="B41" i="72"/>
  <c r="A118" i="9"/>
  <c r="AZ587" i="3"/>
  <c r="C101" i="43"/>
  <c r="C104" i="43"/>
  <c r="J101" i="43"/>
  <c r="J104" i="43"/>
  <c r="B113" i="43"/>
  <c r="D116" i="43"/>
  <c r="E116" i="43"/>
  <c r="F116" i="43"/>
  <c r="G116" i="43"/>
  <c r="H116" i="43"/>
  <c r="K101" i="43"/>
  <c r="K103" i="43"/>
  <c r="F101" i="43"/>
  <c r="F104" i="43"/>
  <c r="N101" i="43"/>
  <c r="N102" i="43"/>
  <c r="G101" i="43"/>
  <c r="G105" i="43"/>
  <c r="N104" i="46"/>
  <c r="AC26" i="33"/>
  <c r="W26" i="33"/>
  <c r="AC27" i="34"/>
  <c r="W27" i="34"/>
  <c r="W13" i="36"/>
  <c r="AC13" i="36"/>
  <c r="AA32" i="36"/>
  <c r="S32" i="36"/>
  <c r="AA31" i="39"/>
  <c r="S31" i="39"/>
  <c r="AC39" i="40"/>
  <c r="W39" i="40"/>
  <c r="AZ583" i="3"/>
  <c r="AZ573" i="3"/>
  <c r="AZ572" i="3"/>
  <c r="AZ570" i="3"/>
  <c r="AZ569" i="3"/>
  <c r="AZ545" i="3"/>
  <c r="AZ541" i="3"/>
  <c r="AZ537" i="3"/>
  <c r="AZ533" i="3"/>
  <c r="AZ529" i="3"/>
  <c r="AZ526" i="3"/>
  <c r="AZ527" i="3"/>
  <c r="AZ535" i="3"/>
  <c r="AZ543" i="3"/>
  <c r="AZ540" i="3"/>
  <c r="AZ552" i="3"/>
  <c r="AZ582" i="3"/>
  <c r="W12" i="33"/>
  <c r="AC12" i="33"/>
  <c r="U13" i="34"/>
  <c r="AB13" i="34"/>
  <c r="AC31" i="34"/>
  <c r="W31" i="34"/>
  <c r="U34" i="36"/>
  <c r="AB34" i="36"/>
  <c r="U33" i="36"/>
  <c r="AB33" i="36"/>
  <c r="AB12" i="37"/>
  <c r="U12" i="37"/>
  <c r="AC40" i="37"/>
  <c r="W40" i="37"/>
  <c r="AC12" i="39"/>
  <c r="W12" i="39"/>
  <c r="AC14" i="39"/>
  <c r="W14" i="39"/>
  <c r="AZ580" i="3"/>
  <c r="AZ578" i="3"/>
  <c r="AZ577" i="3"/>
  <c r="AZ565" i="3"/>
  <c r="AZ564" i="3"/>
  <c r="AZ562" i="3"/>
  <c r="AZ551" i="3"/>
  <c r="AZ550" i="3"/>
  <c r="AZ525" i="3"/>
  <c r="AZ505" i="3"/>
  <c r="AZ504" i="3"/>
  <c r="AZ501" i="3"/>
  <c r="AZ498" i="3"/>
  <c r="AZ497" i="3"/>
  <c r="AZ496" i="3"/>
  <c r="BL493" i="3"/>
  <c r="AZ493" i="3"/>
  <c r="AZ399" i="3"/>
  <c r="AZ405" i="3"/>
  <c r="AZ408" i="3"/>
  <c r="AZ415" i="3"/>
  <c r="AZ421" i="3"/>
  <c r="F28" i="6"/>
  <c r="F30" i="6"/>
  <c r="H87" i="43"/>
  <c r="H86" i="43"/>
  <c r="H75" i="43"/>
  <c r="AC17" i="34"/>
  <c r="AA12" i="40"/>
  <c r="U13" i="37"/>
  <c r="W37" i="37"/>
  <c r="AC11" i="39"/>
  <c r="BB5" i="3"/>
  <c r="E10" i="6"/>
  <c r="AZ16" i="3"/>
  <c r="U40" i="39"/>
  <c r="W27" i="39"/>
  <c r="W23" i="39"/>
  <c r="AC13" i="40"/>
  <c r="AA25" i="21"/>
  <c r="F12" i="39"/>
  <c r="S12" i="39"/>
  <c r="F9" i="37"/>
  <c r="S9" i="37"/>
  <c r="W16" i="35"/>
  <c r="AB38" i="21"/>
  <c r="U11" i="33"/>
  <c r="W26" i="37"/>
  <c r="W14" i="37"/>
  <c r="AA12" i="35"/>
  <c r="U43" i="33"/>
  <c r="AA41" i="34"/>
  <c r="S21" i="40"/>
  <c r="W35" i="39"/>
  <c r="U13" i="33"/>
  <c r="AB45" i="33"/>
  <c r="AA14" i="34"/>
  <c r="AB46" i="34"/>
  <c r="AB30" i="21"/>
  <c r="AB11" i="36"/>
  <c r="U30" i="33"/>
  <c r="AC13" i="34"/>
  <c r="AA47" i="34"/>
  <c r="W28" i="37"/>
  <c r="F13" i="40"/>
  <c r="AA13" i="40"/>
  <c r="H14" i="39"/>
  <c r="AB14" i="39"/>
  <c r="H28" i="37"/>
  <c r="H25" i="36"/>
  <c r="AB25" i="36"/>
  <c r="H25" i="35"/>
  <c r="AB25" i="35"/>
  <c r="J47" i="34"/>
  <c r="F31" i="34"/>
  <c r="S31" i="34"/>
  <c r="F13" i="34"/>
  <c r="AA13" i="34"/>
  <c r="F44" i="33"/>
  <c r="J14" i="33"/>
  <c r="J32" i="36"/>
  <c r="F45" i="21"/>
  <c r="AA45" i="21"/>
  <c r="J31" i="21"/>
  <c r="AC31" i="21"/>
  <c r="F27" i="21"/>
  <c r="AA27" i="21"/>
  <c r="J13" i="21"/>
  <c r="AC13" i="21"/>
  <c r="S28" i="34"/>
  <c r="AC38" i="34"/>
  <c r="AB17" i="34"/>
  <c r="U34" i="37"/>
  <c r="S8" i="33"/>
  <c r="E113" i="33"/>
  <c r="F113" i="33"/>
  <c r="G113" i="33"/>
  <c r="H113" i="33"/>
  <c r="I113" i="33"/>
  <c r="J113" i="33"/>
  <c r="K113" i="33"/>
  <c r="L113" i="33"/>
  <c r="M113" i="33"/>
  <c r="F27" i="34"/>
  <c r="AA27" i="34"/>
  <c r="S10" i="37"/>
  <c r="S10" i="36"/>
  <c r="F33" i="36"/>
  <c r="AA33" i="36"/>
  <c r="W32" i="40"/>
  <c r="AB12" i="33"/>
  <c r="S19" i="39"/>
  <c r="C27" i="39"/>
  <c r="J31" i="39"/>
  <c r="S34" i="39"/>
  <c r="U34" i="40"/>
  <c r="S40" i="40"/>
  <c r="AC9" i="40"/>
  <c r="AC40" i="40"/>
  <c r="W33" i="33"/>
  <c r="U34" i="35"/>
  <c r="AC27" i="35"/>
  <c r="J33" i="36"/>
  <c r="S30" i="36"/>
  <c r="U14" i="37"/>
  <c r="W31" i="37"/>
  <c r="U9" i="39"/>
  <c r="F35" i="39"/>
  <c r="F12" i="33"/>
  <c r="AC31" i="35"/>
  <c r="H12" i="39"/>
  <c r="AB12" i="39"/>
  <c r="F39" i="40"/>
  <c r="C30" i="9"/>
  <c r="G14" i="3"/>
  <c r="BA14" i="3"/>
  <c r="BL14" i="3"/>
  <c r="AZ431" i="3"/>
  <c r="AZ437" i="3"/>
  <c r="AZ441" i="3"/>
  <c r="AZ453" i="3"/>
  <c r="AZ457" i="3"/>
  <c r="AZ465" i="3"/>
  <c r="AZ468" i="3"/>
  <c r="AZ473" i="3"/>
  <c r="AZ385" i="3"/>
  <c r="AZ210" i="3"/>
  <c r="AZ216" i="3"/>
  <c r="AZ221" i="3"/>
  <c r="AZ228" i="3"/>
  <c r="AZ231" i="3"/>
  <c r="AZ244" i="3"/>
  <c r="AZ247" i="3"/>
  <c r="AZ260" i="3"/>
  <c r="AZ264" i="3"/>
  <c r="AZ267" i="3"/>
  <c r="AZ278" i="3"/>
  <c r="AZ289" i="3"/>
  <c r="AZ294" i="3"/>
  <c r="AZ18" i="3"/>
  <c r="AZ48" i="3"/>
  <c r="AZ64" i="3"/>
  <c r="AZ22" i="3"/>
  <c r="AZ27" i="3"/>
  <c r="AZ40" i="3"/>
  <c r="AZ56" i="3"/>
  <c r="AZ76" i="3"/>
  <c r="AZ91" i="3"/>
  <c r="AZ95" i="3"/>
  <c r="AZ98" i="3"/>
  <c r="AZ100" i="3"/>
  <c r="AZ104" i="3"/>
  <c r="S12" i="1"/>
  <c r="AR12" i="1"/>
  <c r="R12" i="1"/>
  <c r="B12" i="1"/>
  <c r="E12" i="1"/>
  <c r="S10" i="1"/>
  <c r="AR10" i="1"/>
  <c r="R10" i="1"/>
  <c r="B10" i="1"/>
  <c r="E10" i="1"/>
  <c r="S13" i="1"/>
  <c r="AR13" i="1"/>
  <c r="R13" i="1"/>
  <c r="S11" i="1"/>
  <c r="AQ11" i="1"/>
  <c r="R11" i="1"/>
  <c r="S9" i="1"/>
  <c r="AR9" i="1"/>
  <c r="R9" i="1"/>
  <c r="J51" i="67"/>
  <c r="C42" i="1"/>
  <c r="H100" i="43"/>
  <c r="C30" i="66"/>
  <c r="E26" i="66"/>
  <c r="B41" i="1"/>
  <c r="F28" i="15"/>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BA5" i="3"/>
  <c r="BL17" i="3"/>
  <c r="AZ17" i="3"/>
  <c r="BL13" i="3"/>
  <c r="G30" i="6"/>
  <c r="G31" i="6"/>
  <c r="J56" i="9"/>
  <c r="J57" i="9"/>
  <c r="A24" i="51"/>
  <c r="B18" i="72"/>
  <c r="U29" i="34"/>
  <c r="E5" i="6"/>
  <c r="D9" i="11"/>
  <c r="C9" i="11"/>
  <c r="J105" i="43"/>
  <c r="P10" i="1"/>
  <c r="H22" i="43"/>
  <c r="L101" i="43"/>
  <c r="L109" i="43"/>
  <c r="H101" i="43"/>
  <c r="D101" i="43"/>
  <c r="D109" i="43"/>
  <c r="M101" i="43"/>
  <c r="M109" i="43"/>
  <c r="I101" i="43"/>
  <c r="I109" i="43"/>
  <c r="E101" i="43"/>
  <c r="L19" i="6"/>
  <c r="G1" i="68"/>
  <c r="K1" i="12"/>
  <c r="E28" i="6"/>
  <c r="J107" i="43"/>
  <c r="F107" i="43"/>
  <c r="C105" i="43"/>
  <c r="K104" i="43"/>
  <c r="G103" i="43"/>
  <c r="D118" i="43"/>
  <c r="E118" i="43"/>
  <c r="F118" i="43"/>
  <c r="I117" i="43"/>
  <c r="J117" i="43"/>
  <c r="K117" i="43"/>
  <c r="L117" i="43"/>
  <c r="M117" i="43"/>
  <c r="G106" i="43"/>
  <c r="K106" i="43"/>
  <c r="F103" i="43"/>
  <c r="N104" i="43"/>
  <c r="AQ12" i="1"/>
  <c r="E19" i="69"/>
  <c r="E19" i="68"/>
  <c r="E19" i="11"/>
  <c r="F52" i="9"/>
  <c r="M18" i="15"/>
  <c r="F30" i="11"/>
  <c r="F32" i="15"/>
  <c r="F60" i="15"/>
  <c r="F31" i="12"/>
  <c r="F30" i="69"/>
  <c r="F30" i="68"/>
  <c r="F32" i="67"/>
  <c r="F60" i="67"/>
  <c r="F28" i="67"/>
  <c r="C28" i="67"/>
  <c r="M18" i="67"/>
  <c r="E1" i="73"/>
  <c r="K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F100" i="43"/>
  <c r="H17" i="43"/>
  <c r="D9" i="53"/>
  <c r="B25" i="72"/>
  <c r="B24" i="72"/>
  <c r="G6" i="1"/>
  <c r="H85" i="43"/>
  <c r="H81" i="43"/>
  <c r="H84" i="43"/>
  <c r="H88"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76" i="43"/>
  <c r="H72" i="43"/>
  <c r="H77" i="43"/>
  <c r="E30" i="6"/>
  <c r="L20" i="6"/>
  <c r="K15" i="1"/>
  <c r="B6" i="1"/>
  <c r="E6" i="1"/>
  <c r="E27" i="6"/>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7" i="49"/>
  <c r="B19" i="49"/>
  <c r="B13" i="49"/>
  <c r="E16" i="49"/>
  <c r="B11" i="49"/>
  <c r="E8" i="49"/>
  <c r="E21" i="49"/>
  <c r="E10" i="49"/>
  <c r="B18" i="49"/>
  <c r="E9" i="49"/>
  <c r="E5" i="49"/>
  <c r="B6" i="49"/>
  <c r="B4" i="49"/>
  <c r="B20" i="49"/>
  <c r="B8" i="49"/>
  <c r="E18" i="49"/>
  <c r="E4" i="49"/>
  <c r="E11" i="49"/>
  <c r="F26" i="77"/>
  <c r="M9" i="77"/>
  <c r="M23" i="77"/>
  <c r="F6" i="77"/>
  <c r="M6" i="77"/>
  <c r="F8" i="77"/>
  <c r="F9" i="77"/>
  <c r="F13" i="77"/>
  <c r="F40" i="77"/>
  <c r="F37" i="77"/>
  <c r="F36" i="77"/>
  <c r="F7" i="77"/>
  <c r="M24" i="77"/>
  <c r="M29" i="77"/>
  <c r="M26" i="67"/>
  <c r="L47" i="67"/>
  <c r="M23" i="67"/>
  <c r="M26" i="15"/>
  <c r="L47" i="15"/>
  <c r="M22" i="15"/>
  <c r="M23" i="15"/>
  <c r="F16" i="77"/>
  <c r="F42" i="77"/>
  <c r="F43" i="77"/>
  <c r="M28" i="77"/>
  <c r="F38" i="77"/>
  <c r="C76" i="77"/>
  <c r="J15" i="77"/>
  <c r="M22" i="77"/>
  <c r="M26" i="77"/>
  <c r="M8" i="77"/>
  <c r="C76" i="67"/>
  <c r="J15" i="67"/>
  <c r="M28" i="15"/>
  <c r="M24" i="15"/>
  <c r="M22" i="67"/>
  <c r="M28" i="67"/>
  <c r="J15" i="15"/>
  <c r="M29" i="15"/>
  <c r="M29" i="67"/>
  <c r="C76" i="15"/>
  <c r="M24" i="67"/>
  <c r="F109" i="43"/>
  <c r="AQ10" i="1"/>
  <c r="I116" i="43"/>
  <c r="J116" i="43"/>
  <c r="K116" i="43"/>
  <c r="L116" i="43"/>
  <c r="M116" i="43"/>
  <c r="B116" i="43"/>
  <c r="C116" i="43"/>
  <c r="I118" i="43"/>
  <c r="J118" i="43"/>
  <c r="K118" i="43"/>
  <c r="L118" i="43"/>
  <c r="M118" i="43"/>
  <c r="F106" i="43"/>
  <c r="I115" i="43"/>
  <c r="J115" i="43"/>
  <c r="K115" i="43"/>
  <c r="L115" i="43"/>
  <c r="M115" i="43"/>
  <c r="Q71" i="77"/>
  <c r="F66" i="77"/>
  <c r="F71" i="77"/>
  <c r="F70" i="77"/>
  <c r="F50" i="77"/>
  <c r="M7" i="77"/>
  <c r="J6" i="77"/>
  <c r="F64" i="77"/>
  <c r="F65" i="77"/>
  <c r="F68" i="77"/>
  <c r="F52" i="77"/>
  <c r="F51" i="77"/>
  <c r="J10" i="77"/>
  <c r="J5" i="77"/>
  <c r="F49" i="77"/>
  <c r="C6" i="77"/>
  <c r="C10" i="77"/>
  <c r="C27" i="77"/>
  <c r="H101" i="33"/>
  <c r="I101" i="33"/>
  <c r="J101" i="33"/>
  <c r="K101" i="33"/>
  <c r="L101" i="33"/>
  <c r="M101" i="33"/>
  <c r="H32" i="33"/>
  <c r="F32" i="33"/>
  <c r="D68" i="79"/>
  <c r="F54" i="79"/>
  <c r="F53" i="79"/>
  <c r="F52" i="79"/>
  <c r="F32" i="77"/>
  <c r="F60" i="77"/>
  <c r="F28" i="77"/>
  <c r="C28" i="77"/>
  <c r="M18" i="77"/>
  <c r="D58" i="78"/>
  <c r="E58" i="78"/>
  <c r="F58" i="78"/>
  <c r="G58" i="78"/>
  <c r="H58" i="78"/>
  <c r="I58" i="78"/>
  <c r="J58" i="78"/>
  <c r="K58" i="78"/>
  <c r="L58" i="78"/>
  <c r="M58" i="78"/>
  <c r="N58" i="78"/>
  <c r="O58" i="78"/>
  <c r="H7" i="78"/>
  <c r="F7" i="78"/>
  <c r="J7" i="78"/>
  <c r="D58" i="80"/>
  <c r="E58" i="80"/>
  <c r="F58" i="80"/>
  <c r="G58" i="80"/>
  <c r="H58" i="80"/>
  <c r="I58" i="80"/>
  <c r="J58" i="80"/>
  <c r="K58" i="80"/>
  <c r="L58" i="80"/>
  <c r="M58" i="80"/>
  <c r="N58" i="80"/>
  <c r="O58" i="80"/>
  <c r="F7" i="80"/>
  <c r="H7" i="80"/>
  <c r="J7" i="80"/>
  <c r="J32" i="33"/>
  <c r="F53" i="9"/>
  <c r="C77" i="79"/>
  <c r="C74" i="79"/>
  <c r="AB38" i="40"/>
  <c r="U38" i="40"/>
  <c r="F70" i="15"/>
  <c r="F52" i="15"/>
  <c r="F59" i="43"/>
  <c r="F48" i="43"/>
  <c r="Q74" i="77"/>
  <c r="Q61" i="77"/>
  <c r="Q73" i="77"/>
  <c r="Q60" i="77"/>
  <c r="Q57" i="77"/>
  <c r="Q66" i="77"/>
  <c r="Q52" i="77"/>
  <c r="F1" i="77"/>
  <c r="C4" i="4"/>
  <c r="C31" i="12"/>
  <c r="C28" i="15"/>
  <c r="N109" i="43"/>
  <c r="K107" i="43"/>
  <c r="J102" i="43"/>
  <c r="N105" i="43"/>
  <c r="K109" i="43"/>
  <c r="J109" i="43"/>
  <c r="N107" i="43"/>
  <c r="J106" i="43"/>
  <c r="K105" i="43"/>
  <c r="K102" i="43"/>
  <c r="J103" i="43"/>
  <c r="N106" i="43"/>
  <c r="N103" i="43"/>
  <c r="E8" i="6"/>
  <c r="AZ13" i="3"/>
  <c r="G109" i="43"/>
  <c r="C109" i="43"/>
  <c r="T10" i="1"/>
  <c r="F105" i="43"/>
  <c r="C102" i="43"/>
  <c r="S2" i="43"/>
  <c r="D115" i="43"/>
  <c r="E115" i="43"/>
  <c r="F115" i="43"/>
  <c r="G115" i="43"/>
  <c r="H115" i="43"/>
  <c r="B117" i="43"/>
  <c r="C117" i="43"/>
  <c r="B118" i="43"/>
  <c r="C118" i="43"/>
  <c r="G118" i="43"/>
  <c r="H118" i="43"/>
  <c r="G104" i="43"/>
  <c r="G107" i="43"/>
  <c r="C103" i="43"/>
  <c r="C107" i="43"/>
  <c r="F102" i="43"/>
  <c r="G102" i="43"/>
  <c r="C106" i="43"/>
  <c r="T11" i="1"/>
  <c r="T12" i="1"/>
  <c r="AQ13" i="1"/>
  <c r="E14" i="6"/>
  <c r="E11" i="6"/>
  <c r="E61" i="39"/>
  <c r="D9" i="69"/>
  <c r="C9" i="69"/>
  <c r="AQ9" i="1"/>
  <c r="AR11" i="1"/>
  <c r="D19" i="12"/>
  <c r="C19" i="12"/>
  <c r="T9" i="1"/>
  <c r="T13" i="1"/>
  <c r="H73" i="43"/>
  <c r="H74" i="43"/>
  <c r="D68" i="39"/>
  <c r="D70" i="39"/>
  <c r="P24" i="43"/>
  <c r="B66" i="40"/>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C16" i="43"/>
  <c r="C5" i="43"/>
  <c r="C48" i="69"/>
  <c r="C30" i="69"/>
  <c r="AZ14" i="3"/>
  <c r="C24" i="12"/>
  <c r="C77" i="9"/>
  <c r="C74" i="9"/>
  <c r="S12" i="33"/>
  <c r="AA12" i="33"/>
  <c r="W33" i="36"/>
  <c r="AC33" i="36"/>
  <c r="W32" i="36"/>
  <c r="AC32" i="36"/>
  <c r="S44" i="33"/>
  <c r="AA44" i="33"/>
  <c r="U28" i="37"/>
  <c r="AB28" i="37"/>
  <c r="B115" i="43"/>
  <c r="C115" i="43"/>
  <c r="D117" i="43"/>
  <c r="E117" i="43"/>
  <c r="F117" i="43"/>
  <c r="G117" i="43"/>
  <c r="H117" i="43"/>
  <c r="C30" i="68"/>
  <c r="C48" i="68"/>
  <c r="AA39" i="40"/>
  <c r="S39" i="40"/>
  <c r="AA35" i="39"/>
  <c r="S35" i="39"/>
  <c r="AC47" i="34"/>
  <c r="W47" i="34"/>
  <c r="E15" i="6"/>
  <c r="E12" i="6"/>
  <c r="E13" i="6"/>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D3" i="78"/>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F24" i="77"/>
  <c r="O19" i="43"/>
  <c r="K53" i="15"/>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5" i="62"/>
  <c r="B4" i="62"/>
  <c r="L27" i="6"/>
  <c r="G16" i="1"/>
  <c r="H10" i="40"/>
  <c r="U10" i="40"/>
  <c r="L56" i="67"/>
  <c r="Q50" i="67"/>
  <c r="K53" i="67"/>
  <c r="F70" i="67"/>
  <c r="F51" i="67"/>
  <c r="F68" i="67"/>
  <c r="L59" i="67"/>
  <c r="L58" i="67"/>
  <c r="F71" i="67"/>
  <c r="F66" i="67"/>
  <c r="F50" i="67"/>
  <c r="Q71" i="67"/>
  <c r="F64" i="67"/>
  <c r="F65" i="67"/>
  <c r="F71" i="15"/>
  <c r="L59" i="15"/>
  <c r="Q74" i="15"/>
  <c r="L58" i="15"/>
  <c r="Q73" i="15"/>
  <c r="Q71" i="15"/>
  <c r="F64" i="15"/>
  <c r="F51" i="15"/>
  <c r="F65" i="15"/>
  <c r="Q50" i="15"/>
  <c r="L56" i="15"/>
  <c r="F68" i="15"/>
  <c r="F50" i="15"/>
  <c r="F66" i="15"/>
  <c r="AP7" i="1"/>
  <c r="C36" i="69"/>
  <c r="M7" i="1"/>
  <c r="O7" i="1"/>
  <c r="Q16" i="1"/>
  <c r="F27" i="69"/>
  <c r="H16" i="1"/>
  <c r="K16" i="1"/>
  <c r="AB45" i="21"/>
  <c r="AC33" i="21"/>
  <c r="W33" i="21"/>
  <c r="S33" i="21"/>
  <c r="AA33" i="21"/>
  <c r="W32" i="21"/>
  <c r="AC32" i="21"/>
  <c r="AB9" i="21"/>
  <c r="U9" i="21"/>
  <c r="AA32" i="21"/>
  <c r="S32" i="21"/>
  <c r="W9" i="21"/>
  <c r="AC9" i="21"/>
  <c r="AB32" i="21"/>
  <c r="U32" i="21"/>
  <c r="AA10" i="21"/>
  <c r="S10" i="21"/>
  <c r="F31" i="15"/>
  <c r="F59" i="15"/>
  <c r="F31" i="67"/>
  <c r="M17" i="67"/>
  <c r="F59" i="67"/>
  <c r="M17" i="15"/>
  <c r="C16" i="77"/>
  <c r="C5" i="77"/>
  <c r="C32" i="77"/>
  <c r="AC7" i="80"/>
  <c r="I48" i="80"/>
  <c r="I52" i="80"/>
  <c r="J52" i="80"/>
  <c r="W7" i="80"/>
  <c r="AA7" i="80"/>
  <c r="S7" i="80"/>
  <c r="W7" i="78"/>
  <c r="AC7" i="78"/>
  <c r="V48" i="78"/>
  <c r="I48" i="78"/>
  <c r="AB7" i="78"/>
  <c r="T48" i="78"/>
  <c r="G48" i="78"/>
  <c r="U7" i="78"/>
  <c r="AB32" i="33"/>
  <c r="U32" i="33"/>
  <c r="J18" i="77"/>
  <c r="J26" i="77"/>
  <c r="J24" i="77"/>
  <c r="U7" i="80"/>
  <c r="AB7" i="80"/>
  <c r="G48" i="80"/>
  <c r="S7" i="78"/>
  <c r="AA7" i="78"/>
  <c r="R48" i="78"/>
  <c r="AA32" i="33"/>
  <c r="S32" i="33"/>
  <c r="C38" i="77"/>
  <c r="C49" i="77"/>
  <c r="C53" i="77"/>
  <c r="B71" i="72"/>
  <c r="B4" i="72"/>
  <c r="B73" i="72"/>
  <c r="H52" i="43"/>
  <c r="H50" i="43"/>
  <c r="H54" i="43"/>
  <c r="H51" i="43"/>
  <c r="H49" i="43"/>
  <c r="H48" i="43"/>
  <c r="H53" i="43"/>
  <c r="H55" i="43"/>
  <c r="H56" i="43"/>
  <c r="H62" i="43"/>
  <c r="H61" i="43"/>
  <c r="H60" i="43"/>
  <c r="H59" i="43"/>
  <c r="H67" i="43"/>
  <c r="H66" i="43"/>
  <c r="H65" i="43"/>
  <c r="H64" i="43"/>
  <c r="H63" i="43"/>
  <c r="C24" i="77"/>
  <c r="C9" i="68"/>
  <c r="F27" i="6"/>
  <c r="E51" i="40"/>
  <c r="E56" i="39"/>
  <c r="E56" i="40"/>
  <c r="E64" i="39"/>
  <c r="E59" i="40"/>
  <c r="D113" i="43"/>
  <c r="J22" i="43"/>
  <c r="B14" i="74"/>
  <c r="B1" i="74"/>
  <c r="D3" i="34"/>
  <c r="D3" i="21"/>
  <c r="D3" i="33"/>
  <c r="E58" i="40"/>
  <c r="E63" i="39"/>
  <c r="E60" i="40"/>
  <c r="E65" i="39"/>
  <c r="E57" i="40"/>
  <c r="E62" i="39"/>
  <c r="E66" i="39"/>
  <c r="E16" i="6"/>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3" i="43"/>
  <c r="I33"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67"/>
  <c r="F10" i="40"/>
  <c r="AA10" i="40"/>
  <c r="H10" i="39"/>
  <c r="J10" i="39"/>
  <c r="Q61" i="15"/>
  <c r="Q60" i="15"/>
  <c r="M16" i="1"/>
  <c r="N16" i="1"/>
  <c r="Q60" i="67"/>
  <c r="Q73" i="67"/>
  <c r="F27" i="11"/>
  <c r="Q61" i="67"/>
  <c r="Q74" i="67"/>
  <c r="C49" i="67"/>
  <c r="Q52" i="67"/>
  <c r="C48" i="77"/>
  <c r="C66" i="77"/>
  <c r="I52" i="78"/>
  <c r="J52" i="78"/>
  <c r="C60" i="77"/>
  <c r="E48" i="78"/>
  <c r="R49" i="78"/>
  <c r="G52" i="80"/>
  <c r="H52" i="80"/>
  <c r="G53" i="80"/>
  <c r="H53" i="80"/>
  <c r="G53" i="78"/>
  <c r="H53" i="78"/>
  <c r="G52" i="78"/>
  <c r="H52" i="78"/>
  <c r="E48" i="80"/>
  <c r="F31" i="6"/>
  <c r="AA7" i="36"/>
  <c r="R36" i="36"/>
  <c r="E36" i="36"/>
  <c r="E40" i="36"/>
  <c r="F40" i="36"/>
  <c r="AC11" i="37"/>
  <c r="W11" i="37"/>
  <c r="AB7" i="37"/>
  <c r="T42" i="37"/>
  <c r="G42" i="37"/>
  <c r="G46" i="37"/>
  <c r="H46" i="37"/>
  <c r="W11" i="34"/>
  <c r="AC11" i="34"/>
  <c r="C14" i="74"/>
  <c r="B2" i="74"/>
  <c r="AB7" i="36"/>
  <c r="T36" i="36"/>
  <c r="E6" i="3"/>
  <c r="AA10" i="39"/>
  <c r="D10" i="11"/>
  <c r="C10" i="11"/>
  <c r="D20" i="12"/>
  <c r="C20" i="12"/>
  <c r="C18" i="12"/>
  <c r="D19" i="6"/>
  <c r="D25" i="6"/>
  <c r="D26" i="6"/>
  <c r="D15" i="6"/>
  <c r="C18" i="4"/>
  <c r="D22" i="6"/>
  <c r="D8" i="6"/>
  <c r="D21" i="6"/>
  <c r="D23" i="6"/>
  <c r="D24" i="6"/>
  <c r="D14" i="6"/>
  <c r="D20" i="6"/>
  <c r="M19" i="9"/>
  <c r="C118" i="9"/>
  <c r="D5" i="6"/>
  <c r="D6" i="6"/>
  <c r="D12" i="6"/>
  <c r="D9" i="6"/>
  <c r="D11" i="6"/>
  <c r="D10" i="6"/>
  <c r="D13" i="6"/>
  <c r="D28" i="6"/>
  <c r="D29" i="6"/>
  <c r="E61" i="40"/>
  <c r="C13" i="12"/>
  <c r="P16" i="1"/>
  <c r="C11" i="12"/>
  <c r="C26" i="12"/>
  <c r="D25" i="12"/>
  <c r="F34" i="11"/>
  <c r="C37" i="11"/>
  <c r="F11" i="12"/>
  <c r="AC10" i="40"/>
  <c r="C26" i="69"/>
  <c r="D22" i="69"/>
  <c r="C44" i="69"/>
  <c r="D41" i="69"/>
  <c r="C25" i="11"/>
  <c r="C26" i="11"/>
  <c r="D22" i="11"/>
  <c r="C24" i="11"/>
  <c r="C44" i="11"/>
  <c r="D41" i="11"/>
  <c r="C23" i="11"/>
  <c r="G35" i="43"/>
  <c r="I35" i="43"/>
  <c r="C30" i="43"/>
  <c r="E30"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W10" i="39"/>
  <c r="AC10" i="39"/>
  <c r="U10" i="39"/>
  <c r="AB10" i="39"/>
  <c r="F50" i="11"/>
  <c r="F50" i="69"/>
  <c r="F50" i="68"/>
  <c r="C47" i="11"/>
  <c r="D45" i="11"/>
  <c r="C29" i="11"/>
  <c r="D27" i="11"/>
  <c r="C28" i="11"/>
  <c r="C27" i="11"/>
  <c r="L16" i="1"/>
  <c r="C34" i="11"/>
  <c r="M19" i="79"/>
  <c r="C118" i="79"/>
  <c r="C48" i="80"/>
  <c r="C49" i="78"/>
  <c r="B2" i="78"/>
  <c r="B3" i="78"/>
  <c r="C48" i="78"/>
  <c r="I53" i="80"/>
  <c r="J53" i="80"/>
  <c r="E53" i="80"/>
  <c r="F53" i="80"/>
  <c r="E52" i="80"/>
  <c r="F52" i="80"/>
  <c r="E53" i="78"/>
  <c r="F53" i="78"/>
  <c r="E52" i="78"/>
  <c r="F52" i="78"/>
  <c r="I53" i="78"/>
  <c r="J53" i="78"/>
  <c r="C36" i="11"/>
  <c r="I41" i="36"/>
  <c r="J41" i="36"/>
  <c r="K20" i="6"/>
  <c r="E31" i="6"/>
  <c r="K26" i="6"/>
  <c r="M26" i="6"/>
  <c r="I26" i="6"/>
  <c r="K19" i="6"/>
  <c r="K23" i="6"/>
  <c r="M23" i="6"/>
  <c r="I23" i="6"/>
  <c r="K24" i="6"/>
  <c r="M24" i="6"/>
  <c r="I24" i="6"/>
  <c r="M21" i="6"/>
  <c r="I21" i="6"/>
  <c r="K22" i="6"/>
  <c r="M22" i="6"/>
  <c r="I22" i="6"/>
  <c r="K25" i="6"/>
  <c r="M25" i="6"/>
  <c r="I25" i="6"/>
  <c r="J24" i="67"/>
  <c r="J18" i="67"/>
  <c r="J24" i="15"/>
  <c r="J18" i="15"/>
  <c r="G36" i="36"/>
  <c r="R37" i="36"/>
  <c r="AB7" i="34"/>
  <c r="T49" i="34"/>
  <c r="G49" i="34"/>
  <c r="G53" i="34"/>
  <c r="H53" i="34"/>
  <c r="W7" i="21"/>
  <c r="AA7" i="21"/>
  <c r="R48" i="21"/>
  <c r="E48" i="21"/>
  <c r="E52" i="21"/>
  <c r="F52" i="21"/>
  <c r="D30" i="6"/>
  <c r="D16" i="6"/>
  <c r="A7" i="51"/>
  <c r="B7" i="72"/>
  <c r="C4" i="52"/>
  <c r="B45" i="72"/>
  <c r="A10" i="51"/>
  <c r="B9" i="72"/>
  <c r="D27" i="6"/>
  <c r="C12" i="12"/>
  <c r="C15" i="12"/>
  <c r="U7" i="21"/>
  <c r="C22" i="11"/>
  <c r="C31" i="11"/>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C38" i="11"/>
  <c r="C14" i="12"/>
  <c r="C23" i="12"/>
  <c r="B3" i="80"/>
  <c r="B2" i="80"/>
  <c r="B2" i="43"/>
  <c r="B3" i="43"/>
  <c r="M20" i="6"/>
  <c r="I20" i="6"/>
  <c r="L18" i="9"/>
  <c r="S7" i="1"/>
  <c r="S25" i="6"/>
  <c r="H25" i="6"/>
  <c r="R25" i="6"/>
  <c r="S21" i="6"/>
  <c r="H21" i="6"/>
  <c r="R21" i="6"/>
  <c r="R8" i="1"/>
  <c r="S23" i="6"/>
  <c r="H23" i="6"/>
  <c r="R23" i="6"/>
  <c r="S26" i="6"/>
  <c r="H26" i="6"/>
  <c r="R26" i="6"/>
  <c r="S20" i="6"/>
  <c r="H20" i="6"/>
  <c r="D31" i="6"/>
  <c r="S22" i="6"/>
  <c r="H22" i="6"/>
  <c r="R22" i="6"/>
  <c r="S24" i="6"/>
  <c r="H24" i="6"/>
  <c r="R24" i="6"/>
  <c r="S6" i="1"/>
  <c r="M19" i="6"/>
  <c r="K27" i="6"/>
  <c r="R49" i="21"/>
  <c r="C48" i="21"/>
  <c r="G54" i="34"/>
  <c r="H54" i="34"/>
  <c r="I53" i="21"/>
  <c r="J53" i="21"/>
  <c r="C37" i="36"/>
  <c r="U7" i="1"/>
  <c r="C36" i="36"/>
  <c r="G40" i="36"/>
  <c r="H40" i="36"/>
  <c r="E41" i="36"/>
  <c r="F41" i="36"/>
  <c r="G41" i="36"/>
  <c r="H41" i="36"/>
  <c r="C19" i="68"/>
  <c r="I6" i="6"/>
  <c r="I5"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C17" i="77"/>
  <c r="F49" i="15"/>
  <c r="E6" i="70"/>
  <c r="R20" i="6"/>
  <c r="L19" i="9"/>
  <c r="C10" i="68"/>
  <c r="E7" i="70"/>
  <c r="AR7" i="1"/>
  <c r="T7" i="1"/>
  <c r="AQ7" i="1"/>
  <c r="AQ6" i="1"/>
  <c r="AR6" i="1"/>
  <c r="T6" i="1"/>
  <c r="M27" i="6"/>
  <c r="I19" i="6"/>
  <c r="L18" i="79"/>
  <c r="C49" i="21"/>
  <c r="F63" i="67"/>
  <c r="C62" i="67"/>
  <c r="J20" i="67"/>
  <c r="C22" i="12"/>
  <c r="C30" i="12"/>
  <c r="C28" i="12"/>
  <c r="I63" i="40"/>
  <c r="H65" i="40"/>
  <c r="C39" i="11"/>
  <c r="C43" i="11"/>
  <c r="C41" i="11"/>
  <c r="I70" i="39"/>
  <c r="C14" i="77"/>
  <c r="C18" i="77"/>
  <c r="C15" i="77"/>
  <c r="C53" i="15"/>
  <c r="C49" i="15"/>
  <c r="H19" i="6"/>
  <c r="L19" i="79"/>
  <c r="I27" i="6"/>
  <c r="S19" i="6"/>
  <c r="S27" i="6"/>
  <c r="C27" i="12"/>
  <c r="C25" i="12"/>
  <c r="C32" i="12"/>
  <c r="B2" i="12"/>
  <c r="B3" i="12"/>
  <c r="J63" i="40"/>
  <c r="I65" i="40"/>
  <c r="C46" i="11"/>
  <c r="C45" i="11"/>
  <c r="C49" i="11"/>
  <c r="C51" i="11"/>
  <c r="C52" i="11"/>
  <c r="B2" i="11"/>
  <c r="B3" i="11"/>
  <c r="J70" i="39"/>
  <c r="C19" i="77"/>
  <c r="C20" i="77"/>
  <c r="H27" i="6"/>
  <c r="R19" i="6"/>
  <c r="K63" i="40"/>
  <c r="J65" i="40"/>
  <c r="K70" i="39"/>
  <c r="C56" i="11"/>
  <c r="C57" i="11"/>
  <c r="M21" i="15"/>
  <c r="C26" i="77"/>
  <c r="C23" i="77"/>
  <c r="J20" i="15"/>
  <c r="F63" i="15"/>
  <c r="C62" i="15"/>
  <c r="R27" i="6"/>
  <c r="L63" i="40"/>
  <c r="K65" i="40"/>
  <c r="L70" i="39"/>
  <c r="E8" i="70"/>
  <c r="E2" i="70"/>
  <c r="C34" i="69"/>
  <c r="M21" i="77"/>
  <c r="F35" i="77"/>
  <c r="C29" i="77"/>
  <c r="C36" i="77"/>
  <c r="J20" i="77"/>
  <c r="C34" i="77"/>
  <c r="F63" i="77"/>
  <c r="C62" i="77"/>
  <c r="R16" i="1"/>
  <c r="M63" i="40"/>
  <c r="L65" i="40"/>
  <c r="M70" i="39"/>
  <c r="C35" i="69"/>
  <c r="C38" i="69"/>
  <c r="D10" i="69"/>
  <c r="C33" i="77"/>
  <c r="C31" i="77"/>
  <c r="C57" i="77"/>
  <c r="J19" i="77"/>
  <c r="J17" i="77"/>
  <c r="J59" i="77"/>
  <c r="J60" i="77"/>
  <c r="J14" i="77"/>
  <c r="C13" i="77"/>
  <c r="Q49" i="77"/>
  <c r="N63" i="40"/>
  <c r="M65" i="40"/>
  <c r="O70" i="39"/>
  <c r="N70" i="39"/>
  <c r="D19" i="69"/>
  <c r="C10" i="69"/>
  <c r="C8" i="69"/>
  <c r="C5" i="69"/>
  <c r="Q70" i="77"/>
  <c r="C37" i="77"/>
  <c r="C30" i="77"/>
  <c r="C39" i="77"/>
  <c r="C75" i="77"/>
  <c r="C80" i="77"/>
  <c r="C79" i="77"/>
  <c r="C56" i="77"/>
  <c r="C65" i="77"/>
  <c r="L46" i="77"/>
  <c r="Q48" i="77"/>
  <c r="J22" i="77"/>
  <c r="J13" i="77"/>
  <c r="J23" i="77"/>
  <c r="J16" i="77"/>
  <c r="J25" i="77"/>
  <c r="C61" i="77"/>
  <c r="C59" i="77"/>
  <c r="C64" i="77"/>
  <c r="O63" i="40"/>
  <c r="O65" i="40"/>
  <c r="N65" i="40"/>
  <c r="C23" i="69"/>
  <c r="C19" i="69"/>
  <c r="C24" i="69"/>
  <c r="D37" i="69"/>
  <c r="C37" i="69"/>
  <c r="C33" i="69"/>
  <c r="L51" i="77"/>
  <c r="Q69" i="77"/>
  <c r="Q68" i="77"/>
  <c r="C58" i="77"/>
  <c r="C67" i="77"/>
  <c r="Q67" i="77"/>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L51" i="67"/>
  <c r="L57" i="67"/>
  <c r="L60"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F41" i="77"/>
  <c r="M27" i="77"/>
  <c r="M27" i="67"/>
  <c r="M27" i="15"/>
  <c r="C40" i="77"/>
  <c r="C83" i="77"/>
  <c r="C82" i="77"/>
  <c r="F69" i="77"/>
  <c r="C68" i="77"/>
  <c r="J29" i="77"/>
  <c r="B2" i="77"/>
  <c r="B3" i="77"/>
  <c r="C71" i="77"/>
  <c r="C58" i="15"/>
  <c r="C67" i="15"/>
  <c r="F69" i="15"/>
  <c r="C43" i="15"/>
  <c r="Q57" i="15"/>
  <c r="Q66" i="15"/>
  <c r="F69" i="67"/>
  <c r="C68" i="67"/>
  <c r="C71" i="67"/>
  <c r="C83" i="67"/>
  <c r="C82" i="67"/>
  <c r="Q56" i="77"/>
  <c r="Q62" i="77"/>
  <c r="Q47" i="77"/>
  <c r="Q53" i="77"/>
  <c r="Q65" i="77"/>
  <c r="Q75" i="77"/>
  <c r="C43" i="77"/>
  <c r="C46" i="77"/>
  <c r="C68" i="15"/>
  <c r="C71" i="15"/>
  <c r="C83" i="15"/>
  <c r="C82" i="15"/>
  <c r="Q65" i="15"/>
  <c r="Q75" i="15"/>
  <c r="Q47" i="15"/>
  <c r="Q53" i="15"/>
  <c r="Q56" i="15"/>
  <c r="Q62" i="15"/>
  <c r="C43" i="67"/>
  <c r="C45" i="67"/>
  <c r="C46" i="67"/>
  <c r="Q65" i="67"/>
  <c r="Q75" i="67"/>
  <c r="Q56" i="67"/>
  <c r="Q62" i="67"/>
  <c r="Q47" i="67"/>
  <c r="Q53" i="67"/>
  <c r="B2" i="67"/>
  <c r="D19" i="79"/>
  <c r="E2" i="69"/>
  <c r="AO7" i="1"/>
  <c r="AO6" i="1"/>
  <c r="AO8" i="1"/>
  <c r="D102" i="79"/>
  <c r="D21" i="79"/>
  <c r="B3" i="15"/>
  <c r="C46" i="15"/>
  <c r="B2" i="69"/>
  <c r="B3" i="69"/>
  <c r="B8" i="70"/>
  <c r="B6" i="70"/>
  <c r="B7" i="70"/>
  <c r="D34" i="79"/>
  <c r="D2" i="34"/>
  <c r="D35" i="79"/>
  <c r="E2" i="68"/>
  <c r="D2" i="21"/>
  <c r="D2" i="35"/>
  <c r="D2" i="36"/>
  <c r="D2" i="37"/>
  <c r="D2" i="33"/>
  <c r="D103" i="79"/>
  <c r="B2" i="36"/>
  <c r="B3" i="36"/>
  <c r="B2" i="35"/>
  <c r="B3" i="35"/>
  <c r="B2" i="37"/>
  <c r="B3" i="37"/>
  <c r="B2" i="34"/>
  <c r="B3" i="34"/>
  <c r="B2" i="21"/>
  <c r="B3" i="21"/>
  <c r="B2" i="70"/>
  <c r="B3" i="70"/>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H112" i="9"/>
  <c r="D21" i="53"/>
  <c r="B39" i="72"/>
  <c r="H111" i="9"/>
  <c r="D126" i="9"/>
  <c r="D59" i="9"/>
  <c r="M55" i="9"/>
  <c r="D19" i="53"/>
  <c r="B38" i="72"/>
  <c r="C57" i="68"/>
  <c r="C56" i="68"/>
  <c r="D20" i="53"/>
  <c r="B40" i="72"/>
  <c r="I14" i="74"/>
  <c r="B8" i="74"/>
  <c r="D127" i="9"/>
  <c r="D13" i="52"/>
  <c r="D12" i="52"/>
  <c r="B3" i="68"/>
  <c r="C19" i="79"/>
  <c r="C102" i="79"/>
  <c r="C21" i="79"/>
  <c r="G19" i="79"/>
  <c r="D15" i="74"/>
  <c r="D22" i="79"/>
  <c r="C102" i="9"/>
  <c r="C21" i="9"/>
  <c r="D22" i="9"/>
  <c r="D8" i="74"/>
  <c r="C8" i="74"/>
  <c r="C20" i="9"/>
  <c r="C103" i="79"/>
  <c r="F15" i="74"/>
  <c r="E15" i="74"/>
  <c r="C32" i="79"/>
  <c r="G21" i="79"/>
  <c r="C103" i="9"/>
  <c r="G20" i="9"/>
  <c r="G21" i="9"/>
  <c r="C32" i="9"/>
  <c r="C35" i="79"/>
  <c r="F118" i="79"/>
  <c r="H118" i="79"/>
  <c r="C35" i="9"/>
  <c r="F118" i="9"/>
  <c r="H118" i="9"/>
  <c r="B20" i="31"/>
  <c r="R22" i="31"/>
  <c r="B21" i="31"/>
  <c r="I118" i="79"/>
  <c r="C104" i="79"/>
  <c r="H119" i="79"/>
  <c r="H101" i="79"/>
  <c r="C34" i="79"/>
  <c r="D118" i="79"/>
  <c r="D119" i="79"/>
  <c r="F119" i="79"/>
  <c r="G118" i="79"/>
  <c r="C34" i="9"/>
  <c r="D118" i="9"/>
  <c r="C104" i="9"/>
  <c r="H101" i="9"/>
  <c r="H119" i="9"/>
  <c r="H5" i="52"/>
  <c r="H4" i="52"/>
  <c r="D14" i="74"/>
  <c r="I118" i="9"/>
  <c r="G118" i="9"/>
  <c r="G4" i="52"/>
  <c r="F119" i="9"/>
  <c r="F5" i="52"/>
  <c r="F4" i="52"/>
  <c r="B51" i="72"/>
  <c r="B52" i="72"/>
  <c r="B53" i="72"/>
  <c r="H107" i="79"/>
  <c r="D45" i="79"/>
  <c r="M48" i="79"/>
  <c r="E118" i="79"/>
  <c r="C105" i="79"/>
  <c r="H102" i="79"/>
  <c r="E14" i="74"/>
  <c r="F14" i="74"/>
  <c r="B5" i="74"/>
  <c r="C105" i="9"/>
  <c r="E118" i="9"/>
  <c r="E4" i="52"/>
  <c r="I4" i="52"/>
  <c r="H102" i="9"/>
  <c r="D7" i="53"/>
  <c r="M48" i="9"/>
  <c r="H107" i="9"/>
  <c r="D45" i="9"/>
  <c r="D5" i="53"/>
  <c r="D119" i="9"/>
  <c r="D5" i="52"/>
  <c r="D4" i="52"/>
  <c r="B49" i="72"/>
  <c r="B47" i="72"/>
  <c r="B21" i="72"/>
  <c r="B48" i="72"/>
  <c r="C78" i="79"/>
  <c r="C73" i="79"/>
  <c r="D52" i="79"/>
  <c r="C93" i="79"/>
  <c r="C86" i="79"/>
  <c r="C85" i="79"/>
  <c r="C72" i="79"/>
  <c r="C79" i="79"/>
  <c r="C64" i="79"/>
  <c r="C63" i="79"/>
  <c r="C67" i="79"/>
  <c r="C68" i="79"/>
  <c r="D54" i="79"/>
  <c r="D55" i="79"/>
  <c r="M53" i="79"/>
  <c r="D53" i="79"/>
  <c r="D122" i="79"/>
  <c r="D123" i="79"/>
  <c r="H108" i="79"/>
  <c r="M49" i="79"/>
  <c r="B20" i="72"/>
  <c r="D6" i="53"/>
  <c r="D53" i="9"/>
  <c r="C93" i="9"/>
  <c r="C86" i="9"/>
  <c r="C78" i="9"/>
  <c r="C73" i="9"/>
  <c r="C72" i="9"/>
  <c r="D52" i="9"/>
  <c r="C85" i="9"/>
  <c r="D55" i="9"/>
  <c r="M53" i="9"/>
  <c r="C64" i="9"/>
  <c r="C63" i="9"/>
  <c r="C67" i="9"/>
  <c r="C68" i="9"/>
  <c r="D54" i="9"/>
  <c r="M49" i="9"/>
  <c r="H108" i="9"/>
  <c r="D15" i="53"/>
  <c r="D122" i="9"/>
  <c r="D13" i="53"/>
  <c r="C5" i="74"/>
  <c r="D5" i="74"/>
  <c r="B22" i="72"/>
  <c r="B31" i="72"/>
  <c r="L66" i="79"/>
  <c r="M66" i="79"/>
  <c r="L65" i="79"/>
  <c r="M65" i="79"/>
  <c r="L64" i="79"/>
  <c r="M64" i="79"/>
  <c r="L68" i="79"/>
  <c r="M68" i="79"/>
  <c r="L67" i="79"/>
  <c r="M67" i="79"/>
  <c r="L63" i="79"/>
  <c r="M63" i="79"/>
  <c r="C95" i="79"/>
  <c r="C80" i="79"/>
  <c r="E80" i="79"/>
  <c r="E81" i="79"/>
  <c r="C95" i="9"/>
  <c r="C96" i="9"/>
  <c r="E96" i="9"/>
  <c r="E97" i="9"/>
  <c r="C79" i="9"/>
  <c r="C80" i="9"/>
  <c r="E80" i="9"/>
  <c r="E81" i="9"/>
  <c r="D14" i="53"/>
  <c r="B30" i="72"/>
  <c r="C97" i="9"/>
  <c r="D58" i="9"/>
  <c r="D56" i="9"/>
  <c r="M54" i="9"/>
  <c r="N57" i="9"/>
  <c r="P57" i="9"/>
  <c r="D123" i="9"/>
  <c r="D9" i="52"/>
  <c r="G14" i="74"/>
  <c r="B6" i="74"/>
  <c r="D8" i="52"/>
  <c r="L68" i="9"/>
  <c r="M68" i="9"/>
  <c r="L64" i="9"/>
  <c r="M64" i="9"/>
  <c r="L66" i="9"/>
  <c r="M66" i="9"/>
  <c r="L65" i="9"/>
  <c r="M65" i="9"/>
  <c r="L67" i="9"/>
  <c r="M67" i="9"/>
  <c r="L63" i="9"/>
  <c r="M63" i="9"/>
  <c r="B32" i="72"/>
  <c r="M69" i="79"/>
  <c r="N69" i="79"/>
  <c r="C81" i="79"/>
  <c r="C96" i="79"/>
  <c r="E96" i="79"/>
  <c r="E97" i="79"/>
  <c r="N59" i="9"/>
  <c r="N61" i="9"/>
  <c r="C81" i="9"/>
  <c r="C6" i="74"/>
  <c r="D6" i="74"/>
  <c r="N58" i="9"/>
  <c r="M69" i="9"/>
  <c r="N69" i="9"/>
  <c r="N60" i="9"/>
  <c r="C97" i="79"/>
  <c r="D58" i="79"/>
  <c r="D56" i="79"/>
  <c r="M54" i="79"/>
  <c r="N57" i="79"/>
  <c r="N58" i="79"/>
  <c r="P57" i="79"/>
  <c r="N59" i="79"/>
  <c r="N61" i="79"/>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<sst xmlns="http://schemas.openxmlformats.org/spreadsheetml/2006/main" count="8857" uniqueCount="3190">
  <si>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</si>
  <si>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</si>
  <si>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</si>
  <si>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</si>
  <si>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</si>
  <si>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</si>
  <si>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</si>
  <si>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</si>
  <si>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</si>
  <si>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</si>
  <si>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</si>
  <si>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</si>
  <si>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</si>
  <si>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</si>
  <si>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</si>
  <si>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</si>
  <si>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</si>
  <si>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</si>
  <si>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</si>
  <si>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</si>
  <si>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</si>
  <si>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</si>
  <si>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</si>
  <si>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</si>
  <si>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</si>
  <si>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</si>
  <si>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</si>
  <si>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</si>
  <si>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</si>
  <si>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</si>
  <si>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</si>
  <si>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</si>
  <si>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</si>
  <si>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</si>
  <si>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</si>
  <si>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</si>
  <si>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</si>
  <si>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</si>
  <si>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</si>
  <si>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</si>
  <si>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</si>
  <si>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</si>
  <si>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</si>
  <si>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</si>
  <si>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</si>
  <si>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</si>
  <si>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</si>
  <si>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</si>
  <si>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</si>
  <si>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</si>
  <si>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</si>
  <si>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</si>
  <si>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</si>
  <si>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</si>
  <si>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</si>
  <si>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</si>
  <si>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</si>
  <si>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</si>
  <si>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</si>
  <si>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</si>
  <si>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</si>
  <si>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</si>
  <si>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</si>
  <si>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</si>
  <si>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</si>
  <si>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</si>
  <si>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</si>
  <si>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</si>
  <si>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</si>
  <si>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</si>
  <si>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</si>
  <si>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</si>
  <si>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</si>
  <si>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</si>
  <si>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</si>
  <si>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</si>
  <si>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</si>
  <si>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</si>
  <si>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</si>
  <si>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</si>
  <si>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</si>
  <si>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</si>
  <si>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</si>
  <si>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</si>
  <si>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</si>
  <si>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</si>
  <si>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</si>
  <si>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</si>
  <si>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</si>
  <si>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</si>
  <si>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</si>
  <si>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</si>
  <si>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</si>
  <si>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</si>
  <si>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</si>
  <si>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</si>
  <si>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</si>
  <si>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</si>
  <si>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</si>
  <si>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</si>
  <si>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</si>
  <si>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</si>
  <si>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</si>
  <si>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</si>
  <si>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</si>
  <si>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</si>
  <si>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</si>
  <si>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</si>
  <si>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</si>
  <si>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</si>
  <si>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</si>
  <si>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</si>
  <si>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</si>
  <si>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</si>
  <si>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</si>
  <si>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</si>
  <si>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</si>
  <si>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</si>
  <si>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</si>
  <si>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</si>
  <si>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</si>
  <si>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</si>
  <si>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</si>
  <si>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</si>
  <si>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</si>
  <si>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</si>
  <si>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</si>
  <si>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</si>
  <si>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</si>
  <si>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</si>
  <si>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</si>
  <si>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</si>
  <si>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</si>
  <si>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</si>
  <si>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</si>
  <si>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</si>
  <si>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</si>
  <si>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</si>
  <si>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</si>
  <si>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</si>
  <si>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</si>
  <si>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</si>
  <si>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</si>
  <si>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</si>
  <si>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</si>
  <si>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</si>
  <si>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</si>
  <si>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</si>
  <si>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</si>
  <si>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</si>
  <si>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</si>
  <si>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</si>
  <si>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</si>
  <si>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</si>
  <si>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</si>
  <si>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</si>
  <si>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</si>
  <si>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</si>
  <si>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</si>
  <si>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</si>
  <si>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</si>
  <si>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</si>
  <si>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</si>
  <si>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</si>
  <si>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</si>
  <si>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</si>
  <si>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</si>
  <si>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</si>
  <si>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</si>
  <si>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</si>
  <si>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</si>
  <si>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</si>
  <si>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</si>
  <si>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</si>
  <si>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</si>
  <si>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</si>
  <si>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</si>
  <si>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</si>
  <si>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</si>
  <si>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</si>
  <si>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</si>
  <si>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</si>
  <si>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</si>
  <si>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</si>
  <si>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</si>
  <si>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</si>
  <si>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</si>
  <si>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</si>
  <si>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</si>
  <si>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</si>
  <si>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</si>
  <si>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</si>
  <si>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</si>
  <si>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</si>
  <si>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</si>
  <si>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</si>
  <si>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</si>
  <si>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</si>
  <si>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</si>
  <si>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</si>
  <si>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</si>
  <si>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</si>
  <si>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</si>
  <si>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</si>
  <si>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</si>
  <si>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</si>
  <si>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</si>
  <si>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</si>
  <si>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</si>
  <si>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</si>
  <si>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</si>
  <si>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</si>
  <si>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</si>
  <si>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</si>
  <si>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</si>
  <si>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</si>
  <si>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</si>
  <si>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</si>
  <si>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</si>
  <si>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</si>
  <si>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</si>
  <si>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</si>
  <si>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</si>
  <si>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</si>
  <si>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</si>
  <si>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</si>
  <si>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</si>
  <si>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</si>
  <si>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</si>
  <si>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</si>
  <si>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</si>
  <si>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</si>
  <si>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</si>
  <si>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</si>
  <si>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</si>
  <si>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</si>
  <si>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</si>
  <si>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</si>
  <si>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</si>
  <si>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</si>
  <si>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</si>
  <si>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</si>
  <si>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</si>
  <si>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</si>
  <si>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</si>
  <si>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</si>
  <si>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</si>
  <si>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</si>
  <si>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</si>
  <si>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</si>
  <si>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</si>
  <si>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</si>
  <si>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</si>
  <si>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</si>
  <si>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</si>
  <si>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</si>
  <si>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</si>
  <si>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</si>
  <si>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</si>
  <si>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</si>
  <si>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</si>
  <si>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</si>
  <si>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</si>
  <si>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</si>
  <si>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</si>
  <si>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</si>
  <si>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</si>
  <si>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</si>
  <si>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</si>
  <si>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</si>
  <si>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</si>
  <si>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</si>
  <si>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</si>
  <si>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</si>
  <si>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</si>
  <si>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</si>
  <si>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</si>
  <si>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</si>
  <si>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</si>
  <si>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</si>
  <si>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</si>
  <si>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</si>
  <si>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</si>
  <si>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</si>
  <si>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</si>
  <si>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</si>
  <si>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</si>
  <si>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</si>
  <si>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</si>
  <si>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</si>
  <si>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</si>
  <si>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</si>
  <si>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</si>
  <si>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</si>
  <si>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</si>
  <si>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</si>
  <si>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</si>
  <si>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</si>
  <si>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</si>
  <si>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</si>
  <si>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</si>
  <si>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</si>
  <si>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</si>
  <si>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</si>
  <si>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</si>
  <si>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</si>
  <si>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</si>
  <si>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</si>
  <si>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</si>
  <si>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</si>
  <si>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</si>
  <si>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</si>
  <si>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</si>
  <si>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</si>
  <si>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</si>
  <si>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</si>
  <si>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</si>
  <si>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</si>
  <si>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</si>
  <si>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</si>
  <si>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</si>
  <si>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</si>
  <si>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</si>
  <si>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</si>
  <si>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</si>
  <si>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</si>
  <si>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</si>
  <si>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</si>
  <si>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</si>
  <si>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</si>
  <si>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</si>
  <si>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</si>
  <si>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</si>
  <si>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</si>
  <si>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</si>
  <si>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</si>
  <si>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</si>
  <si>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</si>
  <si>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</si>
  <si>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</si>
  <si>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</si>
  <si>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</si>
  <si>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</si>
  <si>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</si>
  <si>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</si>
  <si>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</si>
  <si>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</si>
  <si>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</si>
  <si>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</si>
  <si>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</si>
  <si>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</si>
  <si>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</si>
  <si>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</si>
  <si>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</si>
  <si>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</si>
  <si>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</si>
  <si>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</si>
  <si>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</si>
  <si>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</si>
  <si>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</si>
  <si>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</si>
  <si>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</si>
  <si>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</si>
  <si>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</si>
  <si>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</si>
  <si>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</si>
  <si>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</si>
  <si>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</si>
  <si>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</si>
  <si>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</si>
  <si>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</si>
  <si>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</si>
  <si>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</si>
  <si>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</si>
  <si>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</si>
  <si>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</si>
  <si>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</si>
  <si>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</si>
  <si>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</si>
  <si>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</si>
  <si>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</si>
  <si>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</si>
  <si>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</si>
  <si>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</si>
  <si>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</si>
  <si>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</si>
  <si>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</si>
  <si>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</si>
  <si>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</si>
  <si>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</si>
  <si>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</si>
  <si>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</si>
  <si>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</si>
  <si>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</si>
  <si>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</si>
  <si>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</si>
  <si>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</si>
  <si>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</si>
  <si>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</si>
  <si>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</si>
  <si>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</si>
  <si>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</si>
  <si>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</si>
  <si>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</si>
  <si>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</si>
  <si>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</si>
  <si>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</si>
  <si>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</si>
  <si>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</si>
  <si>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</si>
  <si>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</si>
  <si>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</si>
  <si>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</si>
  <si>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</si>
  <si>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</si>
  <si>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</si>
  <si>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</si>
  <si>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</si>
  <si>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</si>
  <si>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</si>
  <si>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</si>
  <si>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</si>
  <si>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</si>
  <si>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</si>
  <si>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</si>
  <si>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</si>
  <si>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</si>
  <si>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</si>
  <si>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</si>
  <si>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</si>
  <si>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</si>
  <si>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</si>
  <si>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</si>
  <si>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</si>
  <si>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</si>
  <si>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</si>
  <si>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</si>
  <si>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</si>
  <si>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</si>
  <si>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</si>
  <si>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</si>
  <si>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</si>
  <si>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</si>
  <si>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</si>
  <si>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</si>
  <si>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</si>
  <si>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</si>
  <si>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</si>
  <si>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</si>
  <si>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</si>
  <si>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</si>
  <si>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</si>
  <si>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</si>
  <si>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</si>
  <si>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</si>
  <si>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</si>
  <si>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</si>
  <si>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</si>
  <si>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</si>
  <si>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</si>
  <si>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</si>
  <si>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</si>
  <si>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</si>
  <si>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</si>
  <si>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</si>
  <si>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</si>
  <si>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</si>
  <si>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</si>
  <si>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</si>
  <si>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</si>
  <si>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</si>
  <si>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</si>
  <si>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</si>
  <si>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</si>
  <si>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</si>
  <si>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</si>
  <si>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</si>
  <si>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</si>
  <si>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</si>
  <si>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</si>
  <si>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</si>
  <si>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</si>
  <si>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</si>
  <si>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</si>
  <si>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</si>
  <si>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</si>
  <si>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</si>
  <si>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</si>
  <si>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</si>
  <si>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</si>
  <si>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</si>
  <si>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</si>
  <si>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</si>
  <si>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</si>
  <si>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</si>
  <si>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</si>
  <si>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</si>
  <si>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</si>
  <si>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</si>
  <si>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</si>
  <si>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</si>
  <si>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</si>
  <si>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</si>
  <si>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</si>
  <si>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</si>
  <si>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</si>
  <si>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</si>
  <si>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</si>
  <si>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</si>
  <si>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</si>
  <si>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</si>
  <si>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</si>
  <si>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</si>
  <si>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</si>
  <si>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</si>
  <si>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</si>
  <si>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</si>
  <si>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</si>
  <si>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</si>
  <si>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</si>
  <si>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</si>
  <si>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</si>
  <si>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</si>
  <si>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</si>
  <si>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</si>
  <si>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</si>
  <si>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</si>
  <si>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</si>
  <si>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</si>
  <si>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</si>
  <si>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</si>
  <si>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</si>
  <si>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</si>
  <si>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</si>
  <si>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</si>
  <si>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</si>
  <si>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</si>
  <si>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</si>
  <si>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</si>
  <si>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</si>
  <si>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</si>
  <si>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</si>
  <si>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</si>
  <si>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</si>
  <si>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</si>
  <si>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</si>
  <si>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</si>
  <si>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</si>
  <si>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</si>
  <si>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</si>
  <si>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</si>
  <si>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</si>
  <si>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</si>
  <si>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</si>
  <si>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</si>
  <si>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</si>
  <si>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</si>
  <si>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</si>
  <si>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</si>
  <si>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</si>
  <si>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</si>
  <si>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</si>
  <si>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</si>
  <si>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</si>
  <si>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</si>
  <si>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</si>
  <si>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</si>
  <si>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</si>
  <si>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</si>
  <si>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</si>
  <si>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</si>
  <si>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</si>
  <si>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</si>
  <si>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</si>
  <si>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</si>
  <si>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</si>
  <si>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</si>
  <si>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</si>
  <si>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</si>
  <si>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</si>
  <si>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</si>
  <si>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</si>
  <si>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</si>
  <si>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</si>
  <si>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</si>
  <si>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</si>
  <si>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</si>
  <si>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</si>
  <si>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</si>
  <si>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</si>
  <si>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</si>
  <si>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</si>
  <si>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</si>
  <si>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</si>
  <si>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</si>
  <si>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</si>
  <si>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</si>
  <si>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</si>
  <si>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</si>
  <si>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</si>
  <si>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</si>
  <si>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</si>
  <si>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</si>
  <si>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</si>
  <si>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</si>
  <si>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</si>
  <si>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</si>
  <si>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</si>
  <si>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</si>
  <si>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</si>
  <si>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</si>
  <si>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</si>
  <si>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</si>
  <si>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</si>
  <si>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</si>
  <si>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</si>
  <si>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</si>
  <si>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</si>
  <si>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</si>
  <si>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</si>
  <si>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</si>
  <si>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</si>
  <si>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</si>
  <si>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</si>
  <si>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</si>
  <si>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</si>
  <si>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</si>
  <si>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</si>
  <si>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</si>
  <si>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</si>
  <si>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</si>
  <si>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</si>
  <si>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</si>
  <si>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</si>
  <si>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</si>
  <si>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</si>
  <si>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</si>
  <si>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</si>
  <si>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</si>
  <si>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</si>
  <si>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</si>
  <si>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</si>
  <si>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</si>
  <si>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</si>
  <si>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</si>
  <si>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</si>
  <si>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</si>
  <si>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</si>
  <si>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</si>
  <si>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</si>
  <si>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</si>
  <si>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</si>
  <si>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</si>
  <si>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</si>
  <si>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</si>
  <si>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</si>
  <si>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</si>
  <si>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</si>
  <si>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</si>
  <si>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</si>
  <si>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</si>
  <si>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</si>
  <si>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</si>
  <si>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</si>
  <si>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</si>
  <si>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</si>
  <si>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</si>
  <si>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</si>
  <si>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</si>
  <si>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</si>
  <si>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</si>
  <si>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</si>
  <si>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</si>
  <si>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</si>
  <si>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</si>
  <si>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</si>
  <si>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</si>
  <si>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</si>
  <si>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</si>
  <si>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</si>
  <si>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</si>
  <si>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</si>
  <si>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</si>
  <si>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</si>
  <si>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</si>
  <si>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</si>
  <si>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</si>
  <si>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</si>
  <si>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</si>
  <si>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</si>
  <si>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</si>
  <si>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</si>
  <si>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</si>
  <si>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</si>
  <si>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</si>
  <si>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</si>
  <si>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</si>
  <si>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</si>
  <si>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</si>
  <si>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</si>
  <si>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</si>
  <si>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</si>
  <si>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</si>
  <si>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</si>
  <si>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</si>
  <si>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</si>
  <si>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</si>
  <si>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</si>
  <si>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</si>
  <si>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</si>
  <si>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</si>
  <si>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</si>
  <si>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</si>
  <si>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</si>
  <si>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</si>
  <si>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</si>
  <si>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</si>
  <si>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</si>
  <si>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</si>
  <si>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</si>
  <si>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</si>
  <si>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</si>
  <si>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</si>
  <si>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</si>
  <si>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</si>
  <si>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</si>
  <si>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</si>
  <si>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</si>
  <si>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</si>
  <si>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</si>
  <si>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</si>
  <si>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</si>
  <si>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</si>
  <si>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</si>
  <si>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</si>
  <si>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</si>
  <si>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</si>
  <si>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</si>
  <si>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</si>
  <si>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</si>
  <si>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</si>
  <si>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</si>
  <si>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</si>
  <si>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</si>
  <si>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</si>
  <si>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</si>
  <si>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</si>
  <si>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</si>
  <si>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</si>
  <si>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</si>
  <si>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</si>
  <si>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</si>
  <si>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</si>
  <si>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</si>
  <si>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</si>
  <si>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</si>
  <si>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</si>
  <si>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</si>
  <si>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</si>
  <si>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</si>
  <si>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</si>
  <si>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</si>
  <si>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</si>
  <si>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</si>
  <si>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</si>
  <si>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</si>
  <si>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</si>
  <si>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</si>
  <si>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</si>
  <si>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</si>
  <si>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</si>
  <si>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</si>
  <si>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</si>
  <si>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</si>
  <si>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</si>
  <si>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</si>
  <si>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</si>
  <si>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</si>
  <si>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</si>
  <si>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</si>
  <si>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</si>
  <si>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</si>
  <si>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</si>
  <si>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</si>
  <si>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</si>
  <si>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</si>
  <si>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</si>
  <si>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</si>
  <si>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</si>
  <si>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</si>
  <si>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</si>
  <si>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</si>
  <si>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</si>
  <si>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</si>
  <si>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</si>
  <si>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</si>
  <si>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</si>
  <si>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</si>
  <si>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</si>
  <si>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</si>
  <si>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</si>
  <si>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</si>
  <si>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</si>
  <si>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</si>
  <si>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</si>
  <si>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</si>
  <si>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</si>
  <si>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</si>
  <si>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</si>
  <si>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</si>
  <si>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</si>
  <si>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</si>
  <si>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</si>
  <si>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</si>
  <si>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</si>
  <si>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</si>
  <si>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</si>
  <si>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</si>
  <si>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</si>
  <si>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</si>
  <si>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</si>
  <si>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</si>
  <si>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</si>
  <si>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</si>
  <si>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</si>
  <si>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</si>
  <si>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</si>
  <si>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</si>
  <si>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</si>
  <si>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</si>
  <si>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</si>
  <si>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</si>
  <si>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</si>
  <si>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</si>
  <si>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</si>
  <si>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</si>
  <si>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</si>
  <si>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</si>
  <si>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</si>
  <si>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</si>
  <si>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</si>
  <si>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</si>
  <si>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</si>
  <si>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</si>
  <si>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</si>
  <si>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</si>
  <si>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</si>
  <si>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</si>
  <si>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</si>
  <si>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</si>
  <si>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</si>
  <si>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</si>
  <si>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</si>
  <si>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</si>
  <si>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</si>
  <si>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</si>
  <si>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</si>
  <si>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</si>
  <si>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</si>
  <si>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</si>
  <si>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</si>
  <si>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</si>
  <si>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</si>
  <si>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</si>
  <si>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</si>
  <si>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</si>
  <si>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</si>
  <si>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</si>
  <si>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</si>
  <si>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</si>
  <si>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</si>
  <si>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</si>
  <si>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</si>
  <si>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</si>
  <si>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</si>
  <si>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</si>
  <si>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</si>
  <si>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</si>
  <si>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</si>
  <si>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</si>
  <si>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</si>
  <si>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</si>
  <si>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</si>
  <si>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</si>
  <si>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</si>
  <si>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</si>
  <si>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</si>
  <si>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</si>
  <si>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</si>
  <si>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</si>
  <si>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</si>
  <si>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</si>
  <si>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</si>
  <si>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</si>
  <si>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</si>
  <si>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</si>
  <si>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</si>
  <si>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</si>
  <si>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</si>
  <si>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</si>
  <si>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</si>
  <si>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</si>
  <si>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</si>
  <si>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</si>
  <si>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</si>
  <si>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</si>
  <si>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</si>
  <si>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</si>
  <si>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</si>
  <si>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</si>
  <si>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</si>
  <si>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</si>
  <si>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</si>
  <si>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</si>
  <si>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</si>
  <si>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</si>
  <si>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</si>
  <si>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</si>
  <si>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</si>
  <si>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</si>
  <si>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</si>
  <si>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</si>
  <si>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</si>
  <si>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</si>
  <si>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</si>
  <si>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</si>
  <si>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</si>
  <si>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</si>
  <si>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</si>
  <si>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</si>
  <si>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</si>
  <si>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</si>
  <si>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</si>
  <si>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</si>
  <si>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</si>
  <si>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</si>
  <si>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</si>
  <si>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</si>
  <si>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</si>
  <si>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</si>
  <si>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</si>
  <si>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</si>
  <si>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</si>
  <si>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</si>
  <si>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</si>
  <si>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</si>
  <si>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</si>
  <si>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</si>
  <si>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</si>
  <si>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</si>
  <si>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</si>
  <si>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</si>
  <si>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</si>
  <si>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</si>
  <si>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</si>
  <si>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</si>
  <si>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</si>
  <si>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</si>
  <si>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</si>
  <si>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</si>
  <si>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</si>
  <si>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</si>
  <si>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</si>
  <si>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</si>
  <si>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</si>
  <si>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</si>
  <si>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</si>
  <si>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</si>
  <si>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</si>
  <si>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</si>
  <si>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</si>
  <si>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</si>
  <si>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</si>
  <si>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</si>
  <si>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</si>
  <si>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</si>
  <si>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</si>
  <si>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</si>
  <si>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</si>
  <si>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</si>
  <si>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</si>
  <si>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</si>
  <si>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</si>
  <si>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</si>
  <si>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</si>
  <si>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</si>
  <si>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</si>
  <si>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</si>
  <si>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</si>
  <si>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</si>
  <si>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</si>
  <si>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</si>
  <si>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</si>
  <si>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</si>
  <si>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</si>
  <si>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</si>
  <si>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</si>
  <si>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</si>
  <si>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</si>
  <si>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</si>
  <si>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</si>
  <si>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</si>
  <si>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</si>
  <si>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</si>
  <si>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</si>
  <si>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</si>
  <si>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</si>
  <si>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</si>
  <si>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</si>
  <si>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</si>
  <si>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</si>
  <si>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</si>
  <si>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</si>
  <si>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</si>
  <si>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</si>
  <si>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</si>
  <si>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</si>
  <si>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</si>
  <si>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</si>
  <si>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</si>
  <si>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</si>
  <si>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</si>
  <si>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</si>
  <si>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</si>
  <si>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</si>
  <si>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</si>
  <si>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</si>
  <si>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</si>
  <si>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</si>
  <si>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</si>
  <si>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</si>
  <si>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</si>
  <si>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</si>
  <si>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</si>
  <si>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</si>
  <si>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</si>
  <si>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</si>
  <si>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</si>
  <si>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</si>
  <si>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</si>
  <si>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</si>
  <si>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</si>
  <si>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</si>
  <si>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</si>
  <si>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</si>
  <si>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</si>
  <si>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</si>
  <si>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</si>
  <si>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</si>
  <si>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</si>
  <si>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</si>
  <si>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</si>
  <si>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</si>
  <si>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</si>
  <si>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</si>
  <si>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</si>
  <si>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</si>
  <si>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</si>
  <si>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</si>
  <si>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</si>
  <si>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</si>
  <si>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</si>
  <si>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</si>
  <si>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</si>
  <si>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</si>
  <si>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</si>
  <si>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</si>
  <si>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</si>
  <si>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</si>
  <si>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</si>
  <si>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</si>
  <si>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</si>
  <si>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</si>
  <si>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</si>
  <si>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</si>
  <si>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</si>
  <si>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</si>
  <si>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</si>
  <si>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</si>
  <si>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</si>
  <si>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</si>
  <si>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</si>
  <si>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</si>
  <si>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</si>
  <si>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</si>
  <si>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</si>
  <si>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</si>
  <si>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</si>
  <si>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</si>
  <si>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</si>
  <si>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</si>
  <si>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</si>
  <si>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</si>
  <si>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</si>
  <si>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</si>
  <si>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</si>
  <si>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</si>
  <si>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</si>
  <si>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</si>
  <si>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</si>
  <si>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</si>
  <si>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</si>
  <si>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</si>
  <si>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</si>
  <si>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</si>
  <si>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</si>
  <si>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</si>
  <si>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</si>
  <si>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</si>
  <si>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</si>
  <si>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</si>
  <si>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</si>
  <si>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</si>
  <si>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</si>
  <si>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</si>
  <si>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</si>
  <si>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</si>
  <si>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</si>
  <si>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</si>
  <si>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</si>
  <si>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</si>
  <si>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</si>
  <si>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</si>
  <si>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</si>
  <si>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</si>
  <si>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</si>
  <si>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</si>
  <si>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</si>
  <si>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</si>
  <si>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</si>
  <si>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</si>
  <si>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</si>
  <si>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</si>
  <si>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</si>
  <si>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</si>
  <si>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</si>
  <si>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</si>
  <si>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</si>
  <si>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</si>
  <si>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</si>
  <si>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</si>
  <si>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</si>
  <si>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</si>
  <si>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</si>
  <si>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</si>
  <si>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</si>
  <si>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</si>
  <si>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</si>
  <si>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</si>
  <si>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</si>
  <si>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</si>
  <si>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</si>
  <si>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</si>
  <si>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</si>
  <si>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</si>
  <si>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</si>
  <si>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</si>
  <si>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</si>
  <si>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</si>
  <si>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</si>
  <si>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</si>
  <si>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</si>
  <si>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</si>
  <si>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</si>
  <si>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</si>
  <si>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</si>
  <si>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</si>
  <si>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</si>
  <si>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</si>
  <si>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</si>
  <si>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</si>
  <si>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</si>
  <si>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</si>
  <si>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</si>
  <si>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</si>
  <si>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</si>
  <si>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</si>
  <si>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</si>
  <si>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</si>
  <si>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</si>
  <si>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</si>
  <si>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</si>
  <si>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</si>
  <si>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</si>
  <si>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</si>
  <si>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</si>
  <si>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</si>
  <si>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</si>
  <si>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</si>
  <si>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</si>
  <si>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</si>
  <si>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</si>
  <si>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</si>
  <si>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</si>
  <si>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</si>
  <si>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</si>
  <si>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</si>
  <si>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</si>
  <si>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</si>
  <si>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</si>
  <si>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</si>
  <si>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</si>
  <si>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</si>
  <si>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</si>
  <si>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</si>
  <si>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</si>
  <si>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</si>
  <si>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</si>
  <si>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</si>
  <si>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</si>
  <si>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</si>
  <si>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</si>
  <si>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</si>
  <si>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</si>
  <si>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</si>
  <si>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</si>
  <si>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</si>
  <si>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</si>
  <si>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</si>
  <si>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</si>
  <si>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</si>
  <si>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</si>
  <si>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</si>
  <si>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</si>
  <si>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</si>
  <si>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</si>
  <si>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</si>
  <si>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</si>
  <si>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</si>
  <si>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</si>
  <si>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</si>
  <si>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</si>
  <si>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</si>
  <si>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</si>
  <si>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</si>
  <si>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</si>
  <si>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</si>
  <si>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</si>
  <si>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</si>
  <si>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</si>
  <si>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</si>
  <si>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</si>
  <si>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</si>
  <si>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</si>
  <si>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</si>
  <si>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</si>
  <si>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</si>
  <si>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</si>
  <si>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</si>
  <si>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</si>
  <si>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</si>
  <si>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</si>
  <si>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</si>
  <si>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</si>
  <si>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</si>
  <si>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</si>
  <si>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</si>
  <si>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</si>
  <si>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</si>
  <si>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</si>
  <si>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</si>
  <si>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</si>
  <si>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</si>
  <si>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</si>
  <si>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</si>
  <si>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</si>
  <si>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</si>
  <si>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</si>
  <si>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</si>
  <si>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</si>
  <si>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</si>
  <si>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</si>
  <si>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</si>
  <si>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</si>
  <si>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</si>
  <si>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</si>
  <si>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</si>
  <si>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</si>
  <si>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</si>
  <si>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</si>
  <si>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</si>
  <si>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</si>
  <si>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</si>
  <si>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</si>
  <si>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</si>
  <si>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</si>
  <si>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</si>
  <si>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</si>
  <si>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</si>
  <si>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</si>
  <si>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</si>
  <si>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</si>
  <si>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</si>
  <si>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</si>
  <si>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</si>
  <si>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</si>
  <si>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</si>
  <si>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</si>
  <si>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</si>
  <si>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</si>
  <si>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</si>
  <si>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</si>
  <si>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</si>
  <si>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</si>
  <si>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</si>
  <si>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</si>
  <si>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</si>
  <si>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</si>
  <si>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</si>
  <si>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</si>
  <si>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</si>
  <si>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</si>
  <si>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</si>
  <si>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</si>
  <si>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</si>
  <si>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</si>
  <si>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</si>
  <si>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</si>
  <si>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</si>
  <si>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</si>
  <si>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</si>
  <si>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</si>
  <si>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</si>
  <si>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</si>
  <si>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</si>
  <si>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</si>
  <si>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</si>
  <si>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</si>
  <si>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</si>
  <si>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</si>
  <si>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</si>
  <si>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</si>
  <si>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</si>
  <si>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</si>
  <si>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</si>
  <si>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</si>
  <si>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</si>
  <si>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</si>
  <si>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</si>
  <si>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</si>
  <si>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</si>
  <si>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</si>
  <si>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</si>
  <si>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</si>
  <si>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</si>
  <si>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</si>
  <si>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</si>
  <si>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</si>
  <si>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</si>
  <si>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</si>
  <si>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</si>
  <si>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</si>
  <si>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</si>
  <si>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</si>
  <si>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</si>
  <si>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</si>
  <si>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</si>
  <si>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</si>
  <si>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</si>
  <si>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</si>
  <si>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</si>
  <si>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</si>
  <si>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</si>
  <si>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</si>
  <si>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</si>
  <si>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</si>
  <si>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</si>
  <si>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</si>
  <si>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</si>
  <si>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</si>
  <si>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</si>
  <si>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</si>
  <si>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</si>
  <si>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</si>
  <si>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</si>
  <si>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</si>
  <si>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</si>
  <si>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</si>
  <si>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</si>
  <si>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</si>
  <si>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</si>
  <si>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</si>
  <si>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</si>
  <si>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</si>
  <si>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</si>
  <si>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</si>
  <si>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</si>
  <si>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</si>
  <si>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</si>
  <si>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</si>
  <si>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</si>
  <si>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</si>
  <si>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</si>
  <si>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</si>
  <si>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</si>
  <si>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</si>
  <si>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</si>
  <si>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</si>
  <si>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</si>
  <si>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</si>
  <si>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</si>
  <si>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</si>
  <si>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</si>
  <si>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</si>
  <si>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</si>
  <si>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</si>
  <si>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</si>
  <si>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</si>
  <si>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</si>
  <si>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</si>
  <si>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</si>
  <si>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</si>
  <si>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</si>
  <si>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</si>
  <si>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</si>
  <si>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</si>
  <si>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</si>
  <si>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</si>
  <si>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</si>
  <si>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</si>
  <si>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</si>
  <si>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</si>
  <si>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</si>
  <si>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</si>
  <si>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</si>
  <si>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</si>
  <si>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</si>
  <si>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</si>
  <si>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</si>
  <si>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</si>
  <si>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</si>
  <si>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</si>
  <si>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</si>
  <si>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</si>
  <si>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</si>
  <si>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</si>
  <si>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</si>
  <si>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</si>
  <si>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</si>
  <si>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</si>
  <si>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</si>
  <si>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</si>
  <si>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</si>
  <si>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</si>
  <si>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</si>
  <si>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</si>
  <si>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</si>
  <si>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</si>
  <si>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</si>
  <si>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</si>
  <si>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</si>
  <si>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</si>
  <si>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</si>
  <si>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</si>
  <si>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</si>
  <si>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</si>
  <si>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</si>
  <si>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</si>
  <si>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</si>
  <si>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</si>
  <si>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</si>
  <si>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</si>
  <si>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</si>
  <si>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</si>
  <si>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</si>
  <si>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</si>
  <si>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</si>
  <si>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</si>
  <si>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</si>
  <si>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</si>
  <si>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</si>
  <si>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</si>
  <si>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</si>
  <si>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</si>
  <si>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</si>
  <si>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</si>
  <si>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</si>
  <si>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</si>
  <si>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</si>
  <si>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</si>
  <si>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</si>
  <si>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</si>
  <si>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</si>
  <si>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</si>
  <si>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</si>
  <si>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</si>
  <si>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</si>
  <si>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</si>
  <si>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</si>
  <si>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</si>
  <si>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</si>
  <si>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</si>
  <si>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</si>
  <si>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</si>
  <si>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</si>
  <si>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</si>
  <si>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</si>
  <si>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</si>
  <si>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</si>
  <si>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</si>
  <si>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</si>
  <si>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</si>
  <si>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</si>
  <si>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</si>
  <si>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</si>
  <si>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</si>
  <si>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</si>
  <si>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</si>
  <si>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</si>
  <si>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</si>
  <si>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</si>
  <si>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</si>
  <si>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</si>
  <si>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</si>
  <si>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</si>
  <si>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</si>
  <si>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</si>
  <si>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</si>
  <si>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</si>
  <si>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</si>
  <si>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</si>
  <si>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</si>
  <si>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</si>
  <si>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</si>
  <si>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</si>
  <si>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</si>
  <si>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</si>
  <si>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</si>
  <si>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</si>
  <si>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</si>
  <si>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</si>
  <si>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</si>
  <si>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</si>
  <si>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</si>
  <si>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</si>
  <si>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</si>
  <si>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</si>
  <si>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</si>
  <si>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</si>
  <si>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</si>
  <si>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</si>
  <si>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</si>
  <si>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</si>
  <si>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</si>
  <si>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</si>
  <si>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</si>
  <si>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</si>
  <si>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</si>
  <si>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</si>
  <si>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</si>
  <si>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</si>
  <si>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</si>
  <si>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</si>
  <si>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</si>
  <si>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</si>
  <si>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</si>
  <si>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</si>
  <si>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</si>
  <si>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</si>
  <si>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</si>
  <si>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</si>
  <si>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</si>
  <si>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</si>
  <si>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</si>
  <si>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</si>
  <si>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</si>
  <si>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</si>
  <si>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</si>
  <si>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</si>
  <si>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</si>
  <si>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</si>
  <si>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</si>
  <si>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</si>
  <si>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</si>
  <si>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</si>
  <si>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</si>
  <si>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</si>
  <si>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</si>
  <si>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</si>
  <si>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</si>
  <si>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</si>
  <si>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</si>
  <si>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</si>
  <si>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</si>
  <si>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</si>
  <si>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</si>
  <si>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</si>
  <si>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</si>
  <si>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</si>
  <si>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</si>
  <si>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</si>
  <si>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</si>
  <si>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</si>
  <si>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</si>
  <si>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</si>
  <si>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</si>
  <si>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</si>
  <si>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</si>
  <si>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</si>
  <si>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</si>
  <si>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</si>
  <si>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</si>
  <si>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</si>
  <si>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</si>
  <si>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</si>
  <si>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</si>
  <si>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</si>
  <si>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</si>
  <si>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</si>
  <si>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</si>
  <si>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</si>
  <si>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</si>
  <si>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</si>
  <si>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</si>
  <si>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</si>
  <si>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</si>
  <si>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</si>
  <si>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</si>
  <si>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</si>
  <si>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</si>
  <si>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</si>
  <si>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</si>
  <si>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</si>
  <si>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</si>
  <si>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</si>
  <si>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</si>
  <si>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</si>
  <si>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</si>
  <si>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</si>
  <si>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</si>
  <si>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</si>
  <si>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</si>
  <si>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</si>
  <si>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</si>
  <si>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</si>
  <si>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</si>
  <si>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</si>
  <si>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</si>
  <si>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</si>
  <si>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</si>
  <si>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</si>
  <si>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</si>
  <si>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</si>
  <si>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</si>
  <si>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</si>
  <si>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</si>
  <si>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</si>
  <si>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</si>
  <si>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</si>
  <si>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</si>
  <si>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</si>
  <si>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</si>
  <si>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</si>
  <si>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</si>
  <si>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</si>
  <si>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</si>
  <si>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</si>
  <si>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</si>
  <si>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</si>
  <si>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</si>
  <si>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</si>
  <si>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</si>
  <si>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</si>
  <si>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</si>
  <si>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</si>
  <si>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</si>
  <si>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</si>
  <si>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</si>
  <si>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</si>
  <si>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</si>
  <si>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</si>
  <si>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</si>
  <si>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</si>
  <si>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</si>
  <si>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</si>
  <si>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</si>
  <si>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</si>
  <si>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</si>
  <si>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</si>
  <si>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</si>
  <si>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</si>
  <si>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</si>
  <si>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</si>
  <si>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</si>
  <si>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</si>
  <si>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</si>
  <si>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</si>
  <si>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</si>
  <si>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</si>
  <si>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</si>
  <si>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</si>
  <si>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</si>
  <si>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</si>
  <si>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</si>
  <si>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</si>
  <si>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</si>
  <si>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</si>
  <si>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</si>
  <si>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</si>
  <si>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</si>
  <si>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</si>
  <si>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</si>
  <si>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</si>
  <si>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</si>
  <si>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</si>
  <si>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</si>
  <si>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</si>
  <si>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</si>
  <si>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</si>
  <si>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</si>
  <si>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</si>
  <si>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</si>
  <si>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</si>
  <si>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</si>
  <si>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</si>
  <si>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</si>
  <si>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</si>
  <si>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</si>
  <si>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</si>
  <si>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</si>
  <si>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</si>
  <si>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</si>
  <si>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</si>
  <si>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</si>
  <si>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</si>
  <si>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</si>
  <si>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</si>
  <si>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</si>
  <si>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</si>
  <si>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</si>
  <si>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</si>
  <si>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</si>
  <si>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</si>
  <si>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</si>
  <si>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</si>
  <si>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</si>
  <si>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</si>
  <si>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</si>
  <si>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</si>
  <si>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</si>
  <si>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</si>
  <si>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</si>
  <si>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</si>
  <si>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</si>
  <si>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</si>
  <si>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</si>
  <si>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</si>
  <si>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</si>
  <si>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</si>
  <si>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</si>
  <si>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</si>
  <si>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</si>
  <si>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</si>
  <si>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</si>
  <si>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</si>
  <si>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</si>
  <si>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</si>
  <si>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</si>
  <si>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</si>
  <si>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</si>
  <si>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</si>
  <si>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</si>
  <si>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</si>
  <si>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</si>
  <si>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</si>
  <si>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</si>
  <si>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</si>
  <si>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</si>
  <si>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</si>
  <si>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</si>
  <si>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</si>
  <si>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</si>
  <si>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</si>
  <si>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</si>
  <si>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</si>
  <si>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</si>
  <si>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</si>
  <si>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</si>
  <si>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</si>
  <si>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</si>
  <si>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</si>
  <si>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</si>
  <si>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</si>
  <si>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</si>
  <si>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</si>
  <si>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</si>
  <si>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</si>
  <si>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</si>
  <si>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</si>
  <si>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</si>
  <si>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</si>
  <si>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</si>
  <si>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</si>
  <si>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</si>
  <si>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</si>
  <si>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</si>
  <si>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</si>
  <si>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</si>
  <si>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</si>
  <si>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</si>
  <si>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</si>
  <si>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</si>
  <si>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</si>
  <si>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</si>
  <si>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</si>
  <si>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</si>
  <si>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</si>
  <si>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</si>
  <si>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</si>
  <si>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</si>
  <si>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</si>
  <si>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</si>
  <si>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</si>
  <si>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</si>
  <si>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</si>
  <si>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</si>
  <si>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</si>
  <si>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</si>
  <si>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</si>
  <si>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</si>
  <si>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</si>
  <si>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</si>
  <si>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</si>
  <si>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</si>
  <si>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</si>
  <si>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</si>
  <si>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</si>
  <si>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</si>
  <si>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</si>
  <si>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</si>
  <si>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</si>
  <si>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</si>
  <si>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</si>
  <si>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</si>
  <si>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</si>
  <si>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</si>
  <si>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</si>
  <si>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</si>
  <si>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</si>
  <si>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</si>
  <si>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</si>
  <si>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</si>
  <si>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</si>
  <si>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</si>
  <si>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</si>
  <si>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</si>
  <si>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</si>
  <si>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</si>
  <si>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</si>
  <si>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</si>
  <si>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</si>
  <si>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</si>
  <si>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</si>
  <si>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</si>
  <si>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</si>
  <si>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</si>
  <si>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</si>
  <si>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</si>
  <si>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</si>
  <si>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</si>
  <si>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</si>
  <si>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</si>
  <si>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</si>
  <si>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</si>
  <si>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</si>
  <si>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</si>
  <si>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</si>
  <si>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</si>
  <si>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</si>
  <si>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</si>
  <si>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</si>
  <si>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</si>
  <si>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</si>
  <si>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</si>
  <si>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</si>
  <si>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</si>
  <si>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</si>
  <si>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</si>
  <si>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</si>
  <si>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</si>
  <si>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</si>
  <si>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</si>
  <si>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</si>
  <si>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</si>
  <si>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</si>
  <si>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</si>
  <si>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</si>
  <si>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</si>
  <si>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</si>
  <si>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</si>
  <si>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</si>
  <si>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</si>
  <si>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</si>
  <si>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</si>
  <si>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</si>
  <si>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</si>
  <si>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</si>
  <si>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</si>
  <si>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</si>
  <si>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</si>
  <si>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</si>
  <si>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</si>
  <si>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</si>
  <si>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</si>
  <si>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</si>
  <si>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</si>
  <si>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</si>
  <si>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</si>
  <si>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</si>
  <si>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</si>
  <si>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</si>
  <si>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</si>
  <si>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</si>
  <si>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</si>
  <si>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</si>
  <si>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</si>
  <si>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</si>
  <si>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</si>
  <si>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</si>
  <si>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</si>
  <si>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</si>
  <si>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</si>
  <si>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</si>
  <si>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</si>
  <si>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</si>
  <si>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</si>
  <si>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</si>
  <si>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</si>
  <si>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</si>
  <si>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</si>
  <si>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</si>
  <si>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</si>
  <si>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</si>
  <si>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</si>
  <si>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</si>
  <si>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</si>
  <si>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</si>
  <si>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</si>
  <si>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</si>
  <si>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</si>
  <si>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</si>
  <si>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</si>
  <si>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</si>
  <si>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</si>
  <si>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</si>
  <si>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</si>
  <si>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</si>
  <si>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</si>
  <si>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</si>
  <si>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</si>
  <si>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</si>
  <si>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</si>
  <si>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</si>
  <si>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</si>
  <si>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</si>
  <si>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</si>
  <si>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</si>
  <si>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</si>
  <si>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</si>
  <si>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</si>
  <si>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</si>
  <si>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</si>
  <si>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</si>
  <si>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</si>
  <si>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</si>
  <si>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</si>
  <si>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</si>
  <si>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</si>
  <si>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</si>
  <si>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</si>
  <si>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</si>
  <si>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</si>
  <si>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</si>
  <si>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</si>
  <si>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</si>
  <si>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</si>
  <si>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</si>
  <si>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</si>
  <si>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</si>
  <si>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</si>
  <si>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</si>
  <si>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</si>
  <si>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</si>
  <si>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</si>
  <si>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</si>
  <si>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</si>
  <si>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</si>
  <si>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</si>
  <si>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</si>
  <si>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</si>
  <si>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</si>
  <si>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</si>
  <si>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</si>
  <si>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</si>
  <si>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</si>
  <si>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</si>
  <si>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</si>
  <si>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</si>
  <si>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</si>
  <si>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</si>
  <si>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</si>
  <si>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</si>
  <si>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</si>
  <si>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</si>
  <si>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</si>
  <si>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</si>
  <si>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</si>
  <si>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</si>
  <si>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</si>
  <si>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</si>
  <si>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</si>
  <si>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</si>
  <si>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</si>
  <si>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</si>
  <si>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</si>
  <si>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</si>
  <si>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</si>
  <si>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</si>
  <si>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</si>
  <si>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</si>
  <si>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</si>
  <si>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</si>
  <si>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</si>
  <si>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</si>
  <si>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</si>
  <si>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</si>
  <si>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</si>
  <si>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</si>
  <si>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</si>
  <si>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</si>
  <si>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</si>
  <si>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</si>
  <si>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</si>
  <si>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</si>
  <si>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</si>
  <si>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</si>
  <si>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</si>
  <si>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</si>
  <si>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</si>
  <si>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</si>
  <si>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</si>
  <si>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</si>
  <si>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</si>
  <si>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</si>
  <si>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</si>
  <si>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</si>
  <si>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</si>
  <si>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</si>
  <si>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</si>
  <si>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</si>
  <si>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</si>
  <si>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</si>
  <si>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</si>
  <si>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</si>
  <si>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</si>
  <si>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</si>
  <si>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</si>
  <si>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</si>
  <si>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</si>
  <si>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</si>
  <si>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</si>
  <si>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</si>
  <si>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</si>
  <si>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</si>
  <si>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</si>
  <si>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</si>
  <si>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</si>
  <si>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</si>
  <si>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</si>
  <si>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</si>
  <si>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</si>
  <si>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</si>
  <si>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</si>
  <si>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</si>
  <si>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</si>
  <si>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</si>
  <si>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</si>
  <si>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</si>
  <si>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</si>
  <si>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</si>
  <si>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</si>
  <si>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</si>
  <si>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</si>
  <si>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</si>
  <si>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</si>
  <si>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</si>
  <si>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</si>
  <si>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</si>
  <si>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</si>
  <si>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</si>
  <si>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</si>
  <si>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</si>
  <si>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</si>
  <si>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</si>
  <si>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</si>
  <si>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</si>
  <si>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</si>
  <si>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</si>
  <si>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</si>
  <si>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</si>
  <si>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</si>
  <si>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</si>
  <si>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</si>
  <si>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</si>
  <si>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</si>
  <si>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</si>
  <si>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</si>
  <si>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</si>
  <si>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</si>
  <si>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</si>
  <si>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</si>
  <si>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</si>
  <si>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</si>
  <si>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</si>
  <si>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</si>
  <si>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</si>
  <si>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</si>
  <si>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</si>
  <si>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</si>
  <si>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</si>
  <si>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</si>
  <si>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</si>
  <si>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</si>
  <si>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</si>
  <si>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</si>
  <si>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</si>
  <si>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</si>
  <si>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</si>
  <si>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</si>
  <si>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</si>
  <si>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</si>
  <si>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</si>
  <si>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</si>
  <si>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</si>
  <si>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</si>
  <si>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</si>
  <si>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</si>
  <si>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</si>
  <si>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</si>
  <si>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</si>
  <si>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</si>
  <si>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</si>
  <si>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</si>
  <si>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</si>
  <si>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</si>
  <si>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</si>
  <si>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</si>
  <si>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</si>
  <si>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</si>
  <si>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</si>
  <si>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</si>
  <si>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</si>
  <si>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</si>
  <si>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</si>
  <si>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</si>
  <si>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</si>
  <si>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</si>
  <si>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</si>
  <si>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</si>
  <si>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</si>
  <si>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</si>
  <si>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</si>
  <si>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</si>
  <si>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</si>
  <si>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</si>
  <si>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</si>
  <si>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</si>
  <si>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</si>
  <si>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</si>
  <si>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</si>
  <si>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</si>
  <si>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</si>
  <si>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</si>
  <si>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</si>
  <si>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</si>
  <si>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</si>
  <si>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</si>
  <si>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</si>
  <si>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</si>
  <si>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</si>
  <si>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</si>
  <si>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</si>
  <si>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</si>
  <si>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</si>
  <si>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</si>
  <si>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</si>
  <si>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</si>
  <si>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</si>
  <si>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</si>
  <si>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</si>
  <si>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</si>
  <si>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</si>
  <si>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</si>
  <si>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</si>
  <si>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</si>
  <si>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</si>
  <si>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</si>
  <si>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</si>
  <si>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</si>
  <si>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</si>
  <si>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</si>
  <si>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</si>
  <si>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</si>
  <si>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</si>
  <si>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</si>
  <si>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</si>
  <si>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</si>
  <si>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</si>
  <si>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</si>
  <si>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</si>
  <si>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</si>
  <si>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</si>
  <si>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</si>
  <si>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</si>
  <si>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</si>
  <si>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</si>
  <si>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</si>
  <si>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</si>
  <si>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</si>
  <si>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</si>
  <si>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</si>
  <si>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</si>
  <si>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</si>
  <si>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</si>
  <si>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</si>
  <si>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</si>
  <si>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</si>
  <si>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</si>
  <si>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</si>
  <si>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</si>
  <si>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</si>
  <si>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</si>
  <si>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</si>
  <si>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</si>
  <si>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</si>
  <si>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</si>
  <si>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</si>
  <si>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</si>
  <si>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</si>
  <si>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</si>
  <si>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</si>
  <si>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</si>
  <si>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</si>
  <si>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</si>
  <si>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</si>
  <si>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</si>
  <si>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</si>
  <si>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</si>
  <si>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</si>
  <si>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</si>
  <si>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</si>
  <si>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</si>
  <si>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</si>
  <si>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</si>
  <si>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</si>
  <si>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</si>
  <si>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</si>
  <si>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</si>
  <si>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</si>
  <si>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</si>
  <si>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</si>
  <si>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</si>
  <si>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</si>
  <si>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</si>
  <si>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</si>
  <si>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</si>
  <si>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</si>
  <si>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</si>
  <si>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</si>
  <si>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</si>
  <si>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</si>
  <si>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</si>
  <si>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</si>
  <si>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</si>
  <si>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</si>
  <si>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</si>
  <si>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</si>
  <si>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</si>
  <si>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</si>
  <si>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</si>
  <si>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</si>
  <si>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</si>
  <si>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</si>
  <si>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</si>
  <si>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</si>
  <si>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</si>
  <si>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</si>
  <si>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</si>
  <si>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</si>
  <si>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</si>
  <si>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</si>
  <si>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</si>
  <si>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</si>
  <si>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</si>
  <si>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</si>
  <si>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</si>
  <si>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</si>
  <si>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</si>
  <si>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</si>
  <si>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</si>
  <si>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</si>
  <si>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</si>
  <si>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</si>
  <si>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</si>
  <si>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</si>
  <si>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</si>
  <si>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</si>
  <si>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</si>
  <si>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</si>
  <si>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</si>
  <si>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</si>
  <si>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</si>
  <si>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</si>
  <si>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</si>
  <si>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</si>
  <si>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</si>
  <si>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</si>
  <si>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</si>
  <si>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</si>
  <si>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</si>
  <si>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</si>
  <si>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</si>
  <si>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</si>
  <si>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</si>
  <si>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</si>
  <si>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</si>
  <si>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</si>
  <si>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</si>
  <si>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</si>
  <si>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</si>
  <si>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</si>
  <si>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</si>
  <si>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</si>
  <si>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</si>
  <si>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</si>
  <si>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</si>
  <si>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</si>
  <si>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</si>
  <si>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</si>
  <si>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</si>
  <si>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</si>
  <si>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</si>
  <si>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</si>
  <si>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</si>
  <si>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</si>
  <si>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</si>
  <si>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</si>
  <si>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</si>
  <si>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</si>
  <si>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</si>
  <si>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</si>
  <si>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</si>
  <si>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</si>
  <si>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</si>
  <si>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</si>
  <si>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</si>
  <si>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</si>
  <si>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</si>
  <si>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</si>
  <si>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</si>
  <si>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</si>
  <si>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</si>
  <si>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</si>
  <si>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</si>
  <si>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</si>
  <si>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</si>
  <si>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</si>
  <si>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</si>
  <si>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</si>
  <si>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</si>
  <si>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</si>
  <si>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</si>
  <si>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</si>
  <si>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</si>
  <si>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</si>
  <si>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</si>
  <si>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</si>
  <si>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</si>
  <si>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</si>
  <si>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</si>
  <si>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</si>
  <si>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</si>
  <si>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</si>
  <si>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</si>
  <si>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</si>
  <si>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</si>
  <si>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</si>
  <si>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</si>
  <si>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</si>
  <si>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</si>
  <si>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</si>
  <si>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</si>
  <si>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</si>
  <si>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</si>
  <si>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</si>
  <si>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</si>
  <si>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</si>
  <si>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</si>
  <si>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</si>
  <si>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</si>
  <si>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</si>
  <si>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</si>
  <si>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</si>
  <si>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</si>
  <si>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</si>
  <si>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</si>
  <si>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</si>
  <si>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</si>
  <si>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</si>
  <si>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</si>
  <si>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</si>
  <si>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</si>
  <si>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</si>
  <si>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</si>
  <si>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</si>
  <si>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</si>
  <si>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</si>
  <si>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</si>
  <si>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</si>
  <si>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</si>
  <si>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</si>
  <si>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</si>
  <si>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</si>
  <si>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</si>
  <si>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</si>
  <si>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</si>
  <si>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</si>
  <si>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</si>
  <si>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</si>
  <si>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</si>
  <si>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</si>
  <si>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</si>
  <si>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</si>
  <si>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</si>
  <si>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</si>
  <si>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</si>
  <si>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</si>
  <si>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</si>
  <si>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</si>
  <si>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</si>
  <si>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</si>
  <si>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</si>
  <si>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</si>
  <si>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</si>
  <si>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</si>
  <si>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</si>
  <si>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</si>
  <si>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</si>
  <si>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</si>
  <si>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</si>
  <si>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</si>
  <si>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</si>
  <si>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</si>
  <si>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</si>
  <si>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</si>
  <si>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</si>
  <si>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</si>
  <si>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</si>
  <si>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</si>
  <si>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</si>
  <si>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</si>
  <si>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</si>
  <si>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</si>
  <si>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</si>
  <si>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</si>
  <si>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</si>
  <si>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</si>
  <si>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</si>
  <si>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</si>
  <si>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</si>
  <si>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</si>
  <si>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</si>
  <si>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</si>
  <si>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</si>
  <si>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</si>
  <si>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</si>
  <si>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</si>
  <si>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</si>
  <si>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</si>
  <si>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</si>
  <si>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</si>
  <si>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</si>
  <si>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</si>
  <si>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</si>
  <si>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</si>
  <si>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</si>
  <si>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</si>
  <si>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</si>
  <si>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</si>
  <si>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</si>
  <si>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</si>
  <si>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</si>
  <si>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</si>
  <si>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</si>
  <si>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</si>
  <si>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</si>
  <si>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</si>
  <si>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</si>
  <si>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</si>
  <si>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</si>
  <si>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</si>
  <si>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</si>
  <si>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</si>
  <si>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</si>
  <si>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</si>
  <si>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</si>
  <si>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</si>
  <si>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</si>
  <si>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</si>
  <si>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</si>
  <si>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</si>
  <si>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</si>
  <si>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</si>
  <si>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</si>
  <si>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</si>
  <si>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</si>
  <si>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</si>
  <si>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</si>
  <si>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</si>
  <si>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</si>
  <si>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</si>
  <si>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</si>
  <si>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</si>
  <si>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</si>
  <si>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</si>
  <si>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</si>
  <si>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</si>
  <si>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</si>
  <si>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</si>
  <si>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</si>
  <si>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</si>
  <si>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</si>
  <si>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</si>
  <si>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</si>
  <si>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</si>
  <si>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</si>
  <si>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</si>
  <si>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</si>
  <si>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</si>
  <si>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</si>
  <si>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</si>
  <si>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</si>
  <si>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</si>
  <si>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</si>
  <si>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</si>
  <si>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</si>
  <si>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</si>
  <si>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</si>
  <si>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</si>
  <si>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</si>
  <si>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</si>
  <si>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</si>
  <si>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</si>
  <si>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</si>
  <si>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</si>
  <si>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</si>
  <si>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</si>
  <si>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</si>
  <si>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</si>
  <si>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</si>
  <si>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</si>
  <si>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</si>
  <si>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</si>
  <si>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</si>
  <si>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</si>
  <si>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</si>
  <si>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</si>
  <si>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</si>
  <si>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</si>
  <si>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</si>
  <si>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</si>
  <si>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</si>
  <si>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</si>
  <si>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</si>
  <si>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</si>
  <si>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</si>
  <si>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</si>
  <si>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</si>
  <si>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</si>
  <si>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</si>
  <si>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</si>
  <si>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</si>
  <si>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</si>
  <si>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</si>
  <si>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</si>
  <si>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</si>
  <si>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</si>
  <si>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</si>
  <si>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</si>
  <si>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</si>
  <si>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</si>
  <si>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</si>
  <si>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</si>
  <si>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</si>
  <si>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</si>
  <si>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</si>
  <si>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</si>
  <si>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</si>
  <si>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</si>
  <si>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</si>
  <si>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</si>
  <si>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</si>
  <si>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</si>
  <si>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</si>
  <si>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</si>
  <si>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</si>
  <si>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</si>
  <si>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</si>
  <si>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</si>
  <si>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</si>
  <si>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</si>
  <si>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</si>
  <si>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</si>
  <si>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</si>
  <si>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</si>
  <si>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</si>
  <si>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</si>
  <si>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</si>
  <si>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</si>
  <si>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</si>
  <si>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</si>
  <si>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</si>
  <si>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</si>
  <si>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</si>
  <si>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</si>
  <si>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</si>
  <si>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</si>
  <si>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</si>
  <si>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</si>
  <si>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</si>
  <si>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</si>
  <si>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</si>
  <si>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</si>
  <si>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</si>
  <si>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</si>
  <si>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</si>
  <si>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</si>
  <si>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</si>
  <si>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</si>
  <si>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</si>
  <si>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</si>
  <si>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</si>
  <si>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</si>
  <si>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</si>
  <si>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</si>
  <si>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</si>
  <si>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</si>
  <si>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</si>
  <si>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</si>
  <si>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</si>
  <si>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</si>
  <si>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</si>
  <si>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</si>
  <si>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</si>
  <si>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</si>
  <si>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</si>
  <si>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</si>
  <si>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</si>
  <si>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</si>
  <si>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</si>
  <si>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</si>
  <si>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</si>
  <si>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</si>
  <si>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</si>
  <si>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</si>
  <si>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</si>
  <si>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</si>
  <si>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</si>
  <si>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</si>
  <si>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</si>
  <si>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</si>
  <si>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</si>
  <si>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</si>
  <si>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</si>
  <si>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</si>
  <si>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</si>
  <si>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</si>
  <si>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</si>
  <si>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</si>
  <si>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</si>
  <si>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</si>
  <si>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</si>
  <si>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</si>
  <si>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</si>
  <si>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</si>
  <si>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</si>
  <si>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</si>
  <si>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</si>
  <si>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</si>
  <si>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</si>
  <si>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</si>
  <si>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</si>
  <si>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</si>
  <si>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</si>
  <si>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</si>
  <si>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</si>
  <si>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</si>
  <si>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</si>
  <si>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</si>
  <si>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</si>
  <si>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</si>
  <si>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</si>
  <si>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</si>
  <si>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</si>
  <si>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</si>
  <si>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</si>
  <si>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</si>
  <si>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</si>
  <si>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</si>
  <si>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</si>
  <si>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</si>
  <si>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</si>
  <si>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</si>
  <si>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</si>
  <si>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</si>
  <si>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</si>
  <si>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</si>
  <si>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</si>
  <si>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</si>
  <si>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</si>
  <si>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</si>
  <si>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</si>
  <si>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</si>
  <si>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</si>
  <si>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</si>
  <si>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</si>
  <si>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</si>
  <si>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</si>
  <si>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</si>
  <si>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</si>
  <si>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</si>
  <si>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</si>
  <si>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</si>
  <si>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</si>
  <si>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</si>
  <si>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</si>
  <si>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</si>
  <si>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</si>
  <si>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</si>
  <si>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</si>
  <si>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</si>
  <si>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</si>
  <si>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</si>
  <si>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</si>
  <si>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</si>
  <si>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</si>
  <si>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</si>
  <si>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</si>
  <si>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</si>
  <si>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</si>
  <si>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</si>
  <si>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</si>
  <si>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</si>
  <si>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</si>
  <si>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</si>
  <si>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</si>
  <si>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</si>
  <si>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</si>
  <si>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</si>
  <si>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</si>
  <si>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</si>
  <si>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</si>
  <si>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</si>
  <si>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</si>
  <si>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</si>
  <si>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</si>
  <si>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</si>
  <si>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</si>
  <si>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</si>
  <si>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</si>
  <si>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</si>
  <si>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</si>
  <si>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</si>
  <si>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</si>
  <si>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</si>
  <si>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</si>
  <si>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</si>
  <si>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</si>
  <si>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</si>
  <si>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</si>
  <si>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</si>
  <si>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</si>
  <si>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</si>
  <si>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</si>
  <si>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</si>
  <si>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</si>
  <si>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</si>
  <si>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</si>
  <si>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</si>
  <si>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</si>
  <si>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</si>
  <si>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</si>
  <si>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</si>
  <si>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</si>
  <si>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</si>
  <si>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</si>
  <si>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</si>
  <si>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</si>
  <si>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</si>
  <si>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</si>
  <si>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</si>
  <si>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</si>
  <si>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</si>
  <si>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</si>
  <si>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</si>
  <si>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</si>
  <si>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</si>
  <si>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</si>
  <si>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</si>
  <si>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</si>
  <si>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</si>
  <si>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</si>
  <si>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</si>
  <si>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</si>
  <si>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</si>
  <si>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</si>
  <si>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</si>
  <si>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</si>
  <si>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</si>
  <si>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</si>
  <si>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</si>
  <si>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</si>
  <si>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</si>
  <si>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</si>
  <si>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</si>
  <si>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</si>
  <si>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</si>
  <si>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</si>
  <si>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</si>
  <si>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</si>
  <si>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</si>
  <si>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</si>
  <si>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</si>
  <si>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</si>
  <si>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</si>
  <si>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</si>
  <si>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</si>
  <si>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</si>
  <si>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</si>
  <si>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</si>
  <si>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</si>
  <si>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</si>
  <si>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</si>
  <si>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</si>
  <si>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</si>
  <si>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</si>
  <si>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</si>
  <si>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</si>
  <si>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</si>
  <si>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</si>
  <si>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</si>
  <si>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</si>
  <si>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</si>
  <si>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</si>
  <si>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</si>
  <si>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</si>
  <si>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</si>
  <si>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</si>
  <si>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</si>
  <si>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</si>
  <si>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</si>
  <si>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</si>
  <si>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</si>
  <si>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</si>
  <si>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</si>
  <si>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</si>
  <si>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</si>
  <si>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</si>
  <si>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</si>
  <si>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</si>
  <si>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</si>
  <si>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</si>
  <si>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</si>
  <si>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</si>
  <si>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</si>
  <si>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</si>
  <si>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</si>
  <si>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</si>
  <si>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</si>
  <si>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</si>
  <si>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</si>
  <si>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</si>
  <si>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</si>
  <si>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</si>
  <si>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</si>
  <si>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</si>
  <si>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</si>
  <si>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</si>
  <si>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</si>
  <si>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</si>
  <si>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</si>
  <si>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</si>
  <si>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</si>
  <si>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</si>
  <si>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</si>
  <si>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</si>
  <si>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</si>
  <si>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</si>
  <si>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</si>
  <si>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</si>
  <si>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</si>
  <si>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</si>
  <si>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</si>
  <si>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</si>
  <si>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</si>
  <si>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</si>
  <si>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</si>
  <si>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</si>
  <si>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</si>
  <si>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</si>
  <si>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</si>
  <si>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</si>
  <si>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</si>
  <si>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</si>
  <si>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</si>
  <si>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</si>
  <si>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</si>
  <si>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</si>
  <si>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</si>
  <si>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</si>
  <si>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</si>
  <si>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</si>
  <si>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</si>
  <si>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</si>
  <si>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</si>
  <si>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</si>
  <si>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</si>
  <si>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</si>
  <si>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</si>
  <si>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</si>
  <si>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</si>
  <si>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</si>
  <si>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</si>
  <si>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</si>
  <si>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</si>
  <si>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</si>
  <si>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</si>
  <si>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</si>
  <si>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</si>
  <si>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</si>
  <si>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</si>
  <si>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</si>
  <si>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</si>
  <si>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</si>
  <si>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</si>
  <si>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</si>
  <si>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</si>
  <si>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</si>
  <si>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</si>
  <si>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</si>
  <si>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</si>
  <si>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</si>
  <si>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</si>
  <si>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</si>
  <si>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</si>
  <si>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</si>
  <si>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</si>
  <si>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</si>
  <si>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</si>
  <si>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</si>
  <si>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</si>
  <si>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</si>
  <si>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</si>
  <si>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</si>
  <si>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</si>
  <si>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</si>
  <si>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</si>
  <si>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</si>
  <si>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</si>
  <si>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</si>
  <si>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</si>
  <si>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</si>
  <si>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</si>
  <si>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</si>
  <si>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</si>
  <si>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</si>
  <si>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</si>
  <si>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</si>
  <si>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</si>
  <si>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</si>
  <si>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</si>
  <si>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</si>
  <si>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</si>
  <si>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</si>
  <si>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</si>
  <si>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</si>
  <si>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</si>
  <si>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</si>
  <si>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</si>
  <si>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</si>
  <si>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</si>
  <si>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</si>
  <si>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</si>
  <si>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</si>
  <si>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</si>
  <si>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</si>
  <si>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</si>
  <si>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</si>
  <si>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</si>
  <si>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</si>
  <si>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</si>
  <si>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</si>
  <si>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</si>
  <si>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</si>
  <si>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</si>
  <si>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</si>
  <si>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</si>
  <si>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</si>
  <si>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</si>
  <si>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</si>
  <si>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</si>
  <si>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</si>
  <si>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</si>
  <si>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</si>
  <si>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</si>
  <si>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</si>
  <si>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</si>
  <si>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</si>
  <si>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</si>
  <si>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</si>
  <si>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</si>
  <si>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</si>
  <si>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</si>
  <si>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</si>
  <si>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</si>
  <si>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</si>
  <si>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</si>
  <si>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</si>
  <si>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</si>
  <si>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</si>
  <si>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</si>
  <si>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</si>
  <si>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</si>
  <si>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</si>
  <si>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</si>
  <si>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</si>
  <si>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</si>
  <si>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</si>
  <si>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</si>
  <si>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</si>
  <si>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</si>
  <si>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</si>
  <si>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</si>
  <si>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</si>
  <si>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</si>
  <si>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</si>
  <si>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</si>
  <si>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</si>
  <si>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</si>
  <si>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</si>
  <si>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</si>
  <si>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</si>
  <si>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</si>
  <si>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</si>
  <si>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</si>
  <si>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</si>
  <si>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</si>
  <si>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抵押</t>
  </si>
  <si>
    <t>房地产抵押价值</t>
  </si>
  <si>
    <t>北京市</t>
  </si>
  <si>
    <t>企业</t>
  </si>
  <si>
    <t>地下</t>
  </si>
  <si>
    <t>仓储</t>
  </si>
  <si>
    <t>是</t>
  </si>
  <si>
    <t>仓储</t>
    <phoneticPr fontId="3" type="noConversion"/>
  </si>
  <si>
    <t>仓储</t>
    <phoneticPr fontId="7" type="noConversion"/>
  </si>
  <si>
    <t>不临58条商业街</t>
  </si>
  <si>
    <t>七通一平</t>
  </si>
  <si>
    <t>一致</t>
  </si>
  <si>
    <t>按公示增长率计算</t>
  </si>
  <si>
    <t>容积率修正</t>
  </si>
  <si>
    <t>现房</t>
  </si>
  <si>
    <t>通路</t>
  </si>
  <si>
    <t>通电</t>
  </si>
  <si>
    <t>通讯</t>
  </si>
  <si>
    <t>通上水</t>
  </si>
  <si>
    <t>通下水</t>
  </si>
  <si>
    <t>通热</t>
  </si>
  <si>
    <t>燃气</t>
  </si>
  <si>
    <t>居住项目</t>
  </si>
  <si>
    <t>地上</t>
  </si>
  <si>
    <t>成本法</t>
  </si>
  <si>
    <t>已包含在土地取得成本中</t>
  </si>
  <si>
    <t>钢混</t>
  </si>
  <si>
    <t>比较法-仓储</t>
  </si>
  <si>
    <t>自定义容积率</t>
  </si>
  <si>
    <t>吴薇</t>
  </si>
  <si>
    <t>王鹏</t>
  </si>
  <si>
    <t>北京世纪润丰源资产管理有限公司</t>
    <phoneticPr fontId="6" type="noConversion"/>
  </si>
  <si>
    <t>中国民生银行股份有限公司</t>
    <phoneticPr fontId="6" type="noConversion"/>
  </si>
  <si>
    <t>西城区真武庙路二条10号楼1层7单元102及103共计两套商业服务用房及-1层-102号储藏用房房地产</t>
    <phoneticPr fontId="6" type="noConversion"/>
  </si>
  <si>
    <t>商业服务用房、仓储用房</t>
    <phoneticPr fontId="6" type="noConversion"/>
  </si>
  <si>
    <t>商业服务用房32年、仓储用房42年</t>
    <phoneticPr fontId="6" type="noConversion"/>
  </si>
  <si>
    <t>《房屋所有权证》[X京房权证西字第140364、140762、140502号]</t>
    <phoneticPr fontId="6" type="noConversion"/>
  </si>
  <si>
    <t>商业</t>
    <phoneticPr fontId="3" type="noConversion"/>
  </si>
  <si>
    <t>商业</t>
    <phoneticPr fontId="7" type="noConversion"/>
  </si>
  <si>
    <t>收益法仓储</t>
  </si>
  <si>
    <t>收益法仓储</t>
    <phoneticPr fontId="17" type="noConversion"/>
  </si>
  <si>
    <t>收益法商业</t>
    <phoneticPr fontId="17" type="noConversion"/>
  </si>
  <si>
    <t>押一</t>
  </si>
  <si>
    <t>基准地价修正</t>
  </si>
  <si>
    <t>1000米以外</t>
  </si>
  <si>
    <t>租金</t>
  </si>
  <si>
    <t>真武庙四条某仓储用饭</t>
    <phoneticPr fontId="3" type="noConversion"/>
  </si>
  <si>
    <t>西单某仓储用饭</t>
    <phoneticPr fontId="3" type="noConversion"/>
  </si>
  <si>
    <t>新街口外某仓储用房</t>
    <phoneticPr fontId="3" type="noConversion"/>
  </si>
  <si>
    <t>仓储</t>
    <phoneticPr fontId="46" type="noConversion"/>
  </si>
  <si>
    <t>40-50（含）</t>
  </si>
  <si>
    <t>较好</t>
  </si>
  <si>
    <t>好</t>
  </si>
  <si>
    <t>七通</t>
  </si>
  <si>
    <t>1层</t>
  </si>
  <si>
    <t>1层</t>
    <phoneticPr fontId="46" type="noConversion"/>
  </si>
  <si>
    <t>地下1层</t>
  </si>
  <si>
    <t>地下1层</t>
    <phoneticPr fontId="46" type="noConversion"/>
  </si>
  <si>
    <t>普通</t>
  </si>
  <si>
    <t>普通</t>
    <phoneticPr fontId="46" type="noConversion"/>
  </si>
  <si>
    <t>专业</t>
    <phoneticPr fontId="46" type="noConversion"/>
  </si>
  <si>
    <t>有</t>
    <phoneticPr fontId="46" type="noConversion"/>
  </si>
  <si>
    <t>否</t>
    <phoneticPr fontId="46" type="noConversion"/>
  </si>
  <si>
    <t>是</t>
    <phoneticPr fontId="46" type="noConversion"/>
  </si>
  <si>
    <t>否</t>
    <phoneticPr fontId="46" type="noConversion"/>
  </si>
  <si>
    <t>普装</t>
  </si>
  <si>
    <t>普装</t>
    <phoneticPr fontId="46" type="noConversion"/>
  </si>
  <si>
    <t>项目局部</t>
  </si>
  <si>
    <t>收益比率</t>
  </si>
  <si>
    <t>商业</t>
    <phoneticPr fontId="45" type="noConversion"/>
  </si>
  <si>
    <t>多面临街</t>
    <phoneticPr fontId="45" type="noConversion"/>
  </si>
  <si>
    <t>双面临街</t>
    <phoneticPr fontId="45" type="noConversion"/>
  </si>
  <si>
    <t>单面临街</t>
  </si>
  <si>
    <t>单面临街</t>
    <phoneticPr fontId="45" type="noConversion"/>
  </si>
  <si>
    <t>不临街</t>
    <phoneticPr fontId="45" type="noConversion"/>
  </si>
  <si>
    <t>较大</t>
  </si>
  <si>
    <t>较大</t>
    <phoneticPr fontId="3" type="noConversion"/>
  </si>
  <si>
    <t>1层</t>
    <phoneticPr fontId="45" type="noConversion"/>
  </si>
  <si>
    <t>2层</t>
    <phoneticPr fontId="45" type="noConversion"/>
  </si>
  <si>
    <t>大型商业综合体</t>
    <phoneticPr fontId="45" type="noConversion"/>
  </si>
  <si>
    <t>独栋商业</t>
    <phoneticPr fontId="45" type="noConversion"/>
  </si>
  <si>
    <t>商业街诶商铺</t>
    <phoneticPr fontId="45" type="noConversion"/>
  </si>
  <si>
    <t>写字楼底商</t>
    <phoneticPr fontId="45" type="noConversion"/>
  </si>
  <si>
    <t>住宅底商</t>
  </si>
  <si>
    <t>住宅底商</t>
    <phoneticPr fontId="45" type="noConversion"/>
  </si>
  <si>
    <t>钢混</t>
    <phoneticPr fontId="45" type="noConversion"/>
  </si>
  <si>
    <t>精装</t>
    <phoneticPr fontId="45" type="noConversion"/>
  </si>
  <si>
    <t>普装</t>
    <phoneticPr fontId="45" type="noConversion"/>
  </si>
  <si>
    <t>简装</t>
    <phoneticPr fontId="45" type="noConversion"/>
  </si>
  <si>
    <t>毛坯</t>
    <phoneticPr fontId="45" type="noConversion"/>
  </si>
  <si>
    <t>七通</t>
    <phoneticPr fontId="45" type="noConversion"/>
  </si>
  <si>
    <t>可餐饮</t>
    <phoneticPr fontId="45" type="noConversion"/>
  </si>
  <si>
    <t>不可餐饮</t>
  </si>
  <si>
    <t>不可餐饮</t>
    <phoneticPr fontId="45" type="noConversion"/>
  </si>
  <si>
    <t>较适宜</t>
  </si>
  <si>
    <t>较适宜</t>
    <phoneticPr fontId="45" type="noConversion"/>
  </si>
  <si>
    <t>30-40（含）</t>
  </si>
  <si>
    <t>比较法-商业</t>
  </si>
  <si>
    <t>结果表商业</t>
    <phoneticPr fontId="17" type="noConversion"/>
  </si>
  <si>
    <t>结果表仓储</t>
    <phoneticPr fontId="17" type="noConversion"/>
  </si>
  <si>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</si>
  <si>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荣丰2008</t>
    <phoneticPr fontId="3" type="noConversion"/>
  </si>
  <si>
    <t>较大</t>
    <phoneticPr fontId="45" type="noConversion"/>
  </si>
  <si>
    <t>较好</t>
    <phoneticPr fontId="45" type="noConversion"/>
  </si>
  <si>
    <t>钢混</t>
    <phoneticPr fontId="45" type="noConversion"/>
  </si>
  <si>
    <t>超高</t>
    <phoneticPr fontId="45" type="noConversion"/>
  </si>
  <si>
    <t>标准</t>
  </si>
  <si>
    <t>标准</t>
    <phoneticPr fontId="45" type="noConversion"/>
  </si>
  <si>
    <t>典型户型修正</t>
    <phoneticPr fontId="17" type="noConversion"/>
  </si>
  <si>
    <t>比较法-商业 (租金)</t>
    <phoneticPr fontId="17" type="noConversion"/>
  </si>
  <si>
    <t>头条胡同</t>
    <phoneticPr fontId="3" type="noConversion"/>
  </si>
  <si>
    <t>官园市场</t>
    <phoneticPr fontId="3" type="noConversion"/>
  </si>
  <si>
    <t>南礼士路某商铺</t>
    <phoneticPr fontId="3" type="noConversion"/>
  </si>
  <si>
    <t>房屋所有权证编号</t>
    <phoneticPr fontId="205" type="noConversion"/>
  </si>
  <si>
    <t>面积</t>
    <phoneticPr fontId="205" type="noConversion"/>
  </si>
  <si>
    <t>用途</t>
    <phoneticPr fontId="205" type="noConversion"/>
  </si>
  <si>
    <t>X京房权证西字第140364号</t>
    <phoneticPr fontId="205" type="noConversion"/>
  </si>
  <si>
    <t>X京房权证西字第140762号</t>
    <phoneticPr fontId="205" type="noConversion"/>
  </si>
  <si>
    <t>X京房权证西字第140502号</t>
    <phoneticPr fontId="205" type="noConversion"/>
  </si>
  <si>
    <t>商业服务</t>
    <phoneticPr fontId="205" type="noConversion"/>
  </si>
  <si>
    <t>储藏</t>
    <phoneticPr fontId="205" type="noConversion"/>
  </si>
  <si>
    <t>所在楼层</t>
    <phoneticPr fontId="205" type="noConversion"/>
  </si>
  <si>
    <t>序号</t>
    <phoneticPr fontId="205" type="noConversion"/>
  </si>
  <si>
    <t>合计</t>
    <phoneticPr fontId="205" type="noConversion"/>
  </si>
  <si>
    <t>居住用地（指二类居住用地）</t>
  </si>
  <si>
    <t>住宅</t>
    <phoneticPr fontId="7" type="noConversion"/>
  </si>
  <si>
    <t>成本法 (元)</t>
  </si>
  <si>
    <t>北京海天中心</t>
    <phoneticPr fontId="3" type="noConversion"/>
  </si>
  <si>
    <t>长安兴融中心</t>
    <phoneticPr fontId="3" type="noConversion"/>
  </si>
  <si>
    <t>写字楼底商</t>
  </si>
  <si>
    <t>收益法 (元)</t>
  </si>
  <si>
    <t>可餐饮</t>
  </si>
  <si>
    <r>
      <t>1001</t>
    </r>
    <r>
      <rPr>
        <sz val="11"/>
        <color indexed="8"/>
        <rFont val="宋体"/>
        <family val="3"/>
        <charset val="134"/>
      </rPr>
      <t>及以上</t>
    </r>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</si>
</sst>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68" fillId="6" borderId="44" xfId="0" applyNumberFormat="1" applyFont="1" applyFill="1" applyBorder="1" applyAlignment="1" applyProtection="1">
      <alignment horizontal="center" vertical="center" wrapText="1"/>
      <protection locked="0"/>
    </xf>
    <xf numFmtId="0" fontId="25" fillId="6" borderId="44" xfId="0" applyNumberFormat="1" applyFont="1" applyFill="1" applyBorder="1" applyAlignment="1" applyProtection="1">
      <alignment horizontal="center" vertical="center" wrapText="1"/>
      <protection locked="0"/>
    </xf>
    <xf numFmtId="0" fontId="130" fillId="0" borderId="0" xfId="0" applyFont="1">
      <alignment vertical="center"/>
    </xf>
    <xf numFmtId="181" fontId="138" fillId="9" borderId="1" xfId="0" applyNumberFormat="1" applyFont="1" applyFill="1" applyBorder="1" applyAlignment="1" applyProtection="1">
      <alignment horizontal="center" vertical="center"/>
      <protection locked="0"/>
    </xf>
    <xf numFmtId="0" fontId="68" fillId="9" borderId="1" xfId="0" applyFont="1" applyFill="1" applyBorder="1" applyAlignment="1" applyProtection="1">
      <alignment horizontal="center" vertical="center"/>
      <protection locked="0"/>
    </xf>
    <xf numFmtId="181" fontId="113" fillId="9" borderId="61"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71" fillId="9" borderId="3" xfId="0" applyFont="1" applyFill="1" applyBorder="1" applyProtection="1">
      <alignment vertical="center"/>
      <protection locked="0"/>
    </xf>
    <xf numFmtId="0" fontId="13" fillId="5" borderId="1" xfId="0" applyNumberFormat="1" applyFont="1" applyFill="1" applyBorder="1" applyAlignment="1" applyProtection="1">
      <alignment vertical="center" wrapText="1"/>
      <protection locked="0"/>
    </xf>
    <xf numFmtId="187" fontId="74" fillId="5" borderId="84" xfId="0" applyNumberFormat="1"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68" fillId="0" borderId="15" xfId="0" applyFont="1" applyBorder="1" applyAlignment="1" applyProtection="1">
      <alignment horizontal="center" vertical="center"/>
      <protection locked="0"/>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151"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91" fillId="6" borderId="1"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153" fillId="6" borderId="1" xfId="0" applyFont="1" applyFill="1" applyBorder="1" applyAlignment="1" applyProtection="1">
      <alignment horizontal="center" vertical="center" wrapText="1"/>
    </xf>
    <xf numFmtId="0" fontId="71" fillId="6" borderId="23" xfId="0" applyFont="1" applyFill="1" applyBorder="1" applyAlignment="1" applyProtection="1">
      <alignment horizontal="left" vertical="center" wrapText="1"/>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36" fillId="6" borderId="23" xfId="0" applyFont="1" applyFill="1" applyBorder="1" applyProtection="1">
      <alignment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71" fillId="6" borderId="48"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136" fillId="6" borderId="25" xfId="0" applyFont="1" applyFill="1" applyBorder="1" applyProtection="1">
      <alignment vertical="center"/>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11" fillId="6" borderId="19" xfId="0" applyFont="1" applyFill="1" applyBorder="1" applyAlignment="1" applyProtection="1">
      <alignment horizontal="left"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7</xdr:col>
      <xdr:colOff>427972</xdr:colOff>
      <xdr:row>73</xdr:row>
      <xdr:rowOff>75676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401050"/>
          <a:ext cx="5228572" cy="4190476"/>
        </a:xfrm>
        <a:prstGeom prst="rect">
          <a:avLst/>
        </a:prstGeom>
      </xdr:spPr>
    </xdr:pic>
    <xdr:clientData/>
  </xdr:twoCellAnchor>
  <xdr:twoCellAnchor editAs="oneCell">
    <xdr:from>
      <xdr:col>0</xdr:col>
      <xdr:colOff>0</xdr:colOff>
      <xdr:row>74</xdr:row>
      <xdr:rowOff>0</xdr:rowOff>
    </xdr:from>
    <xdr:to>
      <xdr:col>7</xdr:col>
      <xdr:colOff>466067</xdr:colOff>
      <xdr:row>97</xdr:row>
      <xdr:rowOff>18555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687300"/>
          <a:ext cx="5266667" cy="3961905"/>
        </a:xfrm>
        <a:prstGeom prst="rect">
          <a:avLst/>
        </a:prstGeom>
      </xdr:spPr>
    </xdr:pic>
    <xdr:clientData/>
  </xdr:twoCellAnchor>
  <xdr:twoCellAnchor editAs="oneCell">
    <xdr:from>
      <xdr:col>8</xdr:col>
      <xdr:colOff>0</xdr:colOff>
      <xdr:row>49</xdr:row>
      <xdr:rowOff>0</xdr:rowOff>
    </xdr:from>
    <xdr:to>
      <xdr:col>15</xdr:col>
      <xdr:colOff>437496</xdr:colOff>
      <xdr:row>63</xdr:row>
      <xdr:rowOff>37795</xdr:rowOff>
    </xdr:to>
    <xdr:pic>
      <xdr:nvPicPr>
        <xdr:cNvPr id="5" name="图片 4"/>
        <xdr:cNvPicPr>
          <a:picLocks noChangeAspect="1"/>
        </xdr:cNvPicPr>
      </xdr:nvPicPr>
      <xdr:blipFill>
        <a:blip xmlns:r="http://schemas.openxmlformats.org/officeDocument/2006/relationships" r:embed="rId3"/>
        <a:stretch>
          <a:fillRect/>
        </a:stretch>
      </xdr:blipFill>
      <xdr:spPr>
        <a:xfrm>
          <a:off x="5486400" y="8401050"/>
          <a:ext cx="5238096" cy="2438095"/>
        </a:xfrm>
        <a:prstGeom prst="rect">
          <a:avLst/>
        </a:prstGeom>
      </xdr:spPr>
    </xdr:pic>
    <xdr:clientData/>
  </xdr:twoCellAnchor>
  <xdr:twoCellAnchor editAs="oneCell">
    <xdr:from>
      <xdr:col>8</xdr:col>
      <xdr:colOff>0</xdr:colOff>
      <xdr:row>63</xdr:row>
      <xdr:rowOff>0</xdr:rowOff>
    </xdr:from>
    <xdr:to>
      <xdr:col>15</xdr:col>
      <xdr:colOff>332734</xdr:colOff>
      <xdr:row>76</xdr:row>
      <xdr:rowOff>85436</xdr:rowOff>
    </xdr:to>
    <xdr:pic>
      <xdr:nvPicPr>
        <xdr:cNvPr id="6" name="图片 5"/>
        <xdr:cNvPicPr>
          <a:picLocks noChangeAspect="1"/>
        </xdr:cNvPicPr>
      </xdr:nvPicPr>
      <xdr:blipFill>
        <a:blip xmlns:r="http://schemas.openxmlformats.org/officeDocument/2006/relationships" r:embed="rId4"/>
        <a:stretch>
          <a:fillRect/>
        </a:stretch>
      </xdr:blipFill>
      <xdr:spPr>
        <a:xfrm>
          <a:off x="5486400" y="10801350"/>
          <a:ext cx="5133334" cy="2314286"/>
        </a:xfrm>
        <a:prstGeom prst="rect">
          <a:avLst/>
        </a:prstGeom>
      </xdr:spPr>
    </xdr:pic>
    <xdr:clientData/>
  </xdr:twoCellAnchor>
  <xdr:twoCellAnchor editAs="oneCell">
    <xdr:from>
      <xdr:col>8</xdr:col>
      <xdr:colOff>0</xdr:colOff>
      <xdr:row>77</xdr:row>
      <xdr:rowOff>0</xdr:rowOff>
    </xdr:from>
    <xdr:to>
      <xdr:col>15</xdr:col>
      <xdr:colOff>380353</xdr:colOff>
      <xdr:row>93</xdr:row>
      <xdr:rowOff>113943</xdr:rowOff>
    </xdr:to>
    <xdr:pic>
      <xdr:nvPicPr>
        <xdr:cNvPr id="7" name="图片 6"/>
        <xdr:cNvPicPr>
          <a:picLocks noChangeAspect="1"/>
        </xdr:cNvPicPr>
      </xdr:nvPicPr>
      <xdr:blipFill>
        <a:blip xmlns:r="http://schemas.openxmlformats.org/officeDocument/2006/relationships" r:embed="rId5"/>
        <a:stretch>
          <a:fillRect/>
        </a:stretch>
      </xdr:blipFill>
      <xdr:spPr>
        <a:xfrm>
          <a:off x="5486400" y="13201650"/>
          <a:ext cx="5180953" cy="2857143"/>
        </a:xfrm>
        <a:prstGeom prst="rect">
          <a:avLst/>
        </a:prstGeom>
      </xdr:spPr>
    </xdr:pic>
    <xdr:clientData/>
  </xdr:twoCellAnchor>
  <xdr:twoCellAnchor editAs="oneCell">
    <xdr:from>
      <xdr:col>0</xdr:col>
      <xdr:colOff>0</xdr:colOff>
      <xdr:row>97</xdr:row>
      <xdr:rowOff>0</xdr:rowOff>
    </xdr:from>
    <xdr:to>
      <xdr:col>7</xdr:col>
      <xdr:colOff>227972</xdr:colOff>
      <xdr:row>116</xdr:row>
      <xdr:rowOff>37688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6630650"/>
          <a:ext cx="5028572" cy="3295238"/>
        </a:xfrm>
        <a:prstGeom prst="rect">
          <a:avLst/>
        </a:prstGeom>
      </xdr:spPr>
    </xdr:pic>
    <xdr:clientData/>
  </xdr:twoCellAnchor>
  <xdr:twoCellAnchor editAs="oneCell">
    <xdr:from>
      <xdr:col>8</xdr:col>
      <xdr:colOff>0</xdr:colOff>
      <xdr:row>97</xdr:row>
      <xdr:rowOff>0</xdr:rowOff>
    </xdr:from>
    <xdr:to>
      <xdr:col>15</xdr:col>
      <xdr:colOff>351781</xdr:colOff>
      <xdr:row>107</xdr:row>
      <xdr:rowOff>95024</xdr:rowOff>
    </xdr:to>
    <xdr:pic>
      <xdr:nvPicPr>
        <xdr:cNvPr id="9" name="图片 8"/>
        <xdr:cNvPicPr>
          <a:picLocks noChangeAspect="1"/>
        </xdr:cNvPicPr>
      </xdr:nvPicPr>
      <xdr:blipFill>
        <a:blip xmlns:r="http://schemas.openxmlformats.org/officeDocument/2006/relationships" r:embed="rId7"/>
        <a:stretch>
          <a:fillRect/>
        </a:stretch>
      </xdr:blipFill>
      <xdr:spPr>
        <a:xfrm>
          <a:off x="5486400" y="16630650"/>
          <a:ext cx="5152381" cy="1809524"/>
        </a:xfrm>
        <a:prstGeom prst="rect">
          <a:avLst/>
        </a:prstGeom>
      </xdr:spPr>
    </xdr:pic>
    <xdr:clientData/>
  </xdr:twoCellAnchor>
  <xdr:twoCellAnchor editAs="oneCell">
    <xdr:from>
      <xdr:col>8</xdr:col>
      <xdr:colOff>0</xdr:colOff>
      <xdr:row>108</xdr:row>
      <xdr:rowOff>0</xdr:rowOff>
    </xdr:from>
    <xdr:to>
      <xdr:col>15</xdr:col>
      <xdr:colOff>370829</xdr:colOff>
      <xdr:row>118</xdr:row>
      <xdr:rowOff>114072</xdr:rowOff>
    </xdr:to>
    <xdr:pic>
      <xdr:nvPicPr>
        <xdr:cNvPr id="10" name="图片 9"/>
        <xdr:cNvPicPr>
          <a:picLocks noChangeAspect="1"/>
        </xdr:cNvPicPr>
      </xdr:nvPicPr>
      <xdr:blipFill>
        <a:blip xmlns:r="http://schemas.openxmlformats.org/officeDocument/2006/relationships" r:embed="rId8"/>
        <a:stretch>
          <a:fillRect/>
        </a:stretch>
      </xdr:blipFill>
      <xdr:spPr>
        <a:xfrm>
          <a:off x="5486400" y="18516600"/>
          <a:ext cx="5171429" cy="1828572"/>
        </a:xfrm>
        <a:prstGeom prst="rect">
          <a:avLst/>
        </a:prstGeom>
      </xdr:spPr>
    </xdr:pic>
    <xdr:clientData/>
  </xdr:twoCellAnchor>
  <xdr:twoCellAnchor editAs="oneCell">
    <xdr:from>
      <xdr:col>0</xdr:col>
      <xdr:colOff>0</xdr:colOff>
      <xdr:row>0</xdr:row>
      <xdr:rowOff>0</xdr:rowOff>
    </xdr:from>
    <xdr:to>
      <xdr:col>5</xdr:col>
      <xdr:colOff>581025</xdr:colOff>
      <xdr:row>17</xdr:row>
      <xdr:rowOff>108533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0"/>
          <a:ext cx="4010025" cy="3023183"/>
        </a:xfrm>
        <a:prstGeom prst="rect">
          <a:avLst/>
        </a:prstGeom>
      </xdr:spPr>
    </xdr:pic>
    <xdr:clientData/>
  </xdr:twoCellAnchor>
  <xdr:twoCellAnchor editAs="oneCell">
    <xdr:from>
      <xdr:col>6</xdr:col>
      <xdr:colOff>0</xdr:colOff>
      <xdr:row>0</xdr:row>
      <xdr:rowOff>1</xdr:rowOff>
    </xdr:from>
    <xdr:to>
      <xdr:col>9</xdr:col>
      <xdr:colOff>428625</xdr:colOff>
      <xdr:row>18</xdr:row>
      <xdr:rowOff>70121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4114800" y="1"/>
          <a:ext cx="2486025" cy="3156220"/>
        </a:xfrm>
        <a:prstGeom prst="rect">
          <a:avLst/>
        </a:prstGeom>
      </xdr:spPr>
    </xdr:pic>
    <xdr:clientData/>
  </xdr:twoCellAnchor>
  <xdr:twoCellAnchor editAs="oneCell">
    <xdr:from>
      <xdr:col>9</xdr:col>
      <xdr:colOff>0</xdr:colOff>
      <xdr:row>0</xdr:row>
      <xdr:rowOff>0</xdr:rowOff>
    </xdr:from>
    <xdr:to>
      <xdr:col>11</xdr:col>
      <xdr:colOff>600075</xdr:colOff>
      <xdr:row>19</xdr:row>
      <xdr:rowOff>20797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172200" y="0"/>
          <a:ext cx="1971675" cy="3278347"/>
        </a:xfrm>
        <a:prstGeom prst="rect">
          <a:avLst/>
        </a:prstGeom>
      </xdr:spPr>
    </xdr:pic>
    <xdr:clientData/>
  </xdr:twoCellAnchor>
  <xdr:twoCellAnchor editAs="oneCell">
    <xdr:from>
      <xdr:col>0</xdr:col>
      <xdr:colOff>0</xdr:colOff>
      <xdr:row>19</xdr:row>
      <xdr:rowOff>1</xdr:rowOff>
    </xdr:from>
    <xdr:to>
      <xdr:col>7</xdr:col>
      <xdr:colOff>446254</xdr:colOff>
      <xdr:row>47</xdr:row>
      <xdr:rowOff>38101</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3257551"/>
          <a:ext cx="5246854" cy="4838700"/>
        </a:xfrm>
        <a:prstGeom prst="rect">
          <a:avLst/>
        </a:prstGeom>
      </xdr:spPr>
    </xdr:pic>
    <xdr:clientData/>
  </xdr:twoCellAnchor>
  <xdr:twoCellAnchor editAs="oneCell">
    <xdr:from>
      <xdr:col>7</xdr:col>
      <xdr:colOff>142875</xdr:colOff>
      <xdr:row>18</xdr:row>
      <xdr:rowOff>66676</xdr:rowOff>
    </xdr:from>
    <xdr:to>
      <xdr:col>15</xdr:col>
      <xdr:colOff>675254</xdr:colOff>
      <xdr:row>46</xdr:row>
      <xdr:rowOff>99338</xdr:rowOff>
    </xdr:to>
    <xdr:pic>
      <xdr:nvPicPr>
        <xdr:cNvPr id="15" name="图片 14"/>
        <xdr:cNvPicPr>
          <a:picLocks noChangeAspect="1"/>
        </xdr:cNvPicPr>
      </xdr:nvPicPr>
      <xdr:blipFill>
        <a:blip xmlns:r="http://schemas.openxmlformats.org/officeDocument/2006/relationships" r:embed="rId13"/>
        <a:stretch>
          <a:fillRect/>
        </a:stretch>
      </xdr:blipFill>
      <xdr:spPr>
        <a:xfrm>
          <a:off x="4943475" y="3152776"/>
          <a:ext cx="6018779" cy="4833262"/>
        </a:xfrm>
        <a:prstGeom prst="rect">
          <a:avLst/>
        </a:prstGeom>
      </xdr:spPr>
    </xdr:pic>
    <xdr:clientData/>
  </xdr:twoCellAnchor>
  <xdr:twoCellAnchor editAs="oneCell">
    <xdr:from>
      <xdr:col>16</xdr:col>
      <xdr:colOff>9525</xdr:colOff>
      <xdr:row>17</xdr:row>
      <xdr:rowOff>165272</xdr:rowOff>
    </xdr:from>
    <xdr:to>
      <xdr:col>24</xdr:col>
      <xdr:colOff>627548</xdr:colOff>
      <xdr:row>46</xdr:row>
      <xdr:rowOff>162553</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0982325" y="3079922"/>
          <a:ext cx="6104423" cy="4969331"/>
        </a:xfrm>
        <a:prstGeom prst="rect">
          <a:avLst/>
        </a:prstGeom>
      </xdr:spPr>
    </xdr:pic>
    <xdr:clientData/>
  </xdr:twoCellAnchor>
  <xdr:twoCellAnchor editAs="oneCell">
    <xdr:from>
      <xdr:col>11</xdr:col>
      <xdr:colOff>438150</xdr:colOff>
      <xdr:row>0</xdr:row>
      <xdr:rowOff>0</xdr:rowOff>
    </xdr:from>
    <xdr:to>
      <xdr:col>18</xdr:col>
      <xdr:colOff>399064</xdr:colOff>
      <xdr:row>18</xdr:row>
      <xdr:rowOff>84413</xdr:rowOff>
    </xdr:to>
    <xdr:pic>
      <xdr:nvPicPr>
        <xdr:cNvPr id="2" name="图片 1"/>
        <xdr:cNvPicPr>
          <a:picLocks noChangeAspect="1"/>
        </xdr:cNvPicPr>
      </xdr:nvPicPr>
      <xdr:blipFill>
        <a:blip xmlns:r="http://schemas.openxmlformats.org/officeDocument/2006/relationships" r:embed="rId15"/>
        <a:stretch>
          <a:fillRect/>
        </a:stretch>
      </xdr:blipFill>
      <xdr:spPr>
        <a:xfrm>
          <a:off x="7981950" y="0"/>
          <a:ext cx="4761514" cy="31705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6" sqref="D36"/>
    </sheetView>
  </sheetViews>
  <sheetFormatPr defaultRowHeight="14.25"/>
  <cols>
    <col min="1" max="1" width="35.625" style="3058" customWidth="1"/>
    <col min="2" max="2" width="81" style="3075" customWidth="1"/>
    <col min="3" max="16384" width="9" style="3073"/>
  </cols>
  <sheetData>
    <row r="1" spans="1:2" s="3061" customFormat="1" ht="16.5" thickBot="1">
      <c r="A1" s="3060" t="s">
        <v>2805</v>
      </c>
      <c r="B1" s="3059" t="s">
        <v>2895</v>
      </c>
    </row>
    <row r="2" spans="1:2" s="3064" customFormat="1" ht="15" thickTop="1">
      <c r="A2" s="3062" t="s">
        <v>2806</v>
      </c>
      <c r="B2" s="3063" t="str">
        <f>'预评函-封皮'!B37:I37</f>
        <v>北京市西城区真武庙路二条10号楼1层7单元102及103共计两套商业服务用房及-1层-102号储藏用房房地产房地产抵押价值预评估</v>
      </c>
    </row>
    <row r="3" spans="1:2" s="3067" customFormat="1">
      <c r="A3" s="3065" t="s">
        <v>2807</v>
      </c>
      <c r="B3" s="3066" t="str">
        <f>'预评函-封皮'!B40</f>
        <v>北京世纪润丰源资产管理有限公司</v>
      </c>
    </row>
    <row r="4" spans="1:2" s="3067" customFormat="1">
      <c r="A4" s="3065" t="s">
        <v>2808</v>
      </c>
      <c r="B4" s="3066" t="str">
        <f ca="1">'预评函-封皮'!B46</f>
        <v>吴薇（注册号：1419970001)、王鹏（注册号：1120050019)</v>
      </c>
    </row>
    <row r="5" spans="1:2" s="3061" customFormat="1" ht="15" thickBot="1">
      <c r="A5" s="3068" t="s">
        <v>2809</v>
      </c>
      <c r="B5" s="3069" t="str">
        <f>'预评函-封皮'!B49</f>
        <v>康正预评字号</v>
      </c>
    </row>
    <row r="6" spans="1:2" s="3064" customFormat="1" ht="15" thickTop="1">
      <c r="A6" s="3062" t="s">
        <v>2810</v>
      </c>
      <c r="B6" s="3063" t="str">
        <f>'预评函-1'!A4</f>
        <v>受贵公司委托，我公司对北京市西城区真武庙路二条10号楼1层7单元102及103共计两套商业服务用房及-1层-102号储藏用房房地产房地产抵押价值进行了预评估。</v>
      </c>
    </row>
    <row r="7" spans="1:2" s="3067" customFormat="1">
      <c r="A7" s="3065" t="s">
        <v>2850</v>
      </c>
      <c r="B7" s="3066" t="str">
        <f>'预评函-1'!A7</f>
        <v>估价对象为北京市西城区真武庙路二条10号楼1层7单元102及103共计两套商业服务用房及-1层-102号储藏用房房地产房地产，为所有。根据，估价对象（分摊）出让国有建设用地使用权面积为0平方米。根据《房屋所有权证》[X京房权证西字第140364、140762、140502号]，估价对象建筑面积为2579.75平方米。</v>
      </c>
    </row>
    <row r="8" spans="1:2" s="3067" customFormat="1">
      <c r="A8" s="3065" t="s">
        <v>2851</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2852</v>
      </c>
      <c r="B9" s="3066" t="str">
        <f>'预评函-1'!A10</f>
        <v>估价对象为北京市西城区真武庙路二条10号楼1层7单元102及103共计两套商业服务用房及-1层-102号储藏用房房地产房地产,属开发建设的居住项目，该项目尚在开发建设中。根据，估价对象（分摊）出让国有建设用地使用权面积为0平方米。根据《房屋所有权证》[X京房权证西字第140364、140762、140502号]，估价对象规划建筑面积为2579.75平方米。</v>
      </c>
    </row>
    <row r="10" spans="1:2" s="3067" customFormat="1">
      <c r="A10" s="3065" t="s">
        <v>2853</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2811</v>
      </c>
      <c r="B11" s="3066" t="str">
        <f>'预评函-1'!A13</f>
        <v>为估价委托人在向中国民生银行股份有限公司办理贷款手续过程中，确定房地产抵押贷款额度提供参考依据而评估房地产抵押价值。</v>
      </c>
    </row>
    <row r="12" spans="1:2" s="3067" customFormat="1">
      <c r="A12" s="3065" t="s">
        <v>2812</v>
      </c>
      <c r="B12" s="3066" t="str">
        <f>'预评函-1'!A15</f>
        <v>2017年11月1日（评估专业人员实地查勘之日）</v>
      </c>
    </row>
    <row r="13" spans="1:2" s="3067" customFormat="1">
      <c r="A13" s="3065" t="s">
        <v>2813</v>
      </c>
      <c r="B13" s="3066" t="str">
        <f>'预评函-1'!A18</f>
        <v>本次估价的“房地产价值”是指在正常市场情况下，在价值时点2017年11月1日，估价对象规划用途为商业服务用房、仓储用房，土地取得方式为出让，出让国有建设用地使用权剩余土地使用年限为商业服务用房32年、仓储用房42年，假定未设立法定优先受偿款下的房地产市场价值。</v>
      </c>
    </row>
    <row r="14" spans="1:2" s="3067" customFormat="1">
      <c r="A14" s="3065" t="s">
        <v>2814</v>
      </c>
      <c r="B14" s="3066" t="str">
        <f>'预评函-1'!A19</f>
        <v>其中，“出让国有建设用地使用权价值”是指估价对象用途为商业服务用房、仓储用房，实际开发程度为宗地红线外“七通”（即通路、通电、通讯、通上水、通下水、通热、燃气）、红线内场地平整条件下，剩余土地使用年限为商业服务用房32年、仓储用房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2815</v>
      </c>
      <c r="B15" s="3066" t="str">
        <f>'预评函-1'!A20</f>
        <v>本次估价的“房地产抵押价值”是指估价对象在价值时点的“房地产价值”扣减估价师于价值时点所知悉的法定优先受偿款后的余额。</v>
      </c>
    </row>
    <row r="16" spans="1:2" s="3067" customFormat="1">
      <c r="A16" s="3065" t="s">
        <v>2816</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2817</v>
      </c>
      <c r="B17" s="3066" t="str">
        <f>'预评函-1'!A22</f>
        <v/>
      </c>
    </row>
    <row r="18" spans="1:2" s="3061" customFormat="1" ht="15" thickBot="1">
      <c r="A18" s="3068" t="s">
        <v>2818</v>
      </c>
      <c r="B18" s="3069" t="str">
        <f>'预评函-1'!A24</f>
        <v>本次评估采用的主估价方法为成本法和收益法。</v>
      </c>
    </row>
    <row r="19" spans="1:2" s="3064" customFormat="1" ht="15" thickTop="1">
      <c r="A19" s="3062" t="s">
        <v>2819</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2820</v>
      </c>
      <c r="B20" s="3066">
        <f ca="1">'预评函-2'!D5</f>
        <v>4978</v>
      </c>
    </row>
    <row r="21" spans="1:2" s="3067" customFormat="1">
      <c r="A21" s="3065" t="s">
        <v>2821</v>
      </c>
      <c r="B21" s="3066">
        <f ca="1">'预评函-2'!D7</f>
        <v>19674</v>
      </c>
    </row>
    <row r="22" spans="1:2" s="3067" customFormat="1">
      <c r="A22" s="3065" t="s">
        <v>2822</v>
      </c>
      <c r="B22" s="3066" t="str">
        <f ca="1">'预评函-2'!D6</f>
        <v>肆仟玖佰柒拾捌万元整</v>
      </c>
    </row>
    <row r="23" spans="1:2" s="3067" customFormat="1">
      <c r="A23" s="3065" t="s">
        <v>2883</v>
      </c>
      <c r="B23" s="3066" t="str">
        <f>'预评函-2'!B8</f>
        <v>2.估价师知悉的法定优先受偿款</v>
      </c>
    </row>
    <row r="24" spans="1:2" s="3067" customFormat="1">
      <c r="A24" s="3065" t="s">
        <v>2889</v>
      </c>
      <c r="B24" s="3066">
        <f>'预评函-2'!D8</f>
        <v>0</v>
      </c>
    </row>
    <row r="25" spans="1:2" s="3067" customFormat="1">
      <c r="A25" s="3065" t="s">
        <v>2823</v>
      </c>
      <c r="B25" s="3066" t="str">
        <f>'预评函-2'!D9</f>
        <v>零元整</v>
      </c>
    </row>
    <row r="26" spans="1:2" s="3067" customFormat="1">
      <c r="A26" s="3065" t="s">
        <v>2824</v>
      </c>
      <c r="B26" s="3066">
        <f>'预评函-2'!D10</f>
        <v>0</v>
      </c>
    </row>
    <row r="27" spans="1:2" s="3067" customFormat="1">
      <c r="A27" s="3065" t="s">
        <v>2825</v>
      </c>
      <c r="B27" s="3066">
        <f>'预评函-2'!D11</f>
        <v>0</v>
      </c>
    </row>
    <row r="28" spans="1:2" s="3067" customFormat="1">
      <c r="A28" s="3065" t="s">
        <v>2826</v>
      </c>
      <c r="B28" s="3066">
        <f>'预评函-2'!D12</f>
        <v>0</v>
      </c>
    </row>
    <row r="29" spans="1:2" s="3067" customFormat="1">
      <c r="A29" s="3065" t="s">
        <v>2887</v>
      </c>
      <c r="B29" s="3066" t="str">
        <f>'预评函-2'!B13</f>
        <v>3.房地产抵押价值</v>
      </c>
    </row>
    <row r="30" spans="1:2" s="3067" customFormat="1">
      <c r="A30" s="3065" t="s">
        <v>2888</v>
      </c>
      <c r="B30" s="3066">
        <f ca="1">'预评函-2'!D13</f>
        <v>4978</v>
      </c>
    </row>
    <row r="31" spans="1:2" s="3067" customFormat="1">
      <c r="A31" s="3065" t="s">
        <v>2861</v>
      </c>
      <c r="B31" s="3066">
        <f ca="1">'预评函-2'!D15</f>
        <v>19296</v>
      </c>
    </row>
    <row r="32" spans="1:2" s="3067" customFormat="1">
      <c r="A32" s="3065" t="s">
        <v>2827</v>
      </c>
      <c r="B32" s="3066" t="str">
        <f ca="1">'预评函-2'!D14</f>
        <v>肆仟玖佰柒拾捌万元整</v>
      </c>
    </row>
    <row r="33" spans="1:2" s="3067" customFormat="1">
      <c r="A33" s="3065" t="s">
        <v>2863</v>
      </c>
      <c r="B33" s="3066" t="str">
        <f>'预评函-2'!B16</f>
        <v>——</v>
      </c>
    </row>
    <row r="34" spans="1:2" s="3067" customFormat="1">
      <c r="A34" s="3065" t="s">
        <v>2890</v>
      </c>
      <c r="B34" s="3066" t="str">
        <f>'预评函-2'!D16</f>
        <v>——</v>
      </c>
    </row>
    <row r="35" spans="1:2" s="3067" customFormat="1">
      <c r="A35" s="3065" t="s">
        <v>2862</v>
      </c>
      <c r="B35" s="3066" t="str">
        <f>'预评函-2'!D18</f>
        <v>——</v>
      </c>
    </row>
    <row r="36" spans="1:2" s="3067" customFormat="1">
      <c r="A36" s="3065" t="s">
        <v>2828</v>
      </c>
      <c r="B36" s="3066" t="e">
        <f>'预评函-2'!D17</f>
        <v>#VALUE!</v>
      </c>
    </row>
    <row r="37" spans="1:2" s="3067" customFormat="1">
      <c r="A37" s="3065" t="s">
        <v>2864</v>
      </c>
      <c r="B37" s="3066" t="str">
        <f>'预评函-2'!B19</f>
        <v>——</v>
      </c>
    </row>
    <row r="38" spans="1:2" s="3067" customFormat="1">
      <c r="A38" s="3065" t="s">
        <v>2891</v>
      </c>
      <c r="B38" s="3066" t="str">
        <f>'预评函-2'!D19</f>
        <v>——</v>
      </c>
    </row>
    <row r="39" spans="1:2" s="3067" customFormat="1">
      <c r="A39" s="3065" t="s">
        <v>2829</v>
      </c>
      <c r="B39" s="3066" t="str">
        <f>'预评函-2'!D21</f>
        <v>——</v>
      </c>
    </row>
    <row r="40" spans="1:2" s="3067" customFormat="1">
      <c r="A40" s="3065" t="s">
        <v>2830</v>
      </c>
      <c r="B40" s="3066" t="e">
        <f>'预评函-2'!D20</f>
        <v>#VALUE!</v>
      </c>
    </row>
    <row r="41" spans="1:2" s="3067" customFormat="1">
      <c r="A41" s="3065" t="s">
        <v>2886</v>
      </c>
      <c r="B41" s="3066" t="str">
        <f>'预评函-3'!A4</f>
        <v>北京市西城区真武庙路二条10号楼1层7单元102及103共计两套商业服务用房及-1层-102号储藏用房房地产房地产</v>
      </c>
    </row>
    <row r="42" spans="1:2" s="3067" customFormat="1">
      <c r="A42" s="3065" t="s">
        <v>2884</v>
      </c>
      <c r="B42" s="3066" t="str">
        <f>'预评函-3'!B2</f>
        <v>建筑面积</v>
      </c>
    </row>
    <row r="43" spans="1:2" s="3067" customFormat="1">
      <c r="A43" s="3065" t="s">
        <v>2885</v>
      </c>
      <c r="B43" s="3066">
        <f>'预评函-3'!B4</f>
        <v>2579.75</v>
      </c>
    </row>
    <row r="44" spans="1:2" s="3067" customFormat="1">
      <c r="A44" s="3065" t="s">
        <v>2860</v>
      </c>
      <c r="B44" s="3066" t="str">
        <f>'预评函-3'!C2</f>
        <v>(分摊)土地面积</v>
      </c>
    </row>
    <row r="45" spans="1:2" s="3067" customFormat="1">
      <c r="A45" s="3065" t="s">
        <v>2831</v>
      </c>
      <c r="B45" s="3066">
        <f>'预评函-3'!C4</f>
        <v>0</v>
      </c>
    </row>
    <row r="46" spans="1:2" s="3067" customFormat="1">
      <c r="A46" s="3065" t="s">
        <v>2858</v>
      </c>
      <c r="B46" s="3066" t="str">
        <f>'预评函-3'!D2</f>
        <v>出让国有建设用地使用权价值</v>
      </c>
    </row>
    <row r="47" spans="1:2" s="3067" customFormat="1">
      <c r="A47" s="3065" t="s">
        <v>2832</v>
      </c>
      <c r="B47" s="3066">
        <f ca="1">'预评函-3'!D4</f>
        <v>3425</v>
      </c>
    </row>
    <row r="48" spans="1:2" s="3067" customFormat="1">
      <c r="A48" s="3065" t="s">
        <v>2833</v>
      </c>
      <c r="B48" s="3066">
        <f ca="1">'预评函-3'!E4</f>
        <v>13536</v>
      </c>
    </row>
    <row r="49" spans="1:2" s="3067" customFormat="1">
      <c r="A49" s="3065" t="s">
        <v>2834</v>
      </c>
      <c r="B49" s="3066" t="str">
        <f ca="1">'预评函-3'!D5</f>
        <v>叁仟肆佰贰拾伍万元整</v>
      </c>
    </row>
    <row r="50" spans="1:2" s="3067" customFormat="1">
      <c r="A50" s="3065" t="s">
        <v>2859</v>
      </c>
      <c r="B50" s="3066" t="str">
        <f>'预评函-3'!F2</f>
        <v>在建建筑物价值</v>
      </c>
    </row>
    <row r="51" spans="1:2" s="3067" customFormat="1">
      <c r="A51" s="3065" t="s">
        <v>2835</v>
      </c>
      <c r="B51" s="3066">
        <f ca="1">'预评函-3'!F4</f>
        <v>1553</v>
      </c>
    </row>
    <row r="52" spans="1:2" s="3067" customFormat="1">
      <c r="A52" s="3065" t="s">
        <v>2836</v>
      </c>
      <c r="B52" s="3066">
        <f ca="1">'预评函-3'!G4</f>
        <v>6138</v>
      </c>
    </row>
    <row r="53" spans="1:2" s="3067" customFormat="1">
      <c r="A53" s="3065" t="s">
        <v>2865</v>
      </c>
      <c r="B53" s="3066" t="str">
        <f ca="1">'预评函-3'!F5</f>
        <v>壹仟伍佰伍拾叁万元整</v>
      </c>
    </row>
    <row r="54" spans="1:2" s="3067" customFormat="1">
      <c r="A54" s="3065" t="s">
        <v>2893</v>
      </c>
      <c r="B54" s="3066" t="str">
        <f>'预评函-3'!A8</f>
        <v>房地产抵押价值</v>
      </c>
    </row>
    <row r="55" spans="1:2" s="3067" customFormat="1">
      <c r="A55" s="3065" t="s">
        <v>2866</v>
      </c>
      <c r="B55" s="3066" t="str">
        <f>'预评函-3'!A10</f>
        <v/>
      </c>
    </row>
    <row r="56" spans="1:2" s="3067" customFormat="1">
      <c r="A56" s="3065" t="s">
        <v>2867</v>
      </c>
      <c r="B56" s="3066" t="str">
        <f>'预评函-3'!A12</f>
        <v/>
      </c>
    </row>
    <row r="57" spans="1:2" s="3061" customFormat="1" ht="15" thickBot="1">
      <c r="A57" s="3068" t="s">
        <v>2894</v>
      </c>
      <c r="B57" s="3069" t="str">
        <f>'预评函-3'!A6</f>
        <v>估价师知悉的法定优先受偿款</v>
      </c>
    </row>
    <row r="58" spans="1:2" s="3064" customFormat="1" ht="15" thickTop="1">
      <c r="A58" s="3062" t="s">
        <v>2837</v>
      </c>
      <c r="B58" s="3063" t="str">
        <f>'预评函-4'!A12</f>
        <v>2.本《评估意见函》仅供金融机构进行内部审核使用，不做其他目的之用。</v>
      </c>
    </row>
    <row r="59" spans="1:2" s="3067" customFormat="1">
      <c r="A59" s="3065" t="s">
        <v>2838</v>
      </c>
      <c r="B59" s="3066" t="str">
        <f>'预评函-4'!A13</f>
        <v>3.抵押双方在办理抵押登记手续时，应使用本公司出具的正式《房地产评估报告》，特提醒报告使用者注意。</v>
      </c>
    </row>
    <row r="60" spans="1:2" s="3067" customFormat="1">
      <c r="A60" s="3065" t="s">
        <v>2839</v>
      </c>
      <c r="B60" s="3066" t="str">
        <f>'预评函-4'!A14</f>
        <v>4.本次评估估价师所知悉的法定优先受偿款情况说明如下：</v>
      </c>
    </row>
    <row r="61" spans="1:2" s="3067" customFormat="1">
      <c r="A61" s="3065" t="s">
        <v>2840</v>
      </c>
      <c r="B61" s="3066" t="str">
        <f>'预评函-4'!A15</f>
        <v>（1）根据估价对象《房屋所有权证》复印件、《国有土地使用权》复印件，截至价值时点，估价对象抵押权未见登记。</v>
      </c>
    </row>
    <row r="62" spans="1:2" s="3067" customFormat="1">
      <c r="A62" s="3065" t="s">
        <v>2841</v>
      </c>
      <c r="B62" s="3066" t="str">
        <f>'预评函-4'!A16</f>
        <v>（2）根据《工程款支付情况说明》，截至价值时点，估价对象不存在应付未付工程款项。（只要没有施工方盖章的，均“设定”进行表述）</v>
      </c>
    </row>
    <row r="63" spans="1:2" s="3067" customFormat="1">
      <c r="A63" s="3065" t="s">
        <v>2842</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2854</v>
      </c>
      <c r="B64" s="3066" t="str">
        <f>'预评函-4'!A18</f>
        <v>故，本次评估不存在估价师知悉的法定优先受偿款</v>
      </c>
    </row>
    <row r="65" spans="1:2" s="3067" customFormat="1">
      <c r="A65" s="3065" t="s">
        <v>2843</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2844</v>
      </c>
      <c r="B66" s="3066" t="str">
        <f>'预评函-4'!A20</f>
        <v/>
      </c>
    </row>
    <row r="67" spans="1:2" s="3067" customFormat="1">
      <c r="A67" s="3065" t="s">
        <v>2855</v>
      </c>
      <c r="B67" s="3066" t="str">
        <f>'预评函-4'!A21</f>
        <v/>
      </c>
    </row>
    <row r="68" spans="1:2" s="3067" customFormat="1">
      <c r="A68" s="3065" t="s">
        <v>2856</v>
      </c>
      <c r="B68" s="3066" t="str">
        <f>'预评函-4'!A22</f>
        <v>8.其他需特殊说明事项：无（注意调整序号）</v>
      </c>
    </row>
    <row r="69" spans="1:2" s="3061" customFormat="1" ht="15" thickBot="1">
      <c r="A69" s="3068" t="s">
        <v>2845</v>
      </c>
      <c r="B69" s="3070">
        <f>'预评函-4'!C31</f>
        <v>42551</v>
      </c>
    </row>
    <row r="70" spans="1:2" ht="15" thickTop="1">
      <c r="A70" s="3071" t="s">
        <v>2846</v>
      </c>
      <c r="B70" s="3072" t="str">
        <f>'预评函-4'!A4</f>
        <v>吴薇</v>
      </c>
    </row>
    <row r="71" spans="1:2">
      <c r="A71" s="3065" t="s">
        <v>2847</v>
      </c>
      <c r="B71" s="3066">
        <f ca="1">'预评函-4'!B4</f>
        <v>1419970001</v>
      </c>
    </row>
    <row r="72" spans="1:2">
      <c r="A72" s="3065" t="s">
        <v>2848</v>
      </c>
      <c r="B72" s="3074" t="str">
        <f>'预评函-4'!A5</f>
        <v>王鹏</v>
      </c>
    </row>
    <row r="73" spans="1:2" s="3061" customFormat="1" ht="15" thickBot="1">
      <c r="A73" s="3068" t="s">
        <v>2849</v>
      </c>
      <c r="B73" s="3069">
        <f ca="1">'预评函-4'!B5</f>
        <v>1120050019</v>
      </c>
    </row>
    <row r="74" spans="1:2" ht="15" thickTop="1">
      <c r="A74" s="3058" t="s">
        <v>2911</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532</v>
      </c>
      <c r="B1" s="289" t="s">
        <v>257</v>
      </c>
      <c r="C1" s="1769"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1852</v>
      </c>
      <c r="Q1" s="11" t="s">
        <v>2650</v>
      </c>
      <c r="R1" s="1486" t="s">
        <v>2640</v>
      </c>
      <c r="S1" s="290" t="s">
        <v>270</v>
      </c>
      <c r="T1" s="291" t="s">
        <v>271</v>
      </c>
      <c r="U1" s="290" t="s">
        <v>272</v>
      </c>
      <c r="V1" s="290" t="s">
        <v>273</v>
      </c>
      <c r="W1" s="1486" t="s">
        <v>1855</v>
      </c>
    </row>
    <row r="2" spans="1:23">
      <c r="A2" s="2801" t="s">
        <v>114</v>
      </c>
      <c r="B2" s="2801" t="s">
        <v>579</v>
      </c>
      <c r="C2" s="1770"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2644</v>
      </c>
      <c r="S2" s="292" t="s">
        <v>232</v>
      </c>
      <c r="T2" s="292" t="s">
        <v>233</v>
      </c>
      <c r="U2" s="292" t="s">
        <v>232</v>
      </c>
      <c r="V2" s="292" t="s">
        <v>234</v>
      </c>
      <c r="W2" s="292" t="s">
        <v>232</v>
      </c>
    </row>
    <row r="3" spans="1:23">
      <c r="A3" s="2801" t="s">
        <v>578</v>
      </c>
      <c r="B3" s="2802" t="s">
        <v>2686</v>
      </c>
      <c r="C3" s="1771"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2642</v>
      </c>
      <c r="S3" s="292" t="s">
        <v>240</v>
      </c>
      <c r="T3" s="292" t="s">
        <v>241</v>
      </c>
      <c r="U3" s="292" t="s">
        <v>240</v>
      </c>
      <c r="V3" s="292" t="s">
        <v>242</v>
      </c>
      <c r="W3" s="292" t="s">
        <v>240</v>
      </c>
    </row>
    <row r="4" spans="1:23">
      <c r="A4" s="2801" t="s">
        <v>580</v>
      </c>
      <c r="B4" s="2801" t="s">
        <v>581</v>
      </c>
      <c r="C4" s="1770" t="s">
        <v>1883</v>
      </c>
      <c r="D4" s="292" t="s">
        <v>2053</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2645</v>
      </c>
      <c r="S4" s="292" t="s">
        <v>243</v>
      </c>
      <c r="T4" s="292" t="s">
        <v>244</v>
      </c>
      <c r="U4" s="292" t="s">
        <v>243</v>
      </c>
      <c r="W4" s="292" t="s">
        <v>243</v>
      </c>
    </row>
    <row r="5" spans="1:23">
      <c r="A5" s="2801" t="s">
        <v>582</v>
      </c>
      <c r="B5" s="2802" t="s">
        <v>3097</v>
      </c>
      <c r="C5" s="1770" t="s">
        <v>1884</v>
      </c>
      <c r="F5" s="292" t="s">
        <v>245</v>
      </c>
      <c r="H5" s="292" t="s">
        <v>246</v>
      </c>
      <c r="I5" s="292" t="s">
        <v>247</v>
      </c>
      <c r="K5" s="292" t="s">
        <v>248</v>
      </c>
      <c r="L5" s="292" t="s">
        <v>248</v>
      </c>
      <c r="M5" s="292" t="s">
        <v>248</v>
      </c>
      <c r="N5" s="292" t="s">
        <v>248</v>
      </c>
      <c r="O5" s="292" t="s">
        <v>248</v>
      </c>
      <c r="P5" s="292" t="s">
        <v>248</v>
      </c>
      <c r="Q5" s="292" t="s">
        <v>248</v>
      </c>
      <c r="R5" s="2764" t="s">
        <v>2646</v>
      </c>
      <c r="S5" s="292" t="s">
        <v>248</v>
      </c>
      <c r="T5" s="292" t="s">
        <v>249</v>
      </c>
      <c r="U5" s="292" t="s">
        <v>248</v>
      </c>
      <c r="W5" s="292" t="s">
        <v>248</v>
      </c>
    </row>
    <row r="6" spans="1:23">
      <c r="A6" s="2801" t="s">
        <v>583</v>
      </c>
      <c r="B6" s="2802" t="s">
        <v>2687</v>
      </c>
      <c r="C6" s="1772" t="s">
        <v>163</v>
      </c>
      <c r="F6" s="292" t="s">
        <v>250</v>
      </c>
      <c r="H6" s="292" t="s">
        <v>251</v>
      </c>
      <c r="I6" s="292" t="s">
        <v>252</v>
      </c>
      <c r="K6" s="292" t="s">
        <v>253</v>
      </c>
      <c r="L6" s="292" t="s">
        <v>253</v>
      </c>
      <c r="M6" s="292" t="s">
        <v>253</v>
      </c>
      <c r="N6" s="292" t="s">
        <v>253</v>
      </c>
      <c r="O6" s="292" t="s">
        <v>253</v>
      </c>
      <c r="P6" s="292" t="s">
        <v>253</v>
      </c>
      <c r="Q6" s="292" t="s">
        <v>253</v>
      </c>
      <c r="R6" s="2764" t="s">
        <v>2647</v>
      </c>
      <c r="S6" s="292" t="s">
        <v>253</v>
      </c>
      <c r="T6" s="292"/>
      <c r="U6" s="292" t="s">
        <v>253</v>
      </c>
      <c r="W6" s="292" t="s">
        <v>253</v>
      </c>
    </row>
    <row r="7" spans="1:23">
      <c r="A7" s="2801" t="s">
        <v>585</v>
      </c>
      <c r="B7" s="2802" t="s">
        <v>2688</v>
      </c>
      <c r="C7" s="1770" t="s">
        <v>164</v>
      </c>
      <c r="F7" s="292" t="s">
        <v>254</v>
      </c>
      <c r="H7" s="292" t="s">
        <v>255</v>
      </c>
      <c r="I7" s="292" t="s">
        <v>256</v>
      </c>
    </row>
    <row r="8" spans="1:23">
      <c r="A8" s="2801" t="s">
        <v>587</v>
      </c>
      <c r="B8" s="2801" t="s">
        <v>584</v>
      </c>
      <c r="C8" s="1770" t="s">
        <v>1885</v>
      </c>
      <c r="F8" s="292" t="s">
        <v>283</v>
      </c>
      <c r="H8" s="292"/>
      <c r="I8" s="292" t="s">
        <v>284</v>
      </c>
    </row>
    <row r="9" spans="1:23">
      <c r="A9" s="2801" t="s">
        <v>589</v>
      </c>
      <c r="B9" s="2801" t="s">
        <v>586</v>
      </c>
      <c r="C9" s="1770" t="s">
        <v>1886</v>
      </c>
      <c r="F9" s="292" t="s">
        <v>285</v>
      </c>
      <c r="H9" s="292"/>
    </row>
    <row r="10" spans="1:23">
      <c r="A10" s="2801" t="s">
        <v>591</v>
      </c>
      <c r="B10" s="2801" t="s">
        <v>588</v>
      </c>
      <c r="C10" s="1770" t="s">
        <v>1887</v>
      </c>
      <c r="F10" s="292" t="s">
        <v>51</v>
      </c>
    </row>
    <row r="11" spans="1:23">
      <c r="A11" s="2801" t="s">
        <v>593</v>
      </c>
      <c r="B11" s="2801" t="s">
        <v>590</v>
      </c>
      <c r="C11" s="1770" t="s">
        <v>1888</v>
      </c>
    </row>
    <row r="12" spans="1:23">
      <c r="A12" s="2801" t="s">
        <v>595</v>
      </c>
      <c r="B12" s="2801" t="s">
        <v>592</v>
      </c>
      <c r="C12" s="1770" t="s">
        <v>1889</v>
      </c>
    </row>
    <row r="13" spans="1:23">
      <c r="A13" s="2801" t="s">
        <v>597</v>
      </c>
      <c r="B13" s="2801" t="s">
        <v>594</v>
      </c>
      <c r="C13" s="1770" t="s">
        <v>1890</v>
      </c>
    </row>
    <row r="14" spans="1:23">
      <c r="A14" s="2801" t="s">
        <v>599</v>
      </c>
      <c r="B14" s="2801" t="s">
        <v>596</v>
      </c>
      <c r="C14" s="292" t="s">
        <v>51</v>
      </c>
    </row>
    <row r="15" spans="1:23">
      <c r="A15" s="2801" t="s">
        <v>600</v>
      </c>
      <c r="B15" s="2801" t="s">
        <v>598</v>
      </c>
      <c r="C15" s="1773"/>
    </row>
    <row r="16" spans="1:23">
      <c r="A16" s="2801" t="s">
        <v>601</v>
      </c>
      <c r="B16" s="2801" t="s">
        <v>1871</v>
      </c>
      <c r="C16" s="1773"/>
    </row>
    <row r="17" spans="1:3">
      <c r="A17" s="2801" t="s">
        <v>602</v>
      </c>
      <c r="B17" s="2801" t="s">
        <v>3098</v>
      </c>
      <c r="C17" s="1773"/>
    </row>
    <row r="18" spans="1:3">
      <c r="A18" s="2801" t="s">
        <v>603</v>
      </c>
      <c r="B18" s="2801" t="s">
        <v>3155</v>
      </c>
      <c r="C18" s="1773"/>
    </row>
    <row r="19" spans="1:3">
      <c r="A19" s="2801" t="s">
        <v>604</v>
      </c>
      <c r="B19" s="2801" t="s">
        <v>3156</v>
      </c>
      <c r="C19" s="1773"/>
    </row>
    <row r="20" spans="1:3">
      <c r="A20" s="2801" t="s">
        <v>605</v>
      </c>
      <c r="B20" s="2801" t="s">
        <v>3165</v>
      </c>
      <c r="C20" s="1773"/>
    </row>
    <row r="21" spans="1:3">
      <c r="A21" s="2801" t="s">
        <v>606</v>
      </c>
      <c r="B21" s="2801" t="s">
        <v>3166</v>
      </c>
      <c r="C21" s="1773"/>
    </row>
    <row r="22" spans="1:3">
      <c r="A22" s="2801" t="s">
        <v>607</v>
      </c>
      <c r="B22" s="2801" t="s">
        <v>1872</v>
      </c>
      <c r="C22" s="1773"/>
    </row>
    <row r="23" spans="1:3">
      <c r="A23" s="2801" t="s">
        <v>608</v>
      </c>
      <c r="B23" s="2801" t="s">
        <v>1872</v>
      </c>
      <c r="C23" s="1773"/>
    </row>
    <row r="24" spans="1:3">
      <c r="A24" s="2801" t="s">
        <v>609</v>
      </c>
      <c r="B24" s="2801" t="s">
        <v>1872</v>
      </c>
      <c r="C24" s="1773"/>
    </row>
    <row r="25" spans="1:3">
      <c r="A25" s="2801" t="s">
        <v>610</v>
      </c>
      <c r="B25" s="2801" t="s">
        <v>1872</v>
      </c>
      <c r="C25" s="1773"/>
    </row>
    <row r="26" spans="1:3">
      <c r="A26" s="2801" t="s">
        <v>611</v>
      </c>
      <c r="B26" s="2801" t="s">
        <v>1872</v>
      </c>
      <c r="C26" s="1773"/>
    </row>
    <row r="27" spans="1:3">
      <c r="A27" s="2801" t="s">
        <v>1872</v>
      </c>
      <c r="B27" s="2801" t="s">
        <v>1872</v>
      </c>
      <c r="C27" s="1773"/>
    </row>
    <row r="28" spans="1:3">
      <c r="A28" s="2801" t="s">
        <v>1872</v>
      </c>
      <c r="B28" s="2801" t="s">
        <v>1872</v>
      </c>
      <c r="C28" s="1773"/>
    </row>
    <row r="29" spans="1:3">
      <c r="A29" s="2801" t="s">
        <v>1872</v>
      </c>
      <c r="B29" s="2801" t="s">
        <v>1872</v>
      </c>
      <c r="C29" s="1773"/>
    </row>
    <row r="30" spans="1:3">
      <c r="A30" s="2801" t="s">
        <v>1872</v>
      </c>
      <c r="B30" s="2801" t="s">
        <v>1872</v>
      </c>
      <c r="C30" s="1773"/>
    </row>
    <row r="31" spans="1:3">
      <c r="A31" s="2801" t="s">
        <v>1872</v>
      </c>
      <c r="B31" s="2801" t="s">
        <v>1872</v>
      </c>
      <c r="C31" s="1773"/>
    </row>
    <row r="32" spans="1:3">
      <c r="A32" s="2801" t="s">
        <v>1872</v>
      </c>
      <c r="B32" s="2801" t="s">
        <v>1872</v>
      </c>
      <c r="C32" s="1773"/>
    </row>
    <row r="33" spans="1:3">
      <c r="A33" s="2801" t="s">
        <v>1872</v>
      </c>
      <c r="B33" s="2801" t="s">
        <v>1872</v>
      </c>
      <c r="C33" s="1773"/>
    </row>
    <row r="34" spans="1:3">
      <c r="A34" s="2801" t="s">
        <v>1872</v>
      </c>
      <c r="B34" s="2801" t="s">
        <v>1872</v>
      </c>
      <c r="C34" s="1773"/>
    </row>
    <row r="35" spans="1:3">
      <c r="A35" s="2801" t="s">
        <v>1872</v>
      </c>
      <c r="B35" s="2801" t="s">
        <v>1872</v>
      </c>
      <c r="C35" s="1773"/>
    </row>
    <row r="36" spans="1:3">
      <c r="A36" s="2801" t="s">
        <v>1872</v>
      </c>
      <c r="B36" s="2801" t="s">
        <v>1872</v>
      </c>
      <c r="C36" s="1773"/>
    </row>
    <row r="37" spans="1:3">
      <c r="A37" s="2801" t="s">
        <v>1872</v>
      </c>
      <c r="B37" s="2801" t="s">
        <v>1872</v>
      </c>
      <c r="C37" s="1773"/>
    </row>
    <row r="38" spans="1:3">
      <c r="A38" s="2801" t="s">
        <v>1872</v>
      </c>
      <c r="B38" s="2801" t="s">
        <v>1872</v>
      </c>
      <c r="C38" s="1773"/>
    </row>
    <row r="39" spans="1:3">
      <c r="A39" s="2801" t="s">
        <v>1872</v>
      </c>
      <c r="B39" s="2801" t="s">
        <v>1872</v>
      </c>
      <c r="C39" s="1773"/>
    </row>
    <row r="40" spans="1:3">
      <c r="A40" s="2801" t="s">
        <v>1872</v>
      </c>
      <c r="B40" s="2801" t="s">
        <v>1872</v>
      </c>
      <c r="C40" s="1773"/>
    </row>
    <row r="41" spans="1:3">
      <c r="A41" s="2801" t="s">
        <v>1872</v>
      </c>
      <c r="B41" s="2801" t="s">
        <v>1872</v>
      </c>
      <c r="C41" s="1773"/>
    </row>
    <row r="42" spans="1:3">
      <c r="A42" s="2801" t="s">
        <v>1872</v>
      </c>
      <c r="B42" s="2801" t="s">
        <v>1872</v>
      </c>
      <c r="C42" s="1773"/>
    </row>
    <row r="43" spans="1:3">
      <c r="A43" s="2801" t="s">
        <v>1872</v>
      </c>
      <c r="B43" s="2801" t="s">
        <v>1872</v>
      </c>
      <c r="C43" s="1773"/>
    </row>
    <row r="44" spans="1:3">
      <c r="A44" s="2801" t="s">
        <v>1872</v>
      </c>
      <c r="B44" s="2801" t="s">
        <v>1872</v>
      </c>
      <c r="C44" s="1773"/>
    </row>
    <row r="45" spans="1:3">
      <c r="A45" s="2801" t="s">
        <v>1872</v>
      </c>
      <c r="B45" s="2801" t="s">
        <v>1872</v>
      </c>
      <c r="C45" s="1773"/>
    </row>
    <row r="46" spans="1:3">
      <c r="A46" s="2801" t="s">
        <v>1872</v>
      </c>
      <c r="B46" s="2801" t="s">
        <v>1872</v>
      </c>
      <c r="C46" s="1773"/>
    </row>
    <row r="47" spans="1:3">
      <c r="A47" s="2801" t="s">
        <v>1872</v>
      </c>
      <c r="B47" s="2801" t="s">
        <v>1872</v>
      </c>
      <c r="C47" s="1773"/>
    </row>
    <row r="48" spans="1:3">
      <c r="A48" s="2801" t="s">
        <v>1872</v>
      </c>
      <c r="B48" s="2801" t="s">
        <v>1872</v>
      </c>
      <c r="C48" s="1773"/>
    </row>
    <row r="49" spans="1:4">
      <c r="A49" s="2801" t="s">
        <v>1872</v>
      </c>
      <c r="B49" s="2801" t="s">
        <v>1872</v>
      </c>
      <c r="C49" s="1773"/>
    </row>
    <row r="50" spans="1:4">
      <c r="A50" s="2801" t="s">
        <v>1872</v>
      </c>
      <c r="B50" s="2801" t="s">
        <v>1872</v>
      </c>
      <c r="C50" s="1773"/>
    </row>
    <row r="51" spans="1:4">
      <c r="A51" s="1952" t="s">
        <v>2018</v>
      </c>
      <c r="B51" s="2095" t="str">
        <f>"为估价委托人在向"&amp;项目基本情况!B6&amp;"办理贷款手续过程中，确定房地产抵押贷款额度提供参考依据而评估房地产抵押价值。"</f>
        <v>为估价委托人在向中国民生银行股份有限公司办理贷款手续过程中，确定房地产抵押贷款额度提供参考依据而评估房地产抵押价值。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润丰源资产管理有限公司拟使用北京市西城区真武庙路二条10号楼1层7单元102及103共计两套商业服务用房及-1层-102号储藏用房房地产房地产作为抵押担保物，向中国民生银行股份有限公司办理贷款手续。中国民生银行股份有限公司特委托北京康正宏基房地产评估有限公司对上述抵押物进行评估。本次评估为确定房地产抵押贷款额度提供参考依据而评估房地产抵押价值。</v>
      </c>
      <c r="D51" s="2095" t="s">
        <v>2874</v>
      </c>
    </row>
    <row r="52" spans="1:4">
      <c r="A52" s="1952" t="s">
        <v>2021</v>
      </c>
      <c r="B52" s="1952" t="s">
        <v>2022</v>
      </c>
      <c r="C52" s="1161" t="s">
        <v>2023</v>
      </c>
      <c r="D52" s="1161" t="s">
        <v>2024</v>
      </c>
    </row>
    <row r="53" spans="1:4">
      <c r="A53" s="3419" t="s">
        <v>2025</v>
      </c>
      <c r="B53" s="2095" t="s">
        <v>2026</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商业服务用房、仓储用房土地取得方式为出让，出让国有建设用地使用权剩余土地使用年限为XX年(多用途剩余年限尾数不同时，可只体现小数点后一位)，假定未设立法定优先受偿款下的房地产市场价值。</v>
      </c>
    </row>
    <row r="54" spans="1:4">
      <c r="A54" s="3419"/>
      <c r="B54" s="2095" t="s">
        <v>2027</v>
      </c>
      <c r="C54" s="1161" t="s">
        <v>2871</v>
      </c>
    </row>
    <row r="55" spans="1:4">
      <c r="A55" s="3419"/>
      <c r="B55" s="2095" t="s">
        <v>2028</v>
      </c>
      <c r="C55" s="1161" t="s">
        <v>2872</v>
      </c>
    </row>
    <row r="56" spans="1:4">
      <c r="A56" s="3419"/>
      <c r="B56" s="2095" t="s">
        <v>2029</v>
      </c>
      <c r="C56" s="1161" t="s">
        <v>2882</v>
      </c>
    </row>
    <row r="57" spans="1:4">
      <c r="A57" s="3419"/>
      <c r="B57" s="2095" t="s">
        <v>2030</v>
      </c>
      <c r="C57" s="1161" t="s">
        <v>2873</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2132</v>
      </c>
      <c r="B1" s="3428" t="str">
        <f>IF(B10="北京市","北京市",C10)&amp;F10&amp;IF(结果表仓储!G1="在建","出让国有建设用地使用权及在建建筑物",IF(结果表仓储!G1="土地","出让国有建设用地使用权",))&amp;B9&amp;"预评估"</f>
        <v>北京市西城区真武庙路二条10号楼1层7单元102及103共计两套商业服务用房及-1层-102号储藏用房房地产房地产抵押价值预评估</v>
      </c>
      <c r="C1" s="3429"/>
      <c r="D1" s="3429"/>
      <c r="E1" s="3429"/>
      <c r="F1" s="3429"/>
      <c r="G1" s="3429"/>
      <c r="H1" s="3429"/>
      <c r="I1" s="3430"/>
      <c r="J1" s="1996"/>
      <c r="K1" s="2102"/>
      <c r="L1" s="1997"/>
      <c r="M1" s="1997"/>
      <c r="N1" s="1196"/>
      <c r="O1" s="11"/>
      <c r="P1" s="1196"/>
      <c r="Q1" s="1196"/>
      <c r="R1" s="1196"/>
      <c r="S1" s="1195" t="str">
        <f>IF(B10="北京市","北京市",C10)&amp;F10&amp;IF(结果表仓储!G1="在建","出让国有建设用地使用权及在建建筑物房地产抵押价值",IF(结果表仓储!G1="土地","出让国有建设用地使用权抵押价值",B9))</f>
        <v>北京市西城区真武庙路二条10号楼1层7单元102及103共计两套商业服务用房及-1层-102号储藏用房房地产房地产抵押价值</v>
      </c>
    </row>
    <row r="2" spans="1:19" ht="18" customHeight="1">
      <c r="A2" s="1996" t="s">
        <v>2133</v>
      </c>
      <c r="B2" s="1943"/>
      <c r="C2" s="1998"/>
      <c r="D2" s="1996"/>
      <c r="E2" s="1999"/>
      <c r="F2" s="1999"/>
      <c r="G2" s="1996"/>
      <c r="H2" s="1996"/>
      <c r="I2" s="1996"/>
      <c r="J2" s="1996"/>
      <c r="K2" s="2102"/>
      <c r="L2" s="1997"/>
      <c r="M2" s="1997"/>
      <c r="N2" s="1196"/>
      <c r="O2" s="11"/>
      <c r="P2" s="1196"/>
      <c r="Q2" s="1196"/>
      <c r="R2" s="1196"/>
      <c r="S2" s="1195" t="str">
        <f>IF(B10="北京市","北京市",C10)&amp;F10&amp;IF(结果表仓储!G1="在建","出让国有建设用地使用权及在建建筑物房地产",IF(结果表仓储!G1="土地","出让国有建设用地使用权","房地产"))</f>
        <v>北京市西城区真武庙路二条10号楼1层7单元102及103共计两套商业服务用房及-1层-102号储藏用房房地产房地产</v>
      </c>
    </row>
    <row r="3" spans="1:19" ht="18" customHeight="1">
      <c r="A3" s="1941" t="s">
        <v>2011</v>
      </c>
      <c r="B3" s="3238">
        <v>43040</v>
      </c>
      <c r="C3" s="1924" t="s">
        <v>2012</v>
      </c>
      <c r="D3" s="3238">
        <f>B3</f>
        <v>43040</v>
      </c>
      <c r="E3" s="1996"/>
      <c r="F3" s="1996"/>
      <c r="G3" s="1996"/>
      <c r="H3" s="1996"/>
      <c r="I3" s="1996"/>
      <c r="J3" s="1996"/>
      <c r="K3" s="2102"/>
      <c r="L3" s="1997"/>
      <c r="M3" s="1997"/>
      <c r="N3" s="1196"/>
      <c r="O3" s="11"/>
      <c r="P3" s="1196"/>
      <c r="Q3" s="1196"/>
      <c r="R3" s="1196"/>
      <c r="S3" s="1195"/>
    </row>
    <row r="4" spans="1:19" ht="18" customHeight="1" thickBot="1">
      <c r="A4" s="1925" t="s">
        <v>2013</v>
      </c>
      <c r="B4" s="1926" t="s">
        <v>3086</v>
      </c>
      <c r="C4" s="1927">
        <f ca="1">SUMIF(注册房地产估价师,B4,估价师及机构信息!B3:B24)</f>
        <v>1419970001</v>
      </c>
      <c r="D4" s="1926" t="s">
        <v>3087</v>
      </c>
      <c r="E4" s="1928">
        <f ca="1">SUMIF(注册房地产估价师,D4,估价师及机构信息!B3:B24)</f>
        <v>1120050019</v>
      </c>
      <c r="F4" s="1926" t="s">
        <v>530</v>
      </c>
      <c r="G4" s="1955">
        <f>SUMIF(注册房地产估价师,F4,估价师及机构信息!B3:B24)</f>
        <v>0</v>
      </c>
      <c r="H4" s="1926" t="s">
        <v>530</v>
      </c>
      <c r="I4" s="2890">
        <f>SUMIF(注册房地产估价师,H4,估价师及机构信息!B3:B24)</f>
        <v>0</v>
      </c>
      <c r="J4" s="2001"/>
      <c r="K4" s="2103" t="str">
        <f ca="1">CONCATENATE(B4,"（注册号：",C4,")、",D4,"（注册号：",E4,")")</f>
        <v>吴薇（注册号：1419970001)、王鹏（注册号：1120050019)</v>
      </c>
      <c r="L4" s="1997"/>
      <c r="M4" s="1997"/>
      <c r="N4" s="1196"/>
      <c r="O4" s="11"/>
      <c r="P4" s="1196"/>
      <c r="Q4" s="1196"/>
      <c r="R4" s="1196"/>
      <c r="S4" s="1195"/>
    </row>
    <row r="5" spans="1:19" ht="18" customHeight="1" thickTop="1">
      <c r="A5" s="1929" t="s">
        <v>2097</v>
      </c>
      <c r="B5" s="3293" t="s">
        <v>3088</v>
      </c>
      <c r="C5" s="2040"/>
      <c r="D5" s="2002"/>
      <c r="E5" s="2001"/>
      <c r="F5" s="2001"/>
      <c r="G5" s="2001"/>
      <c r="H5" s="2001"/>
      <c r="I5" s="2001"/>
      <c r="J5" s="2001"/>
      <c r="K5" s="2103" t="str">
        <f>IF(F4="——","",IF(H4="——",F4&amp;"（注册号："&amp;G4&amp;")",CONCATENATE(F4,"（注册号：",G4,")、",H4,"（注册号：",I4,")")))</f>
        <v/>
      </c>
      <c r="L5" s="1997"/>
      <c r="M5" s="1997"/>
      <c r="N5" s="1196"/>
      <c r="O5" s="11"/>
      <c r="P5" s="1196"/>
      <c r="Q5" s="1196"/>
      <c r="R5" s="1196"/>
    </row>
    <row r="6" spans="1:19" ht="18" customHeight="1">
      <c r="A6" s="1930" t="s">
        <v>2098</v>
      </c>
      <c r="B6" s="2041" t="s">
        <v>3089</v>
      </c>
      <c r="C6" s="2042"/>
      <c r="D6" s="2003"/>
      <c r="E6" s="1999"/>
      <c r="F6" s="2001"/>
      <c r="G6" s="2001"/>
      <c r="H6" s="2001"/>
      <c r="I6" s="2001"/>
      <c r="J6" s="2001"/>
      <c r="K6" s="2108" t="str">
        <f>IF(COUNTIF(B6,"*上海银行*"),"上海银行","")</f>
        <v/>
      </c>
      <c r="L6" s="1997"/>
      <c r="M6" s="1997"/>
      <c r="N6" s="1196"/>
      <c r="O6" s="11"/>
      <c r="P6" s="1196"/>
      <c r="Q6" s="1196"/>
      <c r="R6" s="1196"/>
    </row>
    <row r="7" spans="1:19" ht="18" customHeight="1">
      <c r="A7" s="1930" t="s">
        <v>2877</v>
      </c>
      <c r="B7" s="3294" t="str">
        <f>B5</f>
        <v>北京世纪润丰源资产管理有限公司</v>
      </c>
      <c r="C7" s="2042"/>
      <c r="D7" s="2003"/>
      <c r="E7" s="1999"/>
      <c r="F7" s="2001"/>
      <c r="G7" s="2001"/>
      <c r="H7" s="2001"/>
      <c r="I7" s="2001"/>
      <c r="J7" s="2001"/>
      <c r="K7" s="2104"/>
      <c r="L7" s="1997"/>
      <c r="M7" s="1997"/>
      <c r="N7" s="1196"/>
      <c r="O7" s="11"/>
      <c r="P7" s="1196"/>
      <c r="Q7" s="1196"/>
      <c r="R7" s="1196"/>
    </row>
    <row r="8" spans="1:19" ht="18" customHeight="1">
      <c r="A8" s="1930" t="s">
        <v>1959</v>
      </c>
      <c r="B8" s="2035" t="s">
        <v>3057</v>
      </c>
      <c r="C8" s="2004"/>
      <c r="D8" s="3431" t="s">
        <v>2020</v>
      </c>
      <c r="E8" s="2036" t="s">
        <v>3058</v>
      </c>
      <c r="F8" s="2037"/>
      <c r="G8" s="1996"/>
      <c r="H8" s="1996"/>
      <c r="I8" s="1996"/>
      <c r="J8" s="2001"/>
      <c r="K8" s="2103"/>
      <c r="L8" s="1997"/>
      <c r="M8" s="1997"/>
      <c r="N8" s="1196"/>
      <c r="O8" s="11"/>
      <c r="P8" s="1196"/>
      <c r="Q8" s="1196"/>
      <c r="R8" s="1196"/>
    </row>
    <row r="9" spans="1:19" ht="18" customHeight="1" thickBot="1">
      <c r="A9" s="1955" t="s">
        <v>1960</v>
      </c>
      <c r="B9" s="1956" t="s">
        <v>3058</v>
      </c>
      <c r="C9" s="2005"/>
      <c r="D9" s="3432"/>
      <c r="E9" s="1956" t="s">
        <v>530</v>
      </c>
      <c r="F9" s="2893"/>
      <c r="G9" s="2000"/>
      <c r="H9" s="2000"/>
      <c r="I9" s="2000"/>
      <c r="J9" s="2001"/>
      <c r="K9" s="2104"/>
      <c r="L9" s="1997"/>
      <c r="M9" s="1997"/>
      <c r="N9" s="1196"/>
      <c r="O9" s="11"/>
      <c r="P9" s="1196"/>
      <c r="Q9" s="1196"/>
      <c r="R9" s="1196"/>
    </row>
    <row r="10" spans="1:19" ht="18" customHeight="1" thickTop="1">
      <c r="A10" s="2010" t="s">
        <v>2069</v>
      </c>
      <c r="B10" s="2056" t="s">
        <v>3059</v>
      </c>
      <c r="C10" s="2038"/>
      <c r="D10" s="2002"/>
      <c r="E10" s="1940" t="s">
        <v>1961</v>
      </c>
      <c r="F10" s="1953" t="s">
        <v>3090</v>
      </c>
      <c r="G10" s="2891"/>
      <c r="H10" s="2892"/>
      <c r="I10" s="2002"/>
      <c r="J10" s="2001"/>
      <c r="K10" s="2104"/>
      <c r="L10" s="1997"/>
      <c r="M10" s="1997"/>
      <c r="N10" s="1196"/>
      <c r="O10" s="11"/>
      <c r="P10" s="1196"/>
      <c r="Q10" s="1196"/>
      <c r="R10" s="1196"/>
    </row>
    <row r="11" spans="1:19" ht="18" customHeight="1">
      <c r="A11" s="1959" t="s">
        <v>2070</v>
      </c>
      <c r="B11" s="2055" t="s">
        <v>3060</v>
      </c>
      <c r="C11" s="2039"/>
      <c r="D11" s="2006"/>
      <c r="E11" s="2001"/>
      <c r="F11" s="2001"/>
      <c r="G11" s="2001"/>
      <c r="H11" s="2001"/>
      <c r="I11" s="2001"/>
      <c r="J11" s="2001"/>
      <c r="K11" s="2104"/>
      <c r="L11" s="1997"/>
      <c r="M11" s="1997"/>
      <c r="N11" s="1196"/>
      <c r="O11" s="11"/>
      <c r="P11" s="1196"/>
      <c r="Q11" s="1196"/>
      <c r="R11" s="1196"/>
    </row>
    <row r="12" spans="1:19" ht="18" customHeight="1">
      <c r="A12" s="2054" t="s">
        <v>2096</v>
      </c>
      <c r="B12" s="2055" t="s">
        <v>2031</v>
      </c>
      <c r="C12" s="2013" t="s">
        <v>2100</v>
      </c>
      <c r="D12" s="2025" t="s">
        <v>1953</v>
      </c>
      <c r="E12" s="2025" t="s">
        <v>2712</v>
      </c>
      <c r="F12" s="2025" t="s">
        <v>2713</v>
      </c>
      <c r="G12" s="2025" t="s">
        <v>2714</v>
      </c>
      <c r="H12" s="2025" t="s">
        <v>2715</v>
      </c>
      <c r="I12" s="2025" t="s">
        <v>2716</v>
      </c>
      <c r="J12" s="2001"/>
      <c r="K12" s="2104"/>
      <c r="L12" s="1997"/>
      <c r="M12" s="1997"/>
      <c r="N12" s="1196"/>
      <c r="O12" s="11"/>
      <c r="P12" s="1196"/>
      <c r="Q12" s="1196"/>
      <c r="R12" s="1196"/>
    </row>
    <row r="13" spans="1:19" ht="18" customHeight="1">
      <c r="A13" s="2009"/>
      <c r="B13" s="2084"/>
      <c r="C13" s="2085" t="s">
        <v>2099</v>
      </c>
      <c r="D13" s="3237">
        <v>63481</v>
      </c>
      <c r="E13" s="3237">
        <v>52523</v>
      </c>
      <c r="F13" s="3237"/>
      <c r="G13" s="3237"/>
      <c r="H13" s="3237">
        <v>56176</v>
      </c>
      <c r="I13" s="2050"/>
      <c r="J13" s="2001"/>
      <c r="K13" s="2104"/>
      <c r="L13" s="1997"/>
      <c r="M13" s="1997"/>
      <c r="N13" s="1196"/>
      <c r="O13" s="11"/>
      <c r="P13" s="1196"/>
      <c r="Q13" s="1196"/>
      <c r="R13" s="1196"/>
    </row>
    <row r="14" spans="1:19" ht="18" customHeight="1">
      <c r="A14" s="2009"/>
      <c r="B14" s="2084"/>
      <c r="C14" s="2085" t="s">
        <v>2101</v>
      </c>
      <c r="D14" s="2053">
        <v>70</v>
      </c>
      <c r="E14" s="2053">
        <v>40</v>
      </c>
      <c r="F14" s="2053"/>
      <c r="G14" s="2053"/>
      <c r="H14" s="2053">
        <v>50</v>
      </c>
      <c r="I14" s="2053"/>
      <c r="J14" s="2001"/>
      <c r="K14" s="2105"/>
      <c r="L14" s="1997"/>
      <c r="M14" s="1997"/>
      <c r="N14" s="1196"/>
      <c r="O14" s="11"/>
      <c r="P14" s="1196"/>
      <c r="Q14" s="1196"/>
      <c r="R14" s="1196"/>
    </row>
    <row r="15" spans="1:19" ht="18" customHeight="1">
      <c r="A15" s="2010"/>
      <c r="B15" s="2086"/>
      <c r="C15" s="2085" t="s">
        <v>2102</v>
      </c>
      <c r="D15" s="2052">
        <f>IF(B12="出让",IF(D13="","",ROUNDDOWN(MIN((D13-$D$3)/365,D14),2)),D14)</f>
        <v>56</v>
      </c>
      <c r="E15" s="2052">
        <f>IF(B12="出让",IF(E13="","",ROUNDDOWN(MIN((E13-$D$3)/365,E14),2)),E14)</f>
        <v>25.98</v>
      </c>
      <c r="F15" s="2052" t="str">
        <f>IF(B12="出让",IF(F13="","",ROUNDDOWN(MIN((F13-$D$3)/365,F14),2)),F14)</f>
        <v/>
      </c>
      <c r="G15" s="2052" t="str">
        <f>IF(B12="出让",IF(G13="","",ROUNDDOWN(MIN((G13-$D$3)/365,G14),2)),G14)</f>
        <v/>
      </c>
      <c r="H15" s="2052">
        <f>IF(B12="出让",IF(H13="","",ROUNDDOWN(MIN((H13-$D$3)/365,H14),2)),H14)</f>
        <v>35.979999999999997</v>
      </c>
      <c r="I15" s="2052" t="str">
        <f>IF(B12="出让",IF(I13="","",ROUNDDOWN(MIN((I13-$D$3)/365,I14),2)),I14)</f>
        <v/>
      </c>
      <c r="J15" s="2001"/>
      <c r="K15" s="2106"/>
      <c r="L15" s="1230"/>
      <c r="M15" s="1230"/>
      <c r="N15" s="2021"/>
      <c r="O15" s="1230"/>
      <c r="P15" s="2021"/>
      <c r="Q15" s="1196"/>
      <c r="R15" s="1196"/>
    </row>
    <row r="16" spans="1:19" ht="30.75" customHeight="1">
      <c r="A16" s="1940" t="s">
        <v>2103</v>
      </c>
      <c r="B16" s="3438" t="s">
        <v>3091</v>
      </c>
      <c r="C16" s="3439"/>
      <c r="D16" s="3440"/>
      <c r="E16" s="1957" t="s">
        <v>2032</v>
      </c>
      <c r="F16" s="3441" t="s">
        <v>3092</v>
      </c>
      <c r="G16" s="3442"/>
      <c r="H16" s="3442"/>
      <c r="I16" s="3443"/>
      <c r="J16" s="1196"/>
      <c r="K16" s="2106"/>
      <c r="L16" s="1230"/>
      <c r="M16" s="1230"/>
      <c r="N16" s="2021"/>
      <c r="O16" s="1230"/>
      <c r="P16" s="2021"/>
      <c r="Q16" s="1196"/>
      <c r="R16" s="1196"/>
    </row>
    <row r="17" spans="1:22" ht="18" customHeight="1">
      <c r="A17" s="2008" t="s">
        <v>1962</v>
      </c>
      <c r="B17" s="1941" t="s">
        <v>1963</v>
      </c>
      <c r="C17" s="2087">
        <f>'数据-汇总表'!E3</f>
        <v>2579.75</v>
      </c>
      <c r="D17" s="1942" t="s">
        <v>1964</v>
      </c>
      <c r="E17" s="3444" t="s">
        <v>3093</v>
      </c>
      <c r="F17" s="3445"/>
      <c r="G17" s="3445"/>
      <c r="H17" s="3445"/>
      <c r="I17" s="3446"/>
      <c r="J17" s="1196"/>
      <c r="K17" s="2697"/>
      <c r="L17" s="1230"/>
      <c r="M17" s="1230"/>
      <c r="N17" s="2021"/>
      <c r="O17" s="1230"/>
      <c r="P17" s="2021"/>
      <c r="Q17" s="1196"/>
      <c r="R17" s="1196"/>
      <c r="S17" s="1196"/>
      <c r="T17" s="1196"/>
      <c r="U17" s="1196"/>
      <c r="V17" s="1196"/>
    </row>
    <row r="18" spans="1:22" ht="36" customHeight="1" thickBot="1">
      <c r="A18" s="2899" t="s">
        <v>530</v>
      </c>
      <c r="B18" s="1925" t="s">
        <v>1965</v>
      </c>
      <c r="C18" s="2900">
        <f>'数据-汇总表'!D3</f>
        <v>0</v>
      </c>
      <c r="D18" s="2901" t="s">
        <v>1964</v>
      </c>
      <c r="E18" s="3447"/>
      <c r="F18" s="3448"/>
      <c r="G18" s="3448"/>
      <c r="H18" s="3448"/>
      <c r="I18" s="3449"/>
      <c r="J18" s="1196"/>
      <c r="K18" s="2697"/>
      <c r="L18" s="1230"/>
      <c r="M18" s="1230"/>
      <c r="N18" s="2021"/>
      <c r="O18" s="1230"/>
      <c r="P18" s="2021"/>
      <c r="Q18" s="1196"/>
      <c r="R18" s="1196"/>
      <c r="S18" s="1196"/>
      <c r="T18" s="1196"/>
      <c r="U18" s="1196"/>
      <c r="V18" s="1196"/>
    </row>
    <row r="19" spans="1:22" ht="37.5" customHeight="1" thickTop="1" thickBot="1">
      <c r="A19" s="2898" t="s">
        <v>2051</v>
      </c>
      <c r="B19" s="2061" t="s">
        <v>2052</v>
      </c>
      <c r="C19" s="2062" t="s">
        <v>41</v>
      </c>
      <c r="D19" s="2044" t="s">
        <v>2055</v>
      </c>
      <c r="E19" s="2043" t="s">
        <v>530</v>
      </c>
      <c r="F19" s="2045" t="str">
        <f>IF(AND(C19="是",E19="否"),"是否提供他项权证或相关说明","")</f>
        <v/>
      </c>
      <c r="G19" s="2046" t="s">
        <v>530</v>
      </c>
      <c r="H19" s="2001"/>
      <c r="I19" s="2001"/>
      <c r="J19" s="2001"/>
      <c r="K19" s="2104"/>
      <c r="L19" s="1997"/>
      <c r="M19" s="1997"/>
      <c r="N19" s="2021"/>
      <c r="O19" s="1230"/>
      <c r="P19" s="2021"/>
      <c r="Q19" s="1196"/>
      <c r="R19" s="1196"/>
      <c r="S19" s="1196"/>
      <c r="T19" s="1196"/>
      <c r="U19" s="1196"/>
      <c r="V19" s="1196"/>
    </row>
    <row r="20" spans="1:22" ht="18" customHeight="1">
      <c r="A20" s="2063" t="s">
        <v>2056</v>
      </c>
      <c r="B20" s="3434" t="s">
        <v>2057</v>
      </c>
      <c r="C20" s="3435"/>
      <c r="D20" s="3436" t="s">
        <v>2058</v>
      </c>
      <c r="E20" s="3437"/>
      <c r="F20" s="2069" t="s">
        <v>2059</v>
      </c>
      <c r="G20" s="2001"/>
      <c r="H20" s="2001"/>
      <c r="I20" s="2001"/>
      <c r="J20" s="2001"/>
      <c r="K20" s="3433" t="s">
        <v>2054</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7"/>
      <c r="N20" s="2021"/>
      <c r="O20" s="1230"/>
      <c r="P20" s="2021"/>
      <c r="Q20" s="1196"/>
      <c r="R20" s="1196"/>
      <c r="S20" s="1196"/>
      <c r="T20" s="1196"/>
      <c r="U20" s="1196"/>
      <c r="V20" s="1196"/>
    </row>
    <row r="21" spans="1:22" ht="24.75" customHeight="1">
      <c r="A21" s="2063"/>
      <c r="B21" s="2064" t="s">
        <v>2060</v>
      </c>
      <c r="C21" s="2033" t="s">
        <v>2062</v>
      </c>
      <c r="D21" s="1990"/>
      <c r="E21" s="2034" t="s">
        <v>530</v>
      </c>
      <c r="F21" s="1979"/>
      <c r="G21" s="2001"/>
      <c r="H21" s="2001"/>
      <c r="I21" s="2001"/>
      <c r="J21" s="2001"/>
      <c r="K21" s="3433"/>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30"/>
      <c r="P21" s="2021"/>
      <c r="Q21" s="1196"/>
      <c r="R21" s="1196"/>
      <c r="S21" s="1196"/>
      <c r="T21" s="1196"/>
      <c r="U21" s="1196"/>
      <c r="V21" s="1196"/>
    </row>
    <row r="22" spans="1:22" ht="24.75" customHeight="1" thickBot="1">
      <c r="A22" s="2063"/>
      <c r="B22" s="2065" t="s">
        <v>2061</v>
      </c>
      <c r="C22" s="2033" t="s">
        <v>2062</v>
      </c>
      <c r="D22" s="1996"/>
      <c r="E22" s="1996"/>
      <c r="F22" s="2070"/>
      <c r="G22" s="2001"/>
      <c r="H22" s="2001"/>
      <c r="I22" s="2001"/>
      <c r="J22" s="2001"/>
      <c r="K22" s="3433"/>
      <c r="L22" s="2611" t="str">
        <f>IF(E19="否","",IF(结果表仓储!D36="同一抵押权人同一抵押物续贷","由于本次评估为同一抵押权人的续贷房地产抵押估价，故未将已抵押担保的债权数额（"&amp;C26&amp;"）作为法定优先受偿款予以扣减。",IF(结果表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2063</v>
      </c>
      <c r="B23" s="2066" t="s">
        <v>2064</v>
      </c>
      <c r="C23" s="2067"/>
      <c r="D23" s="1980" t="s">
        <v>2064</v>
      </c>
      <c r="E23" s="1988"/>
      <c r="F23" s="2070"/>
      <c r="G23" s="2001"/>
      <c r="H23" s="2001"/>
      <c r="I23" s="2001"/>
      <c r="J23" s="2001"/>
      <c r="K23" s="226"/>
      <c r="L23" s="2611"/>
      <c r="M23" s="1997"/>
      <c r="N23" s="2021"/>
      <c r="O23" s="1230"/>
      <c r="P23" s="2021"/>
      <c r="Q23" s="1196"/>
      <c r="R23" s="1196"/>
      <c r="S23" s="1196"/>
      <c r="T23" s="1196"/>
      <c r="U23" s="1196"/>
      <c r="V23" s="1196"/>
    </row>
    <row r="24" spans="1:22" ht="18" customHeight="1">
      <c r="A24" s="1981"/>
      <c r="B24" s="2066" t="s">
        <v>2065</v>
      </c>
      <c r="C24" s="2068"/>
      <c r="D24" s="1978" t="s">
        <v>2065</v>
      </c>
      <c r="E24" s="1989"/>
      <c r="F24" s="2070"/>
      <c r="G24" s="2001"/>
      <c r="H24" s="2001"/>
      <c r="I24" s="2001"/>
      <c r="J24" s="2001"/>
      <c r="K24" s="226"/>
      <c r="L24" s="2611"/>
      <c r="M24" s="1997"/>
      <c r="N24" s="2021"/>
      <c r="O24" s="1230"/>
      <c r="P24" s="2021"/>
      <c r="Q24" s="1196"/>
      <c r="R24" s="1196"/>
      <c r="S24" s="1196"/>
      <c r="T24" s="1196"/>
      <c r="U24" s="1196"/>
      <c r="V24" s="1196"/>
    </row>
    <row r="25" spans="1:22" ht="18" customHeight="1">
      <c r="A25" s="1981"/>
      <c r="B25" s="2066" t="s">
        <v>2066</v>
      </c>
      <c r="C25" s="2068"/>
      <c r="D25" s="1978" t="s">
        <v>2066</v>
      </c>
      <c r="E25" s="1989"/>
      <c r="F25" s="2070"/>
      <c r="G25" s="2001"/>
      <c r="H25" s="2001"/>
      <c r="I25" s="2001"/>
      <c r="J25" s="2001"/>
      <c r="K25" s="2104"/>
      <c r="L25" s="1997"/>
      <c r="M25" s="1997"/>
      <c r="N25" s="2021"/>
      <c r="O25" s="1230"/>
      <c r="P25" s="2021"/>
      <c r="Q25" s="1196"/>
      <c r="R25" s="1196"/>
      <c r="S25" s="1196"/>
      <c r="T25" s="1196"/>
      <c r="U25" s="1196"/>
      <c r="V25" s="1196"/>
    </row>
    <row r="26" spans="1:22" ht="18" customHeight="1" thickBot="1">
      <c r="A26" s="2058"/>
      <c r="B26" s="2071" t="s">
        <v>2067</v>
      </c>
      <c r="C26" s="2072"/>
      <c r="D26" s="2060" t="s">
        <v>2067</v>
      </c>
      <c r="E26" s="2059"/>
      <c r="F26" s="2073"/>
      <c r="G26" s="2000"/>
      <c r="H26" s="2000"/>
      <c r="I26" s="2000"/>
      <c r="J26" s="2001"/>
      <c r="K26" s="2104"/>
      <c r="L26" s="1997"/>
      <c r="M26" s="1997"/>
      <c r="N26" s="2021"/>
      <c r="O26" s="1230"/>
      <c r="P26" s="2021"/>
      <c r="Q26" s="1196"/>
      <c r="R26" s="1196"/>
      <c r="S26" s="1196"/>
      <c r="T26" s="1196"/>
      <c r="U26" s="1196"/>
      <c r="V26" s="1196"/>
    </row>
    <row r="27" spans="1:22" ht="18" customHeight="1" thickTop="1">
      <c r="A27" s="3421" t="s">
        <v>2071</v>
      </c>
      <c r="B27" s="2010" t="s">
        <v>2072</v>
      </c>
      <c r="C27" s="1931" t="s">
        <v>3079</v>
      </c>
      <c r="D27" s="1932"/>
      <c r="E27" s="2001"/>
      <c r="F27" s="2001"/>
      <c r="G27" s="2001"/>
      <c r="H27" s="2001"/>
      <c r="I27" s="2001"/>
      <c r="J27" s="1196"/>
      <c r="K27" s="2106"/>
      <c r="L27" s="1230"/>
      <c r="M27" s="1230"/>
      <c r="N27" s="2021"/>
      <c r="O27" s="1230"/>
      <c r="P27" s="2021"/>
      <c r="Q27" s="1196"/>
      <c r="R27" s="1196"/>
      <c r="S27" s="1196"/>
      <c r="T27" s="1196"/>
      <c r="U27" s="1196"/>
      <c r="V27" s="1196"/>
    </row>
    <row r="28" spans="1:22" ht="18" customHeight="1">
      <c r="A28" s="3421"/>
      <c r="B28" s="1941" t="s">
        <v>2073</v>
      </c>
      <c r="C28" s="1933" t="s">
        <v>150</v>
      </c>
      <c r="D28" s="1934"/>
      <c r="E28" s="2001"/>
      <c r="F28" s="2001"/>
      <c r="G28" s="2001"/>
      <c r="H28" s="2001"/>
      <c r="I28" s="2001"/>
      <c r="J28" s="1196"/>
      <c r="K28" s="2110"/>
      <c r="L28" s="1997"/>
      <c r="M28" s="1997"/>
      <c r="N28" s="1196"/>
      <c r="O28" s="11"/>
      <c r="P28" s="1196"/>
      <c r="Q28" s="1196"/>
      <c r="R28" s="1196"/>
      <c r="S28" s="1196"/>
      <c r="T28" s="1196"/>
      <c r="U28" s="1196"/>
      <c r="V28" s="1196"/>
    </row>
    <row r="29" spans="1:22" ht="18" customHeight="1">
      <c r="A29" s="3421"/>
      <c r="B29" s="1941" t="s">
        <v>2074</v>
      </c>
      <c r="C29" s="1935" t="s">
        <v>41</v>
      </c>
      <c r="D29" s="1936"/>
      <c r="E29" s="2001"/>
      <c r="F29" s="2001"/>
      <c r="G29" s="2001"/>
      <c r="H29" s="2001"/>
      <c r="I29" s="2001"/>
      <c r="J29" s="1196"/>
      <c r="K29" s="2110"/>
      <c r="L29" s="1997"/>
      <c r="M29" s="1997"/>
      <c r="N29" s="1196"/>
      <c r="O29" s="11"/>
      <c r="P29" s="1196"/>
      <c r="Q29" s="1196"/>
      <c r="R29" s="1196"/>
      <c r="S29" s="1196"/>
      <c r="T29" s="1196"/>
      <c r="U29" s="1196"/>
      <c r="V29" s="1196"/>
    </row>
    <row r="30" spans="1:22" ht="18" customHeight="1">
      <c r="A30" s="3422"/>
      <c r="B30" s="1941" t="s">
        <v>2075</v>
      </c>
      <c r="C30" s="3423"/>
      <c r="D30" s="3424"/>
      <c r="E30" s="2001"/>
      <c r="F30" s="2001"/>
      <c r="G30" s="2001"/>
      <c r="H30" s="2001"/>
      <c r="I30" s="2001"/>
      <c r="J30" s="1196"/>
      <c r="K30" s="2110"/>
      <c r="L30" s="1997"/>
      <c r="M30" s="1997"/>
      <c r="N30" s="1196"/>
      <c r="O30" s="11"/>
      <c r="P30" s="1196"/>
      <c r="Q30" s="1196"/>
      <c r="R30" s="1196"/>
      <c r="S30" s="1196"/>
      <c r="T30" s="1196"/>
      <c r="U30" s="1196"/>
      <c r="V30" s="1196"/>
    </row>
    <row r="31" spans="1:22" ht="18" customHeight="1">
      <c r="A31" s="3425" t="s">
        <v>2076</v>
      </c>
      <c r="B31" s="1937" t="s">
        <v>3071</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6"/>
      <c r="O31" s="11"/>
      <c r="P31" s="1196"/>
      <c r="Q31" s="1196"/>
      <c r="R31" s="1196"/>
      <c r="S31" s="1196"/>
      <c r="T31" s="1196"/>
      <c r="U31" s="1196"/>
      <c r="V31" s="1196"/>
    </row>
    <row r="32" spans="1:22" ht="18" customHeight="1">
      <c r="A32" s="3426"/>
      <c r="B32" s="1937" t="s">
        <v>3071</v>
      </c>
      <c r="C32" s="1938" t="str">
        <f>IF(B32="现房","成新及维护状况是否正常",IF(B32="在建","工程状态是否正常",IF(B32="土地","是否闲置","-")))</f>
        <v>成新及维护状况是否正常</v>
      </c>
      <c r="D32" s="2011"/>
      <c r="E32" s="1939"/>
      <c r="F32" s="2001"/>
      <c r="G32" s="2001"/>
      <c r="H32" s="2001"/>
      <c r="I32" s="2001"/>
      <c r="J32" s="2001"/>
      <c r="K32" s="2104"/>
      <c r="L32" s="1997"/>
      <c r="M32" s="1997"/>
      <c r="N32" s="1196"/>
      <c r="O32" s="11"/>
      <c r="P32" s="1196"/>
      <c r="Q32" s="1196"/>
      <c r="R32" s="1196"/>
      <c r="S32" s="1196"/>
      <c r="T32" s="1196"/>
      <c r="U32" s="1196"/>
      <c r="V32" s="1196"/>
    </row>
    <row r="33" spans="1:22" ht="18" customHeight="1">
      <c r="A33" s="3426"/>
      <c r="B33" s="1958" t="s">
        <v>3071</v>
      </c>
      <c r="C33" s="1959" t="str">
        <f>IF(B33="现房","成新及维护状况是否正常",IF(B33="在建","工程状态是否正常",IF(B33="土地","是否闲置","-")))</f>
        <v>成新及维护状况是否正常</v>
      </c>
      <c r="D33" s="2012"/>
      <c r="E33" s="1960"/>
      <c r="F33" s="2001"/>
      <c r="G33" s="2001"/>
      <c r="H33" s="2001"/>
      <c r="I33" s="2001"/>
      <c r="J33" s="2001"/>
      <c r="K33" s="2104"/>
      <c r="L33" s="1997"/>
      <c r="M33" s="1997"/>
      <c r="N33" s="1196"/>
      <c r="O33" s="11"/>
      <c r="P33" s="1196"/>
      <c r="Q33" s="1196"/>
      <c r="R33" s="1196"/>
      <c r="S33" s="1196"/>
      <c r="T33" s="1196"/>
      <c r="U33" s="1196"/>
      <c r="V33" s="1196"/>
    </row>
    <row r="34" spans="1:22" ht="18" customHeight="1">
      <c r="A34" s="1941" t="s">
        <v>2033</v>
      </c>
      <c r="B34" s="1961" t="s">
        <v>3072</v>
      </c>
      <c r="C34" s="1961" t="s">
        <v>3073</v>
      </c>
      <c r="D34" s="1961" t="s">
        <v>3074</v>
      </c>
      <c r="E34" s="1961" t="s">
        <v>3075</v>
      </c>
      <c r="F34" s="1961" t="s">
        <v>3076</v>
      </c>
      <c r="G34" s="1961" t="s">
        <v>3077</v>
      </c>
      <c r="H34" s="1961" t="s">
        <v>3078</v>
      </c>
      <c r="I34" s="2001"/>
      <c r="J34" s="2001"/>
      <c r="K34" s="2888">
        <f>COUNTIF(B34:H34,"——")</f>
        <v>0</v>
      </c>
      <c r="L34" s="2013" t="s">
        <v>2105</v>
      </c>
      <c r="M34" s="2013" t="s">
        <v>2106</v>
      </c>
      <c r="N34" s="2013" t="s">
        <v>2107</v>
      </c>
      <c r="O34" s="2013" t="s">
        <v>2108</v>
      </c>
      <c r="P34" s="2013" t="s">
        <v>2109</v>
      </c>
      <c r="Q34" s="2013" t="s">
        <v>2110</v>
      </c>
      <c r="R34" s="2013" t="s">
        <v>2111</v>
      </c>
      <c r="S34" s="3420" t="s">
        <v>2112</v>
      </c>
      <c r="T34" s="2014" t="str">
        <f>NUMBERSTRING(7-K34,1)&amp;"通"</f>
        <v>七通</v>
      </c>
      <c r="U34" s="1196"/>
      <c r="V34" s="1196"/>
    </row>
    <row r="35" spans="1:22" ht="18" customHeight="1">
      <c r="A35" s="2015"/>
      <c r="B35" s="3427" t="s">
        <v>1878</v>
      </c>
      <c r="C35" s="3427"/>
      <c r="D35" s="3427"/>
      <c r="E35" s="3427"/>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0"/>
      <c r="T35" s="23" t="str">
        <f>IF(T34="一通",L35,IF(T34="二通",M35,IF(T34="三通",N35,IF(T34="四通",O35,IF(T34="五通",P35,IF(T34="六通",Q35,R35))))))</f>
        <v>通路、通电、通讯、通上水、通下水、通热、燃气</v>
      </c>
      <c r="U35" s="1196"/>
      <c r="V35" s="1196"/>
    </row>
    <row r="36" spans="1:22" ht="18" customHeight="1">
      <c r="A36" s="2017"/>
      <c r="B36" s="2016" t="s">
        <v>1958</v>
      </c>
      <c r="C36" s="2016" t="s">
        <v>1954</v>
      </c>
      <c r="D36" s="2016" t="s">
        <v>1953</v>
      </c>
      <c r="E36" s="2016" t="s">
        <v>1955</v>
      </c>
      <c r="F36" s="2018"/>
      <c r="G36" s="2001"/>
      <c r="H36" s="2001"/>
      <c r="I36" s="2001"/>
      <c r="J36" s="2001"/>
      <c r="K36" s="2104"/>
      <c r="L36" s="1997"/>
      <c r="M36" s="1997"/>
      <c r="N36" s="1196"/>
      <c r="O36" s="11"/>
      <c r="P36" s="1196"/>
      <c r="Q36" s="1196"/>
      <c r="R36" s="1196"/>
      <c r="S36" s="1196"/>
      <c r="T36" s="1196"/>
      <c r="U36" s="1196"/>
      <c r="V36" s="1196"/>
    </row>
    <row r="37" spans="1:22" ht="18" customHeight="1">
      <c r="A37" s="2019" t="s">
        <v>1877</v>
      </c>
      <c r="B37" s="2020" t="s">
        <v>1287</v>
      </c>
      <c r="C37" s="2020"/>
      <c r="D37" s="2020" t="s">
        <v>1287</v>
      </c>
      <c r="E37" s="2020"/>
      <c r="F37" s="2018">
        <v>25600</v>
      </c>
      <c r="G37" s="2001"/>
      <c r="H37" s="2001"/>
      <c r="I37" s="2001"/>
      <c r="J37" s="2001"/>
      <c r="K37" s="2104"/>
      <c r="L37" s="1997"/>
      <c r="M37" s="1997"/>
      <c r="N37" s="1196"/>
      <c r="O37" s="11"/>
      <c r="P37" s="1196"/>
      <c r="Q37" s="1196"/>
      <c r="R37" s="1196"/>
      <c r="S37" s="1196"/>
      <c r="T37" s="1196"/>
      <c r="U37" s="1196"/>
      <c r="V37" s="1196"/>
    </row>
    <row r="38" spans="1:22" ht="18" customHeight="1" thickBot="1">
      <c r="A38" s="2047" t="s">
        <v>1879</v>
      </c>
      <c r="B38" s="2048" t="s">
        <v>1244</v>
      </c>
      <c r="C38" s="2048"/>
      <c r="D38" s="2048" t="s">
        <v>1277</v>
      </c>
      <c r="E38" s="2048"/>
      <c r="F38" s="2049">
        <v>24700</v>
      </c>
      <c r="G38" s="2000"/>
      <c r="H38" s="2000"/>
      <c r="I38" s="2000"/>
      <c r="J38" s="2001"/>
      <c r="K38" s="2104"/>
      <c r="L38" s="1997"/>
      <c r="M38" s="1997"/>
      <c r="N38" s="1196"/>
      <c r="O38" s="11"/>
      <c r="P38" s="1196"/>
      <c r="Q38" s="1196"/>
      <c r="R38" s="1196"/>
      <c r="S38" s="1196"/>
      <c r="T38" s="1196"/>
      <c r="U38" s="1196"/>
      <c r="V38" s="1196"/>
    </row>
    <row r="39" spans="1:22" s="3316" customFormat="1" ht="18" customHeight="1" thickTop="1" thickBot="1">
      <c r="A39" s="3317" t="s">
        <v>3037</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6"/>
      <c r="B40" s="1196"/>
      <c r="C40" s="1196"/>
      <c r="D40" s="1196"/>
      <c r="E40" s="1196"/>
      <c r="F40" s="1196"/>
      <c r="G40" s="1196"/>
      <c r="H40" s="1196"/>
      <c r="I40" s="1217"/>
      <c r="J40" s="2021"/>
      <c r="K40" s="2109"/>
      <c r="L40" s="1230"/>
      <c r="M40" s="1230"/>
      <c r="N40" s="2021"/>
      <c r="O40" s="1230"/>
      <c r="P40" s="1196"/>
      <c r="Q40" s="1196"/>
      <c r="R40" s="1196"/>
      <c r="S40" s="1196"/>
      <c r="T40" s="1196"/>
      <c r="U40" s="1196"/>
      <c r="V40" s="1196"/>
    </row>
    <row r="41" spans="1:22" ht="18" customHeight="1">
      <c r="A41" s="2022" t="s">
        <v>2077</v>
      </c>
      <c r="B41" s="2023"/>
      <c r="C41" s="2024"/>
      <c r="D41" s="1196"/>
      <c r="E41" s="1196"/>
      <c r="F41" s="1196"/>
      <c r="G41" s="1196"/>
      <c r="H41" s="1196"/>
      <c r="I41" s="11"/>
      <c r="J41" s="1196"/>
      <c r="K41" s="2110"/>
      <c r="L41" s="1997"/>
      <c r="M41" s="1997"/>
      <c r="N41" s="1196"/>
      <c r="O41" s="11"/>
      <c r="P41" s="1196"/>
      <c r="Q41" s="1196"/>
      <c r="R41" s="1196"/>
      <c r="S41" s="1196"/>
      <c r="T41" s="1196"/>
      <c r="U41" s="1196"/>
      <c r="V41" s="1196"/>
    </row>
    <row r="42" spans="1:22" ht="18" customHeight="1">
      <c r="A42" s="2013" t="s">
        <v>2078</v>
      </c>
      <c r="B42" s="1987" t="s">
        <v>2079</v>
      </c>
      <c r="C42" s="1987" t="s">
        <v>2080</v>
      </c>
      <c r="D42" s="1987" t="s">
        <v>2081</v>
      </c>
      <c r="E42" s="1987" t="s">
        <v>2082</v>
      </c>
      <c r="F42" s="1987" t="s">
        <v>2083</v>
      </c>
      <c r="G42" s="1987" t="s">
        <v>2084</v>
      </c>
      <c r="H42" s="1987" t="s">
        <v>2085</v>
      </c>
      <c r="I42" s="1987" t="s">
        <v>2086</v>
      </c>
      <c r="J42" s="2100" t="s">
        <v>2087</v>
      </c>
      <c r="K42" s="2025" t="s">
        <v>2088</v>
      </c>
      <c r="L42" s="2025" t="s">
        <v>2089</v>
      </c>
      <c r="M42" s="2025" t="s">
        <v>2090</v>
      </c>
      <c r="N42" s="1987" t="s">
        <v>2091</v>
      </c>
      <c r="O42" s="1987" t="s">
        <v>2092</v>
      </c>
      <c r="P42" s="1987" t="s">
        <v>2093</v>
      </c>
      <c r="Q42" s="2013" t="s">
        <v>2094</v>
      </c>
      <c r="R42" s="2013" t="s">
        <v>2095</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6"/>
      <c r="B44" s="1416"/>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6"/>
      <c r="B45" s="1416"/>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6"/>
      <c r="B46" s="1416"/>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6"/>
      <c r="B47" s="1416"/>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6"/>
      <c r="B48" s="1416"/>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6"/>
      <c r="B49" s="1416"/>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6"/>
      <c r="B50" s="1416"/>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2413</v>
      </c>
      <c r="AZ2" s="2521" t="s">
        <v>2414</v>
      </c>
      <c r="BA2" s="2522" t="s">
        <v>2415</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0</v>
      </c>
      <c r="B3" s="302">
        <f>IF(C3="否",G5-AT5,G5)</f>
        <v>2579.75</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2579.75</v>
      </c>
      <c r="H5" s="305">
        <f t="shared" ref="H5:AT5" si="0">SUM(H13:H656)</f>
        <v>2579.75</v>
      </c>
      <c r="I5" s="305">
        <f t="shared" si="0"/>
        <v>49.46</v>
      </c>
      <c r="J5" s="305">
        <f t="shared" si="0"/>
        <v>0</v>
      </c>
      <c r="K5" s="305">
        <f t="shared" si="0"/>
        <v>2530.29</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2579.75</v>
      </c>
      <c r="BA5" s="307">
        <f t="shared" si="1"/>
        <v>2579.75</v>
      </c>
      <c r="BB5" s="307">
        <f t="shared" si="1"/>
        <v>49.46</v>
      </c>
      <c r="BC5" s="307">
        <f t="shared" si="1"/>
        <v>2530.29</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618</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531</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3080</v>
      </c>
      <c r="J9" s="245"/>
      <c r="K9" s="244" t="s">
        <v>3061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3048</v>
      </c>
      <c r="J10" s="245"/>
      <c r="K10" s="252" t="s">
        <v>3062</v>
      </c>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3" t="s">
        <v>2402</v>
      </c>
      <c r="AE11" s="2492"/>
      <c r="AF11" s="2513" t="s">
        <v>2402</v>
      </c>
      <c r="AG11" s="2492"/>
      <c r="AH11" s="2513" t="s">
        <v>2403</v>
      </c>
      <c r="AI11" s="2514"/>
      <c r="AJ11" s="2513" t="s">
        <v>2403</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仓储</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3064</v>
      </c>
      <c r="D13" s="217" t="s">
        <v>3063</v>
      </c>
      <c r="E13" s="305">
        <f>IF($C$3="是",ROUND($A$3*G13/$B$3,2),ROUND($A$3*(G13-AT13)/$B$3,2))</f>
        <v>0</v>
      </c>
      <c r="F13" s="321"/>
      <c r="G13" s="322">
        <f>H13+AC13+AT13</f>
        <v>2530.29</v>
      </c>
      <c r="H13" s="309">
        <f>SUMIF(I$12:AB$12,"总值",I13:AB13)</f>
        <v>2530.29</v>
      </c>
      <c r="I13" s="1417"/>
      <c r="J13" s="1417"/>
      <c r="K13" s="1417">
        <v>2530.29</v>
      </c>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仓储</v>
      </c>
      <c r="AY13" s="304">
        <f>ROUND($AY$6*AZ13/$AZ$5,2)</f>
        <v>0</v>
      </c>
      <c r="AZ13" s="305">
        <f>BA13+BL13</f>
        <v>2530.29</v>
      </c>
      <c r="BA13" s="305">
        <f>SUM(BB13:BK13)</f>
        <v>2530.29</v>
      </c>
      <c r="BB13" s="305">
        <f>IF($D13="是",I13-J13,0)</f>
        <v>0</v>
      </c>
      <c r="BC13" s="305">
        <f>IF($D13="是",K13-L13,0)</f>
        <v>2530.29</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3094</v>
      </c>
      <c r="D14" s="217" t="s">
        <v>3063</v>
      </c>
      <c r="E14" s="305">
        <f>IF($C$3="是",ROUND($A$3*G14/$B$3,2),ROUND($A$3*(G14-AT14)/$B$3,2))</f>
        <v>0</v>
      </c>
      <c r="F14" s="321"/>
      <c r="G14" s="322">
        <f>H14+AC14+AT14</f>
        <v>49.46</v>
      </c>
      <c r="H14" s="309">
        <f>SUMIF(I$12:AB$12,"总值",I14:AB14)</f>
        <v>49.46</v>
      </c>
      <c r="I14" s="1417">
        <f>49.46</f>
        <v>49.46</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商业</v>
      </c>
      <c r="AY14" s="304">
        <f>ROUND($AY$6*AZ14/$AZ$5,2)</f>
        <v>0</v>
      </c>
      <c r="AZ14" s="305">
        <f>BA14+BL14</f>
        <v>49.46</v>
      </c>
      <c r="BA14" s="305">
        <f>SUM(BB14:BK14)</f>
        <v>49.46</v>
      </c>
      <c r="BB14" s="305">
        <f>IF($D14="是",I14-J14,0)</f>
        <v>49.46</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3" t="s">
        <v>2</v>
      </c>
      <c r="B1" s="3393" t="s">
        <v>37</v>
      </c>
      <c r="C1" s="3393" t="s">
        <v>38</v>
      </c>
      <c r="D1" s="3450" t="s">
        <v>200</v>
      </c>
      <c r="E1" s="3450" t="s">
        <v>201</v>
      </c>
      <c r="F1" s="3450"/>
      <c r="G1" s="3450"/>
      <c r="H1" s="3450"/>
      <c r="I1" s="3450"/>
      <c r="J1" s="3450"/>
      <c r="K1" s="3450"/>
      <c r="L1" s="3450"/>
      <c r="M1" s="3450"/>
    </row>
    <row r="2" spans="1:13" ht="27" customHeight="1">
      <c r="A2" s="3393"/>
      <c r="B2" s="3393"/>
      <c r="C2" s="3393"/>
      <c r="D2" s="3450"/>
      <c r="E2" s="3450" t="s">
        <v>184</v>
      </c>
      <c r="F2" s="3450" t="s">
        <v>185</v>
      </c>
      <c r="G2" s="3450"/>
      <c r="H2" s="3450"/>
      <c r="I2" s="3450"/>
      <c r="J2" s="3450" t="s">
        <v>186</v>
      </c>
      <c r="K2" s="3450"/>
      <c r="L2" s="3450"/>
      <c r="M2" s="3450"/>
    </row>
    <row r="3" spans="1:13" ht="28.5">
      <c r="A3" s="3393"/>
      <c r="B3" s="3393"/>
      <c r="C3" s="3393"/>
      <c r="D3" s="3450"/>
      <c r="E3" s="345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0" t="s">
        <v>202</v>
      </c>
      <c r="B9" s="3450"/>
      <c r="C9" s="345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F22" sqref="F22"/>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60" t="s">
        <v>642</v>
      </c>
      <c r="B2" s="3460"/>
      <c r="C2" s="3460"/>
      <c r="D2" s="2210" t="s">
        <v>643</v>
      </c>
      <c r="E2" s="19" t="s">
        <v>644</v>
      </c>
      <c r="F2" s="2226"/>
      <c r="G2" s="1179"/>
      <c r="H2" s="1180"/>
      <c r="I2" s="2218" t="s">
        <v>645</v>
      </c>
      <c r="J2" s="2226"/>
      <c r="K2" s="2226"/>
      <c r="L2" s="2226"/>
      <c r="M2" s="2226"/>
      <c r="N2" s="2235"/>
      <c r="O2" s="2226"/>
      <c r="P2" s="2226"/>
    </row>
    <row r="3" spans="1:16" ht="15.75" thickBot="1">
      <c r="A3" s="3461" t="s">
        <v>646</v>
      </c>
      <c r="B3" s="3461"/>
      <c r="C3" s="3461"/>
      <c r="D3" s="335">
        <f>'数据-基础表'!AY6</f>
        <v>0</v>
      </c>
      <c r="E3" s="335">
        <f>'数据-基础表'!AZ5</f>
        <v>2579.75</v>
      </c>
      <c r="F3" s="2226"/>
      <c r="G3" s="442"/>
      <c r="H3" s="440" t="s">
        <v>647</v>
      </c>
      <c r="I3" s="344" t="e">
        <f>ROUND('数据-基础表'!B3/'数据-基础表'!A3,2)</f>
        <v>#DIV/0!</v>
      </c>
      <c r="J3" s="2226"/>
      <c r="K3" s="2226"/>
      <c r="L3" s="2226"/>
      <c r="M3" s="2226"/>
      <c r="N3" s="2235"/>
      <c r="O3" s="2226"/>
      <c r="P3" s="2226"/>
    </row>
    <row r="4" spans="1:16" ht="14.25">
      <c r="A4" s="3462"/>
      <c r="B4" s="3463"/>
      <c r="C4" s="3464"/>
      <c r="D4" s="20" t="s">
        <v>643</v>
      </c>
      <c r="E4" s="21" t="s">
        <v>644</v>
      </c>
      <c r="F4" s="2226"/>
      <c r="G4" s="1181" t="s">
        <v>1796</v>
      </c>
      <c r="H4" s="440" t="s">
        <v>648</v>
      </c>
      <c r="I4" s="344" t="e">
        <f>ROUND(SUMIF('数据-基础表'!I9:AS9,"地上",'数据-基础表'!I5:AS5)/'数据-基础表'!A3,2)</f>
        <v>#DIV/0!</v>
      </c>
      <c r="J4" s="2226"/>
      <c r="K4" s="2226"/>
      <c r="L4" s="2226"/>
      <c r="M4" s="2226"/>
      <c r="N4" s="2235"/>
      <c r="O4" s="2226"/>
      <c r="P4" s="2226"/>
    </row>
    <row r="5" spans="1:16" ht="14.25">
      <c r="A5" s="22" t="s">
        <v>649</v>
      </c>
      <c r="B5" s="3465" t="s">
        <v>650</v>
      </c>
      <c r="C5" s="3465"/>
      <c r="D5" s="337">
        <f>ROUND($D$3*E5/$E$3,2)</f>
        <v>0</v>
      </c>
      <c r="E5" s="338">
        <f>SUMIF('数据-基础表'!$11:$11,"住宅",'数据-基础表'!$5:$5)</f>
        <v>0</v>
      </c>
      <c r="F5" s="2226"/>
      <c r="G5" s="442"/>
      <c r="H5" s="440" t="s">
        <v>647</v>
      </c>
      <c r="I5" s="344" t="e">
        <f>ROUND(E31/D31,2)</f>
        <v>#DIV/0!</v>
      </c>
      <c r="J5" s="2226"/>
      <c r="K5" s="2226"/>
      <c r="L5" s="2226"/>
      <c r="M5" s="2226"/>
      <c r="N5" s="2226"/>
      <c r="O5" s="2226"/>
      <c r="P5" s="2226"/>
    </row>
    <row r="6" spans="1:16" ht="15" thickBot="1">
      <c r="A6" s="24"/>
      <c r="B6" s="3465" t="s">
        <v>651</v>
      </c>
      <c r="C6" s="3465"/>
      <c r="D6" s="337">
        <f>ROUND($D$3*E6/$E$3,2)</f>
        <v>0</v>
      </c>
      <c r="E6" s="338">
        <f>E3-E5</f>
        <v>2579.75</v>
      </c>
      <c r="F6" s="2226"/>
      <c r="G6" s="1761" t="s">
        <v>1797</v>
      </c>
      <c r="H6" s="442" t="s">
        <v>648</v>
      </c>
      <c r="I6" s="1762" t="e">
        <f>ROUND(F31/D31,2)</f>
        <v>#DIV/0!</v>
      </c>
      <c r="J6" s="2226"/>
      <c r="K6" s="2226"/>
      <c r="L6" s="2226"/>
      <c r="M6" s="2226"/>
      <c r="N6" s="2226"/>
      <c r="O6" s="2226"/>
      <c r="P6" s="2226"/>
    </row>
    <row r="7" spans="1:16" ht="14.25">
      <c r="A7" s="3457"/>
      <c r="B7" s="3458"/>
      <c r="C7" s="3459"/>
      <c r="D7" s="20" t="s">
        <v>643</v>
      </c>
      <c r="E7" s="25" t="s">
        <v>644</v>
      </c>
      <c r="F7" s="2226"/>
      <c r="G7" s="1179" t="s">
        <v>1876</v>
      </c>
      <c r="H7" s="38"/>
      <c r="I7" s="3371">
        <v>2.5</v>
      </c>
      <c r="J7" s="2226"/>
      <c r="K7" s="2226"/>
      <c r="L7" s="2226"/>
      <c r="M7" s="2226"/>
      <c r="N7" s="2226"/>
      <c r="O7" s="2226"/>
      <c r="P7" s="2226"/>
    </row>
    <row r="8" spans="1:16" ht="14.25">
      <c r="A8" s="22" t="s">
        <v>652</v>
      </c>
      <c r="B8" s="26" t="s">
        <v>653</v>
      </c>
      <c r="C8" s="23" t="s">
        <v>654</v>
      </c>
      <c r="D8" s="337">
        <f t="shared" ref="D8:D15" si="0">ROUND($D$3*E8/$E$3,2)</f>
        <v>0</v>
      </c>
      <c r="E8" s="340">
        <f>SUMIF('数据-基础表'!BB10:BK10,"地上",'数据-基础表'!BB5:BK5)</f>
        <v>49.46</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2404</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2530.29</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0</v>
      </c>
      <c r="E16" s="342">
        <f>SUM(E8:E15)</f>
        <v>2579.75</v>
      </c>
      <c r="F16" s="2226"/>
      <c r="G16" s="2227"/>
      <c r="H16" s="1178" t="s">
        <v>533</v>
      </c>
      <c r="I16" s="1182"/>
      <c r="J16" s="2226"/>
      <c r="K16" s="3454" t="s">
        <v>533</v>
      </c>
      <c r="L16" s="3455"/>
      <c r="M16" s="3455"/>
      <c r="N16" s="3455"/>
      <c r="O16" s="3455"/>
      <c r="P16" s="3456"/>
    </row>
    <row r="17" spans="1:19" ht="14.25">
      <c r="A17" s="29" t="s">
        <v>662</v>
      </c>
      <c r="B17" s="30" t="s">
        <v>663</v>
      </c>
      <c r="C17" s="34" t="s">
        <v>2395</v>
      </c>
      <c r="D17" s="2076" t="s">
        <v>643</v>
      </c>
      <c r="E17" s="2074" t="s">
        <v>644</v>
      </c>
      <c r="F17" s="36"/>
      <c r="G17" s="37"/>
      <c r="H17" s="1183" t="s">
        <v>664</v>
      </c>
      <c r="I17" s="1184" t="s">
        <v>207</v>
      </c>
      <c r="J17" s="2226"/>
      <c r="K17" s="3451" t="s">
        <v>670</v>
      </c>
      <c r="L17" s="3452"/>
      <c r="M17" s="3453"/>
      <c r="N17" s="3451" t="s">
        <v>2697</v>
      </c>
      <c r="O17" s="3452"/>
      <c r="P17" s="3453"/>
      <c r="R17" s="2486" t="s">
        <v>2396</v>
      </c>
      <c r="S17" s="354"/>
    </row>
    <row r="18" spans="1:19">
      <c r="A18" s="27"/>
      <c r="B18" s="31"/>
      <c r="C18" s="35"/>
      <c r="D18" s="2077"/>
      <c r="E18" s="2075" t="s">
        <v>665</v>
      </c>
      <c r="F18" s="15" t="s">
        <v>666</v>
      </c>
      <c r="G18" s="16" t="s">
        <v>667</v>
      </c>
      <c r="H18" s="1185" t="s">
        <v>668</v>
      </c>
      <c r="I18" s="1186" t="s">
        <v>669</v>
      </c>
      <c r="J18" s="2226"/>
      <c r="K18" s="1185" t="s">
        <v>2690</v>
      </c>
      <c r="L18" s="6" t="s">
        <v>2698</v>
      </c>
      <c r="M18" s="2807" t="s">
        <v>2696</v>
      </c>
      <c r="N18" s="1185" t="s">
        <v>2690</v>
      </c>
      <c r="O18" s="6" t="s">
        <v>2698</v>
      </c>
      <c r="P18" s="2807" t="s">
        <v>2696</v>
      </c>
      <c r="R18" s="2487" t="s">
        <v>2397</v>
      </c>
      <c r="S18" s="2487" t="s">
        <v>2398</v>
      </c>
    </row>
    <row r="19" spans="1:19" ht="14.25">
      <c r="A19" s="32"/>
      <c r="B19" s="26" t="s">
        <v>119</v>
      </c>
      <c r="C19" s="1420" t="s">
        <v>3095</v>
      </c>
      <c r="D19" s="337">
        <f>ROUND($D$3*E19/$E$3,2)</f>
        <v>0</v>
      </c>
      <c r="E19" s="345">
        <f t="shared" ref="E19:E26" si="1">SUM(F19:G19)</f>
        <v>49.46</v>
      </c>
      <c r="F19" s="3374">
        <f>'数据-基础表'!I14</f>
        <v>49.46</v>
      </c>
      <c r="G19" s="347"/>
      <c r="H19" s="1132">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0</v>
      </c>
      <c r="S19" s="2489">
        <f t="shared" si="5"/>
        <v>49.46</v>
      </c>
    </row>
    <row r="20" spans="1:19" ht="14.25">
      <c r="A20" s="33"/>
      <c r="B20" s="26" t="s">
        <v>636</v>
      </c>
      <c r="C20" s="1420" t="s">
        <v>3065</v>
      </c>
      <c r="D20" s="337">
        <f t="shared" ref="D20:D26" si="6">ROUND($D$3*E20/$E$3,2)</f>
        <v>0</v>
      </c>
      <c r="E20" s="345">
        <f t="shared" si="1"/>
        <v>2530.29</v>
      </c>
      <c r="F20" s="346"/>
      <c r="G20" s="347">
        <v>2530.29</v>
      </c>
      <c r="H20" s="1132">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2530.29</v>
      </c>
    </row>
    <row r="21" spans="1:19" ht="14.25">
      <c r="A21" s="33"/>
      <c r="B21" s="26" t="s">
        <v>636</v>
      </c>
      <c r="C21" s="1420" t="s">
        <v>3182</v>
      </c>
      <c r="D21" s="337">
        <f t="shared" si="6"/>
        <v>0</v>
      </c>
      <c r="E21" s="345">
        <f t="shared" si="1"/>
        <v>0</v>
      </c>
      <c r="F21" s="346">
        <v>0</v>
      </c>
      <c r="G21" s="347"/>
      <c r="H21" s="1132" t="e">
        <f t="shared" si="7"/>
        <v>#DIV/0!</v>
      </c>
      <c r="I21" s="340" t="e">
        <f t="shared" si="2"/>
        <v>#DIV/0!</v>
      </c>
      <c r="J21" s="2226"/>
      <c r="K21" s="2808">
        <f t="shared" si="3"/>
        <v>0</v>
      </c>
      <c r="L21" s="2488" t="e">
        <f t="shared" si="4"/>
        <v>#DIV/0!</v>
      </c>
      <c r="M21" s="2826" t="e">
        <f t="shared" si="8"/>
        <v>#DIV/0!</v>
      </c>
      <c r="N21" s="2824"/>
      <c r="O21" s="2806"/>
      <c r="P21" s="2809">
        <f t="shared" si="9"/>
        <v>0</v>
      </c>
      <c r="R21" s="2488" t="e">
        <f t="shared" si="5"/>
        <v>#DIV/0!</v>
      </c>
      <c r="S21" s="2489" t="e">
        <f t="shared" si="5"/>
        <v>#DIV/0!</v>
      </c>
    </row>
    <row r="22" spans="1:19" ht="14.25">
      <c r="A22" s="33"/>
      <c r="B22" s="26" t="s">
        <v>636</v>
      </c>
      <c r="C22" s="349"/>
      <c r="D22" s="337">
        <f t="shared" si="6"/>
        <v>0</v>
      </c>
      <c r="E22" s="345">
        <f t="shared" si="1"/>
        <v>0</v>
      </c>
      <c r="F22" s="350"/>
      <c r="G22" s="351"/>
      <c r="H22" s="1132">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636</v>
      </c>
      <c r="C23" s="349"/>
      <c r="D23" s="337">
        <f>ROUND($D$3*E23/$E$3,2)</f>
        <v>0</v>
      </c>
      <c r="E23" s="345">
        <f>SUM(F23:G23)</f>
        <v>0</v>
      </c>
      <c r="F23" s="350"/>
      <c r="G23" s="351"/>
      <c r="H23" s="1132">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636</v>
      </c>
      <c r="C24" s="349"/>
      <c r="D24" s="337">
        <f>ROUND($D$3*E24/$E$3,2)</f>
        <v>0</v>
      </c>
      <c r="E24" s="345">
        <f>SUM(F24:G24)</f>
        <v>0</v>
      </c>
      <c r="F24" s="350"/>
      <c r="G24" s="351"/>
      <c r="H24" s="1132">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637</v>
      </c>
      <c r="D27" s="2811">
        <f>SUM(D19:D26)</f>
        <v>0</v>
      </c>
      <c r="E27" s="2812">
        <f>IF(SUM(E19:E26)='数据-基础表'!BA5,SUM(E19:E26),IF(F27="地上面积有误","面积有误","地下面积有误"))</f>
        <v>2579.75</v>
      </c>
      <c r="F27" s="2811">
        <f>IF(SUM(F19:F26)=E8,SUM(F19:F26),"地上面积有误")</f>
        <v>49.46</v>
      </c>
      <c r="G27" s="2813">
        <f>SUM(G19:G26)</f>
        <v>2530.29</v>
      </c>
      <c r="H27" s="2814" t="e">
        <f>SUM(H19:H26)</f>
        <v>#DIV/0!</v>
      </c>
      <c r="I27" s="2815" t="e">
        <f>SUM(I19:I26)</f>
        <v>#DIV/0!</v>
      </c>
      <c r="J27" s="2226"/>
      <c r="K27" s="2821">
        <f>SUM(K19:K26)</f>
        <v>0</v>
      </c>
      <c r="L27" s="2822" t="e">
        <f>SUM(L19:L26)</f>
        <v>#DIV/0!</v>
      </c>
      <c r="M27" s="2827" t="e">
        <f>SUM(M19:M26)</f>
        <v>#DIV/0!</v>
      </c>
      <c r="N27" s="2821">
        <f t="shared" ref="N27:O27" si="10">SUM(N19:N26)</f>
        <v>0</v>
      </c>
      <c r="O27" s="2822">
        <f t="shared" si="10"/>
        <v>0</v>
      </c>
      <c r="P27" s="2823">
        <f>SUM(P19:P26)</f>
        <v>0</v>
      </c>
      <c r="R27" s="2490" t="e">
        <f>IF(SUM(R19:R26)=$D$3,SUM(R19:R26),SUM(R19:R26)&amp;"误差"&amp;ROUND(SUM(R19:R26)-$D$3,2))</f>
        <v>#DIV/0!</v>
      </c>
      <c r="S27" s="2488" t="e">
        <f>IF(SUM(S19:S26)=$E$3,SUM(S19:S26),SUM(S19:S26)&amp;"误差"&amp;ROUND(SUM(S19:S26)-E3,2))</f>
        <v>#DIV/0!</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638</v>
      </c>
      <c r="C29" s="13" t="s">
        <v>2399</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637</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7"/>
      <c r="B31" s="2527"/>
      <c r="C31" s="2528" t="s">
        <v>640</v>
      </c>
      <c r="D31" s="1188">
        <f>D27+D30</f>
        <v>0</v>
      </c>
      <c r="E31" s="1188">
        <f>E27+E30</f>
        <v>2579.75</v>
      </c>
      <c r="F31" s="1189">
        <f>F27+F30</f>
        <v>49.46</v>
      </c>
      <c r="G31" s="1190">
        <f>G27+G30</f>
        <v>2530.29</v>
      </c>
      <c r="H31" s="2226"/>
      <c r="I31" s="2226"/>
      <c r="J31" s="2226"/>
      <c r="K31" s="2226"/>
      <c r="L31" s="2226"/>
      <c r="M31" s="2226"/>
      <c r="N31" s="2226"/>
      <c r="O31" s="2226"/>
      <c r="P31" s="2226"/>
    </row>
    <row r="32" spans="1:19" ht="14.25">
      <c r="A32" s="1181"/>
      <c r="B32" s="1181" t="s">
        <v>2710</v>
      </c>
      <c r="C32" s="1181"/>
      <c r="D32" s="1181"/>
      <c r="E32" s="2526">
        <f>SUMIF(C19:C26,"*住宅*",E19:E26)</f>
        <v>0</v>
      </c>
      <c r="F32" s="1181"/>
      <c r="G32" s="1181"/>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W8" sqref="W8"/>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671</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672</v>
      </c>
      <c r="B2" s="2517">
        <f>项目基本情况!D3</f>
        <v>43040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673</v>
      </c>
      <c r="B4" s="275"/>
      <c r="C4" s="276"/>
      <c r="D4" s="1197"/>
      <c r="E4" s="276" t="s">
        <v>536</v>
      </c>
      <c r="F4" s="276"/>
      <c r="G4" s="276"/>
      <c r="H4" s="276"/>
      <c r="I4" s="276"/>
      <c r="J4" s="277"/>
      <c r="K4" s="1198"/>
      <c r="L4" s="1199"/>
      <c r="M4" s="276"/>
      <c r="N4" s="276" t="s">
        <v>537</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2401</v>
      </c>
      <c r="B5" s="48" t="s">
        <v>677</v>
      </c>
      <c r="C5" s="49" t="s">
        <v>678</v>
      </c>
      <c r="D5" s="50" t="s">
        <v>679</v>
      </c>
      <c r="E5" s="51" t="s">
        <v>680</v>
      </c>
      <c r="F5" s="52" t="s">
        <v>681</v>
      </c>
      <c r="G5" s="51" t="s">
        <v>682</v>
      </c>
      <c r="H5" s="51" t="s">
        <v>683</v>
      </c>
      <c r="I5" s="51" t="s">
        <v>684</v>
      </c>
      <c r="J5" s="53" t="s">
        <v>685</v>
      </c>
      <c r="K5" s="54" t="s">
        <v>686</v>
      </c>
      <c r="L5" s="55" t="s">
        <v>687</v>
      </c>
      <c r="M5" s="56" t="s">
        <v>688</v>
      </c>
      <c r="N5" s="1201" t="s">
        <v>80</v>
      </c>
      <c r="O5" s="55" t="s">
        <v>689</v>
      </c>
      <c r="P5" s="57" t="s">
        <v>690</v>
      </c>
      <c r="Q5" s="58" t="s">
        <v>691</v>
      </c>
      <c r="R5" s="273" t="s">
        <v>692</v>
      </c>
      <c r="S5" s="59" t="s">
        <v>2691</v>
      </c>
      <c r="T5" s="274" t="s">
        <v>693</v>
      </c>
      <c r="U5" s="2518" t="s">
        <v>2407</v>
      </c>
      <c r="V5" s="51" t="s">
        <v>694</v>
      </c>
      <c r="W5" s="2519" t="s">
        <v>2408</v>
      </c>
      <c r="X5" s="62"/>
      <c r="Y5" s="60" t="s">
        <v>695</v>
      </c>
      <c r="Z5" s="61" t="s">
        <v>696</v>
      </c>
      <c r="AA5" s="51" t="s">
        <v>694</v>
      </c>
      <c r="AB5" s="2519" t="s">
        <v>2408</v>
      </c>
      <c r="AC5" s="62"/>
      <c r="AD5" s="62" t="s">
        <v>695</v>
      </c>
      <c r="AE5" s="14" t="s">
        <v>538</v>
      </c>
      <c r="AF5" s="51" t="s">
        <v>697</v>
      </c>
      <c r="AG5" s="60" t="s">
        <v>698</v>
      </c>
      <c r="AH5" s="14" t="s">
        <v>2412</v>
      </c>
      <c r="AI5" s="61" t="s">
        <v>2329</v>
      </c>
      <c r="AJ5" s="61" t="s">
        <v>699</v>
      </c>
      <c r="AK5" s="2519" t="s">
        <v>2409</v>
      </c>
      <c r="AL5" s="2519" t="s">
        <v>2410</v>
      </c>
      <c r="AM5" s="360" t="s">
        <v>2411</v>
      </c>
      <c r="AN5" s="2576" t="s">
        <v>2451</v>
      </c>
      <c r="AO5" s="2013" t="s">
        <v>2682</v>
      </c>
      <c r="AP5" s="2895" t="s">
        <v>2692</v>
      </c>
      <c r="AQ5" s="2896" t="s">
        <v>2802</v>
      </c>
      <c r="AR5" s="2896" t="s">
        <v>2803</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商业</v>
      </c>
      <c r="B6" s="2494" t="str">
        <f>IF(A6=0,"","经营性")</f>
        <v>经营性</v>
      </c>
      <c r="C6" s="39" t="s">
        <v>3048</v>
      </c>
      <c r="D6" s="2057">
        <f>SUMIF(项目基本情况!D$12:I$12,C6,项目基本情况!D$14:I$14)</f>
        <v>40</v>
      </c>
      <c r="E6" s="2051">
        <f>IF(B6="","",SUMIF(项目基本情况!D$12:I$12,C6,项目基本情况!D$13:I$13))</f>
        <v>52523</v>
      </c>
      <c r="F6" s="362">
        <f>SUMIF(项目基本情况!D$12:I$12,C6,项目基本情况!D$15:I$15)</f>
        <v>25.98</v>
      </c>
      <c r="G6" s="363">
        <f>IF(ISERROR(ROUND(POWER(1+H6,D6-F6)*(POWER(1+H6,F6)-1)/(POWER(1+H6,D6)-1),3)),0,ROUND(POWER(1+H6,D6-F6)*(POWER(1+H6,F6)-1)/(POWER(1+H6,D6)-1),3))</f>
        <v>0.80700000000000005</v>
      </c>
      <c r="H6" s="3370">
        <v>0.04</v>
      </c>
      <c r="I6" s="3370">
        <v>0.05</v>
      </c>
      <c r="J6" s="364">
        <v>8.5000000000000006E-2</v>
      </c>
      <c r="K6" s="2497">
        <f>SUMIF('数据-汇总表'!C$19:C$33,A6,'数据-汇总表'!E$19:E$33)</f>
        <v>49.46</v>
      </c>
      <c r="L6" s="1476">
        <v>2800</v>
      </c>
      <c r="M6" s="365">
        <f t="shared" ref="M6:M14" si="0">ROUND(K6*L6/10000,0)</f>
        <v>14</v>
      </c>
      <c r="N6" s="1474">
        <v>0.9</v>
      </c>
      <c r="O6" s="365" t="str">
        <f>IF($N$5="成新度","——",ROUND(M6*N6,0))</f>
        <v>——</v>
      </c>
      <c r="P6" s="366" t="str">
        <f>IF($N$5="成新度","——",M6-O6)</f>
        <v>——</v>
      </c>
      <c r="Q6" s="1477">
        <v>0.25</v>
      </c>
      <c r="R6" s="367">
        <f ca="1">SUMIF('数据-汇总表'!C$19:C$33,A6,'数据-汇总表'!R$19:R$27)</f>
        <v>0</v>
      </c>
      <c r="S6" s="343">
        <f>IF('数据-汇总表'!$I$17="按面积比例",SUMIF('数据-汇总表'!C$19:C$33,A6,'数据-汇总表'!K$19:K$33),SUMIF('数据-汇总表'!C$19:C$33,A6,'数据-汇总表'!N$19:N$33))</f>
        <v>0</v>
      </c>
      <c r="T6" s="2894">
        <f>ROUND($L$14*S6/10000,0)</f>
        <v>0</v>
      </c>
      <c r="U6" s="368">
        <f>'比较法-商业 (租金)'!C49</f>
        <v>6.8</v>
      </c>
      <c r="V6" s="369">
        <v>3.5000000000000003E-2</v>
      </c>
      <c r="W6" s="369">
        <v>0.1</v>
      </c>
      <c r="X6" s="2507"/>
      <c r="Y6" s="370">
        <v>0.9</v>
      </c>
      <c r="Z6" s="371"/>
      <c r="AA6" s="364"/>
      <c r="AB6" s="364"/>
      <c r="AC6" s="2507"/>
      <c r="AD6" s="372"/>
      <c r="AE6" s="2508">
        <f ca="1">IF(AN6="",0,SUMIF(INDIRECT("'"&amp;AN6&amp;"'"&amp;"!E:E"),$AE$5,INDIRECT("'"&amp;AN6&amp;"'"&amp;"!F:F")))</f>
        <v>25.98</v>
      </c>
      <c r="AF6" s="352"/>
      <c r="AG6" s="478">
        <f>IF(AF6="",0,AE6-AF6)</f>
        <v>0</v>
      </c>
      <c r="AH6" s="373"/>
      <c r="AI6" s="375">
        <v>365</v>
      </c>
      <c r="AJ6" s="376"/>
      <c r="AK6" s="377">
        <v>1.4999999999999999E-2</v>
      </c>
      <c r="AL6" s="378">
        <v>2E-3</v>
      </c>
      <c r="AM6" s="379">
        <v>0.02</v>
      </c>
      <c r="AN6" s="2577" t="s">
        <v>3187</v>
      </c>
      <c r="AO6" s="344">
        <f ca="1">SUMIF(INDIRECT("'"&amp;AN6&amp;"'"&amp;"!A:A"),"总价",INDIRECT("'"&amp;AN6&amp;"'"&amp;"!B:B"))</f>
        <v>203</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t="str">
        <f>'数据-汇总表'!C20</f>
        <v>仓储</v>
      </c>
      <c r="B7" s="2494" t="str">
        <f t="shared" ref="B7:B13" si="1">IF(A7=0,"","经营性")</f>
        <v>经营性</v>
      </c>
      <c r="C7" s="39" t="s">
        <v>3062</v>
      </c>
      <c r="D7" s="2057">
        <f>SUMIF(项目基本情况!D$12:I$12,C7,项目基本情况!D$14:I$14)</f>
        <v>50</v>
      </c>
      <c r="E7" s="2051">
        <f>IF(B7="","",SUMIF(项目基本情况!D$12:I$12,C7,项目基本情况!D$13:I$13))</f>
        <v>56176</v>
      </c>
      <c r="F7" s="362">
        <f>SUMIF(项目基本情况!D$12:I$12,C7,项目基本情况!D$15:I$15)</f>
        <v>35.979999999999997</v>
      </c>
      <c r="G7" s="363">
        <f t="shared" ref="G7:G11" si="2">IF(ISERROR(ROUND(POWER(1+H7,D7-F7)*(POWER(1+H7,F7)-1)/(POWER(1+H7,D7)-1),3)),0,ROUND(POWER(1+H7,D7-F7)*(POWER(1+H7,F7)-1)/(POWER(1+H7,D7)-1),3))</f>
        <v>0.88</v>
      </c>
      <c r="H7" s="3370">
        <v>0.04</v>
      </c>
      <c r="I7" s="3370">
        <v>4.4999999999999998E-2</v>
      </c>
      <c r="J7" s="364">
        <v>8.5000000000000006E-2</v>
      </c>
      <c r="K7" s="2497">
        <f>SUMIF('数据-汇总表'!C$19:C$33,A7,'数据-汇总表'!E$19:E$33)</f>
        <v>2530.29</v>
      </c>
      <c r="L7" s="1476">
        <v>2300</v>
      </c>
      <c r="M7" s="365">
        <f t="shared" si="0"/>
        <v>582</v>
      </c>
      <c r="N7" s="1474">
        <v>0.9</v>
      </c>
      <c r="O7" s="365" t="str">
        <f t="shared" ref="O7:O14" si="3">IF($N$5="成新度","——",ROUND(M7*N7,0))</f>
        <v>——</v>
      </c>
      <c r="P7" s="366" t="str">
        <f t="shared" ref="P7:P14" si="4">IF($N$5="成新度","——",M7-O7)</f>
        <v>——</v>
      </c>
      <c r="Q7" s="3373">
        <v>0.1</v>
      </c>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f>'比较法-仓储'!C37</f>
        <v>3</v>
      </c>
      <c r="V7" s="369">
        <v>0.03</v>
      </c>
      <c r="W7" s="369">
        <v>0.12</v>
      </c>
      <c r="X7" s="2507"/>
      <c r="Y7" s="370">
        <v>0.9</v>
      </c>
      <c r="Z7" s="371"/>
      <c r="AA7" s="364"/>
      <c r="AB7" s="364"/>
      <c r="AC7" s="2507"/>
      <c r="AD7" s="372"/>
      <c r="AE7" s="2508">
        <f t="shared" ref="AE7:AE13" ca="1" si="6">IF(AN7="",0,SUMIF(INDIRECT("'"&amp;AN7&amp;"'"&amp;"!E:E"),$AE$5,INDIRECT("'"&amp;AN7&amp;"'"&amp;"!F:F")))</f>
        <v>35.979999999999997</v>
      </c>
      <c r="AF7" s="352"/>
      <c r="AG7" s="478">
        <f t="shared" ref="AG7:AG13" si="7">IF(AF7="",0,AE7-AF7)</f>
        <v>0</v>
      </c>
      <c r="AH7" s="373"/>
      <c r="AI7" s="375">
        <v>365</v>
      </c>
      <c r="AJ7" s="376"/>
      <c r="AK7" s="377">
        <v>1.4999999999999999E-2</v>
      </c>
      <c r="AL7" s="378">
        <v>2E-3</v>
      </c>
      <c r="AM7" s="379">
        <v>0.02</v>
      </c>
      <c r="AN7" s="2577" t="s">
        <v>3096</v>
      </c>
      <c r="AO7" s="344">
        <f t="shared" ref="AO7:AO13" ca="1" si="8">SUMIF(INDIRECT("'"&amp;AN7&amp;"'"&amp;"!A:A"),"总价",INDIRECT("'"&amp;AN7&amp;"'"&amp;"!B:B"))</f>
        <v>5558</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t="str">
        <f>'数据-汇总表'!C21</f>
        <v>住宅</v>
      </c>
      <c r="B8" s="2494" t="str">
        <f t="shared" si="1"/>
        <v>经营性</v>
      </c>
      <c r="C8" s="39" t="s">
        <v>40</v>
      </c>
      <c r="D8" s="2057">
        <f>SUMIF(项目基本情况!D$12:I$12,C8,项目基本情况!D$14:I$14)</f>
        <v>70</v>
      </c>
      <c r="E8" s="2051">
        <f>IF(B8="","",SUMIF(项目基本情况!D$12:I$12,C8,项目基本情况!D$13:I$13))</f>
        <v>63481</v>
      </c>
      <c r="F8" s="362">
        <f>SUMIF(项目基本情况!D$12:I$12,C8,项目基本情况!D$15:I$15)</f>
        <v>56</v>
      </c>
      <c r="G8" s="363">
        <f t="shared" si="2"/>
        <v>0</v>
      </c>
      <c r="H8" s="1475"/>
      <c r="I8" s="1475"/>
      <c r="J8" s="364"/>
      <c r="K8" s="2497">
        <f>SUMIF('数据-汇总表'!C$19:C$33,A8,'数据-汇总表'!E$19:E$33)</f>
        <v>0</v>
      </c>
      <c r="L8" s="1476"/>
      <c r="M8" s="365">
        <f>ROUND(K8*L8/10000,0)</f>
        <v>0</v>
      </c>
      <c r="N8" s="1474"/>
      <c r="O8" s="365" t="str">
        <f t="shared" si="3"/>
        <v>——</v>
      </c>
      <c r="P8" s="366" t="str">
        <f t="shared" si="4"/>
        <v>——</v>
      </c>
      <c r="Q8" s="1477"/>
      <c r="R8" s="367" t="e">
        <f ca="1">SUMIF('数据-汇总表'!C$19:C$33,A8,'数据-汇总表'!R$19:R$27)</f>
        <v>#DIV/0!</v>
      </c>
      <c r="S8" s="343">
        <f>IF('数据-汇总表'!$I$17="按面积比例",SUMIF('数据-汇总表'!C$19:C$33,A8,'数据-汇总表'!K$19:K$33),SUMIF('数据-汇总表'!C$19:C$33,A8,'数据-汇总表'!N$19:N$33))</f>
        <v>0</v>
      </c>
      <c r="T8" s="2894">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535</v>
      </c>
      <c r="B14" s="2494" t="s">
        <v>534</v>
      </c>
      <c r="C14" s="2495" t="s">
        <v>535</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2"/>
      <c r="V14" s="2502"/>
      <c r="W14" s="2502"/>
      <c r="X14" s="2503"/>
      <c r="Y14" s="2504"/>
      <c r="Z14" s="2505"/>
      <c r="AA14" s="2506"/>
      <c r="AB14" s="2506"/>
      <c r="AC14" s="2507"/>
      <c r="AD14" s="2503"/>
      <c r="AE14" s="2508"/>
      <c r="AF14" s="344"/>
      <c r="AG14" s="478"/>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2400</v>
      </c>
      <c r="B15" s="2494" t="s">
        <v>534</v>
      </c>
      <c r="C15" s="2495" t="s">
        <v>2104</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2"/>
      <c r="V15" s="2502"/>
      <c r="W15" s="2502"/>
      <c r="X15" s="2503"/>
      <c r="Y15" s="2504"/>
      <c r="Z15" s="2505"/>
      <c r="AA15" s="2506"/>
      <c r="AB15" s="2506"/>
      <c r="AC15" s="2507"/>
      <c r="AD15" s="2503"/>
      <c r="AE15" s="2508"/>
      <c r="AF15" s="344"/>
      <c r="AG15" s="478"/>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0.879</v>
      </c>
      <c r="H16" s="389">
        <f>ROUND(SUMPRODUCT(H6:H13,K6:K13)/SUMPRODUCT((H6:H13&gt;0)*(K6:K13)),3)</f>
        <v>0.04</v>
      </c>
      <c r="I16" s="390"/>
      <c r="J16" s="390"/>
      <c r="K16" s="391">
        <f>SUM(K6:K15)</f>
        <v>2579.75</v>
      </c>
      <c r="L16" s="392">
        <f>ROUND(M16*10000/SUM(K6:K14),0)</f>
        <v>2310</v>
      </c>
      <c r="M16" s="392">
        <f>SUM(M6:M14)</f>
        <v>596</v>
      </c>
      <c r="N16" s="393">
        <f>ROUND(SUMPRODUCT(M6:M14,N6:N14)/M16,3)</f>
        <v>0.9</v>
      </c>
      <c r="O16" s="392">
        <f>SUM(O6:O14)</f>
        <v>0</v>
      </c>
      <c r="P16" s="392">
        <f>SUM(P6:P14)</f>
        <v>0</v>
      </c>
      <c r="Q16" s="394">
        <f>ROUND(SUMPRODUCT(Q6:Q13,K6:K13)/SUMPRODUCT((Q6:Q13&gt;0)*(K6:K13)),2)</f>
        <v>0.1</v>
      </c>
      <c r="R16" s="2501" t="e">
        <f ca="1">SUM(R6:R13)</f>
        <v>#DIV/0!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2416</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700</v>
      </c>
      <c r="B20" s="403">
        <v>1.5</v>
      </c>
      <c r="C20" s="2233" t="s">
        <v>2417</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3">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4">
        <f>B19+B20</f>
        <v>1.5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4">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708</v>
      </c>
      <c r="B27" s="406">
        <v>0</v>
      </c>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710</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2694</v>
      </c>
      <c r="B29" s="411">
        <v>200</v>
      </c>
      <c r="C29" s="2529" t="s">
        <v>2695</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711</v>
      </c>
      <c r="B30" s="1133">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712</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713</v>
      </c>
      <c r="B32" s="1134">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714</v>
      </c>
      <c r="B33" s="1135">
        <v>0.05</v>
      </c>
      <c r="C33" s="3295" t="s">
        <v>3006</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715</v>
      </c>
      <c r="B34" s="412">
        <v>0.05</v>
      </c>
      <c r="C34" s="3295" t="s">
        <v>3007</v>
      </c>
      <c r="D34" s="2234" t="s">
        <v>716</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717</v>
      </c>
      <c r="B35" s="409">
        <v>200</v>
      </c>
      <c r="C35" s="3295" t="s">
        <v>3008</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3">
        <v>1.4999999999999999E-2</v>
      </c>
      <c r="C36" s="3295" t="s">
        <v>3009</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4">
        <v>0.02</v>
      </c>
      <c r="C37" s="3295" t="s">
        <v>3010</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2">
        <v>0.02</v>
      </c>
      <c r="C38" s="3295" t="s">
        <v>3010</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2544</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2620</v>
      </c>
      <c r="B40" s="2637">
        <f ca="1">存贷款利率!G1</f>
        <v>4.7500000000000001E-2</v>
      </c>
      <c r="C40" s="2531" t="s">
        <v>539</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722</v>
      </c>
      <c r="B42" s="416">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723</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8">
        <v>7.0000000000000007E-2</v>
      </c>
      <c r="C44" s="3295" t="s">
        <v>3012</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6">
        <v>0.03</v>
      </c>
      <c r="C45" s="3296" t="s">
        <v>3011</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6">
        <v>0.02</v>
      </c>
      <c r="C46" s="3296" t="s">
        <v>3038</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9"/>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20">
        <v>0.03</v>
      </c>
      <c r="C48" s="3318" t="s">
        <v>3039</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6">
        <v>5.0000000000000001E-4</v>
      </c>
      <c r="C49" s="3318" t="s">
        <v>3040</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3">
        <f>SUMIF(A54:A63,B53,B54:B63)</f>
        <v>24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1287</v>
      </c>
      <c r="C53" s="2235" t="s">
        <v>3013</v>
      </c>
      <c r="D53" s="2238" t="s">
        <v>3017</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3014</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3015</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3016</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66" t="s">
        <v>751</v>
      </c>
      <c r="B1" s="3467"/>
      <c r="C1" s="3467"/>
      <c r="D1" s="3467"/>
      <c r="E1" s="3467"/>
      <c r="F1" s="3467"/>
      <c r="G1" s="3467"/>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752</v>
      </c>
      <c r="D2" s="1211"/>
      <c r="E2" s="1212"/>
      <c r="F2" s="1199"/>
      <c r="G2" s="1210" t="s">
        <v>753</v>
      </c>
      <c r="H2" s="2256"/>
      <c r="I2" s="2256"/>
      <c r="J2" s="2256"/>
      <c r="K2" s="2256"/>
      <c r="L2" s="2256"/>
      <c r="M2" s="2256"/>
      <c r="N2" s="2256"/>
      <c r="O2" s="2256"/>
      <c r="P2" s="2256"/>
      <c r="Q2" s="2256"/>
      <c r="R2" s="2256"/>
    </row>
    <row r="3" spans="1:29" ht="54">
      <c r="A3" s="1020" t="s">
        <v>754</v>
      </c>
      <c r="B3" s="51" t="s">
        <v>52</v>
      </c>
      <c r="C3" s="3297" t="s">
        <v>755</v>
      </c>
      <c r="D3" s="2257"/>
      <c r="E3" s="1029" t="s">
        <v>754</v>
      </c>
      <c r="F3" s="1213" t="s">
        <v>99</v>
      </c>
      <c r="G3" s="3301" t="s">
        <v>3019</v>
      </c>
      <c r="H3" s="2256"/>
      <c r="I3" s="2256"/>
      <c r="J3" s="2256"/>
      <c r="K3" s="2256"/>
      <c r="L3" s="2256"/>
      <c r="M3" s="2256"/>
      <c r="N3" s="2256"/>
      <c r="O3" s="2256"/>
      <c r="P3" s="2256"/>
      <c r="Q3" s="2256"/>
      <c r="R3" s="2256"/>
    </row>
    <row r="4" spans="1:29" ht="40.5">
      <c r="A4" s="1029"/>
      <c r="B4" s="2212" t="s">
        <v>756</v>
      </c>
      <c r="C4" s="3298" t="s">
        <v>757</v>
      </c>
      <c r="D4" s="2257"/>
      <c r="E4" s="1214"/>
      <c r="F4" s="2216" t="s">
        <v>758</v>
      </c>
      <c r="G4" s="3299" t="s">
        <v>759</v>
      </c>
      <c r="H4" s="2256"/>
      <c r="I4" s="2256"/>
      <c r="J4" s="2256"/>
      <c r="K4" s="2256"/>
      <c r="L4" s="2256"/>
      <c r="M4" s="2256"/>
      <c r="N4" s="2256"/>
      <c r="O4" s="2256"/>
      <c r="P4" s="2256"/>
      <c r="Q4" s="2256"/>
      <c r="R4" s="2256"/>
    </row>
    <row r="5" spans="1:29" ht="40.5">
      <c r="A5" s="1029"/>
      <c r="B5" s="2212" t="s">
        <v>760</v>
      </c>
      <c r="C5" s="3298" t="s">
        <v>761</v>
      </c>
      <c r="D5" s="2257"/>
      <c r="E5" s="1214"/>
      <c r="F5" s="2745" t="s">
        <v>2637</v>
      </c>
      <c r="G5" s="3299" t="s">
        <v>2639</v>
      </c>
      <c r="H5" s="2256"/>
      <c r="I5" s="2256"/>
      <c r="J5" s="2256"/>
      <c r="K5" s="2256"/>
      <c r="L5" s="2256"/>
      <c r="M5" s="2256"/>
      <c r="N5" s="2256"/>
      <c r="O5" s="2256"/>
      <c r="P5" s="2256"/>
      <c r="Q5" s="2256"/>
      <c r="R5" s="2256"/>
    </row>
    <row r="6" spans="1:29" ht="54">
      <c r="A6" s="1029"/>
      <c r="B6" s="2212" t="s">
        <v>72</v>
      </c>
      <c r="C6" s="3299" t="s">
        <v>735</v>
      </c>
      <c r="D6" s="2257"/>
      <c r="E6" s="1214"/>
      <c r="F6" s="2745" t="s">
        <v>2636</v>
      </c>
      <c r="G6" s="3299" t="s">
        <v>2638</v>
      </c>
      <c r="H6" s="2256"/>
      <c r="I6" s="2256"/>
      <c r="J6" s="2256"/>
      <c r="K6" s="2256"/>
      <c r="L6" s="2256"/>
      <c r="M6" s="2256"/>
      <c r="N6" s="2256"/>
      <c r="O6" s="2256"/>
      <c r="P6" s="2256"/>
      <c r="Q6" s="2256"/>
      <c r="R6" s="2256"/>
    </row>
    <row r="7" spans="1:29" ht="41.25" thickBot="1">
      <c r="A7" s="1029"/>
      <c r="B7" s="2212" t="s">
        <v>2637</v>
      </c>
      <c r="C7" s="3299" t="s">
        <v>2639</v>
      </c>
      <c r="D7" s="2258"/>
      <c r="E7" s="1215"/>
      <c r="F7" s="1216" t="s">
        <v>736</v>
      </c>
      <c r="G7" s="3302" t="s">
        <v>3020</v>
      </c>
      <c r="H7" s="2256"/>
      <c r="I7" s="2256"/>
      <c r="J7" s="2256"/>
      <c r="K7" s="2256"/>
      <c r="L7" s="2256"/>
      <c r="M7" s="2256"/>
      <c r="N7" s="2256"/>
      <c r="O7" s="2256"/>
      <c r="P7" s="2256"/>
      <c r="Q7" s="2256"/>
      <c r="R7" s="2256"/>
    </row>
    <row r="8" spans="1:29" ht="27">
      <c r="A8" s="1029"/>
      <c r="B8" s="2745" t="s">
        <v>2636</v>
      </c>
      <c r="C8" s="3299" t="s">
        <v>2638</v>
      </c>
      <c r="D8" s="2258"/>
      <c r="E8" s="2258"/>
      <c r="F8" s="2259"/>
      <c r="G8" s="2259"/>
      <c r="H8" s="2256"/>
      <c r="I8" s="2256"/>
      <c r="J8" s="2256"/>
      <c r="K8" s="2256"/>
      <c r="L8" s="2256"/>
      <c r="M8" s="2256"/>
      <c r="N8" s="2256"/>
      <c r="O8" s="2256"/>
      <c r="P8" s="2256"/>
      <c r="Q8" s="2256"/>
      <c r="R8" s="2256"/>
    </row>
    <row r="9" spans="1:29" ht="40.5">
      <c r="A9" s="1029"/>
      <c r="B9" s="2212" t="s">
        <v>73</v>
      </c>
      <c r="C9" s="3298" t="s">
        <v>737</v>
      </c>
      <c r="D9" s="2257"/>
      <c r="E9" s="2258"/>
      <c r="F9" s="2259"/>
      <c r="G9" s="2259"/>
      <c r="H9" s="2256"/>
      <c r="I9" s="2256"/>
      <c r="J9" s="2256"/>
      <c r="K9" s="2256"/>
      <c r="L9" s="2256"/>
      <c r="M9" s="2256"/>
      <c r="N9" s="2256"/>
      <c r="O9" s="2256"/>
      <c r="P9" s="2256"/>
      <c r="Q9" s="2256"/>
      <c r="R9" s="2256"/>
    </row>
    <row r="10" spans="1:29" s="40" customFormat="1" ht="14.25" thickBot="1">
      <c r="A10" s="1218"/>
      <c r="B10" s="1219" t="s">
        <v>738</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0"/>
      <c r="B14" s="1221"/>
      <c r="C14" s="1222" t="s">
        <v>740</v>
      </c>
      <c r="D14" s="2257"/>
      <c r="E14" s="1223"/>
      <c r="F14" s="1223"/>
      <c r="G14" s="1210" t="s">
        <v>741</v>
      </c>
    </row>
    <row r="15" spans="1:29" ht="54">
      <c r="A15" s="46" t="s">
        <v>742</v>
      </c>
      <c r="B15" s="14" t="s">
        <v>52</v>
      </c>
      <c r="C15" s="1224" t="str">
        <f>C3</f>
        <v>估价对象周边居住用地比例、居住小区规模和社区发展完善程度，综合评价居住社区成熟度一般</v>
      </c>
      <c r="D15" s="2257"/>
      <c r="E15" s="2758" t="s">
        <v>743</v>
      </c>
      <c r="F15" s="14" t="s">
        <v>744</v>
      </c>
      <c r="G15" s="1022" t="str">
        <f>G3</f>
        <v>估价对象位于XX开发区，园区建设成熟度XX，产业集聚程度XX</v>
      </c>
    </row>
    <row r="16" spans="1:29" ht="40.5">
      <c r="A16" s="2761"/>
      <c r="B16" s="1225" t="s">
        <v>745</v>
      </c>
      <c r="C16" s="1226" t="str">
        <f>C4</f>
        <v>估价对象位于XX商圈，周边商业氛围成熟，人流量大，商业繁华度好</v>
      </c>
      <c r="D16" s="2257"/>
      <c r="E16" s="2759"/>
      <c r="F16" s="1227" t="s">
        <v>746</v>
      </c>
      <c r="G16" s="1024" t="str">
        <f>G4</f>
        <v>估价对象周边道路状况、公共交通通达情况、停车便捷程度，综合评价交通便捷度较好</v>
      </c>
    </row>
    <row r="17" spans="1:18" ht="40.5">
      <c r="A17" s="2761"/>
      <c r="B17" s="1225" t="s">
        <v>747</v>
      </c>
      <c r="C17" s="1226" t="str">
        <f>C5</f>
        <v>估价对象位于XX商圈，周边办公楼项目较多，入驻率高，办公集聚程度较好</v>
      </c>
      <c r="D17" s="2258"/>
      <c r="E17" s="2759"/>
      <c r="F17" s="1227" t="s">
        <v>748</v>
      </c>
      <c r="G17" s="271"/>
    </row>
    <row r="18" spans="1:18" ht="54">
      <c r="A18" s="2761"/>
      <c r="B18" s="1227" t="s">
        <v>72</v>
      </c>
      <c r="C18" s="1024" t="str">
        <f>C6</f>
        <v>估价对象周边道路状况、公共交通通达情况、停车便捷程度，综合评价交通便捷度较好</v>
      </c>
      <c r="D18" s="2258"/>
      <c r="E18" s="2759"/>
      <c r="F18" s="1227" t="s">
        <v>736</v>
      </c>
      <c r="G18" s="1024" t="str">
        <f>G7</f>
        <v>该园区内是否有污染型企业，绿化情况，卫生条件，整体环境状况判断</v>
      </c>
    </row>
    <row r="19" spans="1:18" ht="27">
      <c r="A19" s="2761"/>
      <c r="B19" s="1227" t="s">
        <v>91</v>
      </c>
      <c r="C19" s="271"/>
      <c r="D19" s="2257"/>
      <c r="E19" s="2759"/>
      <c r="F19" s="2745" t="s">
        <v>2637</v>
      </c>
      <c r="G19" s="1024" t="str">
        <f>G5</f>
        <v>估价对象所在区域公共配套设施齐备情况</v>
      </c>
    </row>
    <row r="20" spans="1:18" ht="40.5">
      <c r="A20" s="2761"/>
      <c r="B20" s="1227" t="s">
        <v>90</v>
      </c>
      <c r="C20" s="1226" t="str">
        <f>C9</f>
        <v>区域自然环境：；人文环境；综合评价环境状况一般</v>
      </c>
      <c r="D20" s="2258"/>
      <c r="E20" s="2759"/>
      <c r="F20" s="2745" t="s">
        <v>2636</v>
      </c>
      <c r="G20" s="1024" t="str">
        <f>G6</f>
        <v>估价对象所在区域基础设施水平</v>
      </c>
    </row>
    <row r="21" spans="1:18" ht="27">
      <c r="A21" s="2761"/>
      <c r="B21" s="2745" t="s">
        <v>2637</v>
      </c>
      <c r="C21" s="1024" t="str">
        <f>C7</f>
        <v>估价对象所在区域公共配套设施齐备情况</v>
      </c>
      <c r="D21" s="2257"/>
      <c r="E21" s="2759"/>
      <c r="F21" s="1227" t="s">
        <v>89</v>
      </c>
      <c r="G21" s="283"/>
    </row>
    <row r="22" spans="1:18" ht="13.5" customHeight="1">
      <c r="A22" s="2761"/>
      <c r="B22" s="2745" t="s">
        <v>2636</v>
      </c>
      <c r="C22" s="1024" t="str">
        <f>C8</f>
        <v>估价对象所在区域基础设施水平</v>
      </c>
      <c r="D22" s="2257"/>
      <c r="E22" s="2759"/>
      <c r="F22" s="1227" t="s">
        <v>749</v>
      </c>
      <c r="G22" s="271"/>
    </row>
    <row r="23" spans="1:18" s="2256" customFormat="1" ht="14.25" thickBot="1">
      <c r="A23" s="2761"/>
      <c r="B23" s="1227" t="s">
        <v>89</v>
      </c>
      <c r="C23" s="283"/>
      <c r="D23" s="2269"/>
      <c r="E23" s="2760"/>
      <c r="F23" s="1228" t="s">
        <v>750</v>
      </c>
      <c r="G23" s="284"/>
      <c r="H23" s="2269"/>
      <c r="I23" s="2270"/>
      <c r="J23" s="2269"/>
      <c r="K23" s="2269"/>
      <c r="L23" s="2270"/>
      <c r="M23" s="2269"/>
      <c r="N23" s="2269"/>
      <c r="O23" s="2270"/>
      <c r="P23" s="2269"/>
      <c r="Q23" s="2269"/>
      <c r="R23" s="2271"/>
    </row>
    <row r="24" spans="1:18" s="2256" customFormat="1" ht="14.25" thickBot="1">
      <c r="A24" s="2762"/>
      <c r="B24" s="1228" t="s">
        <v>88</v>
      </c>
      <c r="C24" s="1229">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RowHeight="13.5"/>
  <cols>
    <col min="1" max="1" width="23.375" style="3256" customWidth="1"/>
    <col min="2" max="9" width="15.75" style="3256" customWidth="1"/>
    <col min="10" max="16384" width="9" style="3256"/>
  </cols>
  <sheetData>
    <row r="1" spans="1:10" ht="16.5">
      <c r="A1" s="3261" t="s">
        <v>2989</v>
      </c>
      <c r="B1" s="3261">
        <f>SUM(B14:B23)</f>
        <v>2579.75</v>
      </c>
      <c r="C1" s="3260"/>
      <c r="D1" s="3260"/>
      <c r="E1" s="3260"/>
      <c r="F1" s="3260"/>
      <c r="G1" s="3258"/>
    </row>
    <row r="2" spans="1:10" ht="16.5">
      <c r="A2" s="3261" t="s">
        <v>2977</v>
      </c>
      <c r="B2" s="3261">
        <f>SUM(C14:C23)</f>
        <v>0</v>
      </c>
      <c r="C2" s="3260"/>
      <c r="D2" s="3260"/>
      <c r="E2" s="3260"/>
      <c r="F2" s="3260"/>
      <c r="G2" s="3258"/>
    </row>
    <row r="3" spans="1:10" ht="16.5">
      <c r="A3" s="3261" t="s">
        <v>2986</v>
      </c>
      <c r="B3" s="3262">
        <f>项目基本情况!D3</f>
        <v>43040</v>
      </c>
      <c r="C3" s="3260"/>
      <c r="D3" s="3260"/>
      <c r="E3" s="3260"/>
      <c r="F3" s="3260"/>
      <c r="G3" s="3258"/>
    </row>
    <row r="4" spans="1:10" ht="33">
      <c r="A4" s="3261" t="s">
        <v>2985</v>
      </c>
      <c r="B4" s="3261" t="s">
        <v>2984</v>
      </c>
      <c r="C4" s="3261" t="s">
        <v>2983</v>
      </c>
      <c r="D4" s="3261" t="s">
        <v>2982</v>
      </c>
      <c r="E4" s="3260"/>
      <c r="F4" s="3258"/>
      <c r="G4" s="3258"/>
    </row>
    <row r="5" spans="1:10" ht="16.5">
      <c r="A5" s="3261" t="s">
        <v>2981</v>
      </c>
      <c r="B5" s="3261">
        <f ca="1">SUM(D14:D23)</f>
        <v>5240</v>
      </c>
      <c r="C5" s="3261">
        <f ca="1">ROUND(B5*10000/$B$1,0)</f>
        <v>20312</v>
      </c>
      <c r="D5" s="3261" t="e">
        <f ca="1">ROUND(B5*10000/$B$2,0)</f>
        <v>#DIV/0!</v>
      </c>
      <c r="E5" s="3260"/>
      <c r="F5" s="3258"/>
      <c r="G5" s="3258"/>
    </row>
    <row r="6" spans="1:10" ht="16.5">
      <c r="A6" s="3261" t="s">
        <v>2980</v>
      </c>
      <c r="B6" s="3261">
        <f ca="1">SUM(G14:G23)</f>
        <v>4978</v>
      </c>
      <c r="C6" s="3261">
        <f ca="1">ROUND(B6*10000/$B$1,0)</f>
        <v>19296</v>
      </c>
      <c r="D6" s="3261" t="e">
        <f ca="1">ROUND(B6*10000/$B$2,0)</f>
        <v>#DIV/0!</v>
      </c>
      <c r="E6" s="3260"/>
      <c r="F6" s="3258"/>
      <c r="G6" s="3258"/>
    </row>
    <row r="7" spans="1:10" ht="16.5">
      <c r="A7" s="3261" t="s">
        <v>2988</v>
      </c>
      <c r="B7" s="3261">
        <f>SUM(H14:H23)</f>
        <v>0</v>
      </c>
      <c r="C7" s="3261">
        <f>ROUND(B7*10000/$B$1,0)</f>
        <v>0</v>
      </c>
      <c r="D7" s="3261" t="e">
        <f>ROUND(B7*10000/$B$2,0)</f>
        <v>#DIV/0!</v>
      </c>
      <c r="E7" s="3260"/>
      <c r="F7" s="3258"/>
      <c r="G7" s="3258"/>
    </row>
    <row r="8" spans="1:10" ht="16.5">
      <c r="A8" s="3261" t="s">
        <v>2878</v>
      </c>
      <c r="B8" s="3261">
        <f>SUM(I14:I23)</f>
        <v>0</v>
      </c>
      <c r="C8" s="3261">
        <f>ROUND(B8*10000/$B$1,0)</f>
        <v>0</v>
      </c>
      <c r="D8" s="3261" t="e">
        <f>ROUND(B8*10000/$B$2,0)</f>
        <v>#DIV/0!</v>
      </c>
      <c r="E8" s="3260"/>
      <c r="F8" s="3258"/>
      <c r="G8" s="3258"/>
    </row>
    <row r="9" spans="1:10" ht="16.5">
      <c r="A9" s="3261" t="s">
        <v>2979</v>
      </c>
      <c r="B9" s="3263"/>
      <c r="C9" s="3260"/>
      <c r="D9" s="3260"/>
      <c r="E9" s="3260"/>
      <c r="F9" s="3258"/>
      <c r="G9" s="3258"/>
    </row>
    <row r="10" spans="1:10" ht="16.5">
      <c r="A10" s="3261" t="s">
        <v>2978</v>
      </c>
      <c r="B10" s="3263"/>
      <c r="C10" s="3260"/>
      <c r="D10" s="3260"/>
      <c r="E10" s="3260"/>
      <c r="F10" s="3258"/>
      <c r="G10" s="3258"/>
    </row>
    <row r="11" spans="1:10" ht="16.5">
      <c r="A11" s="3261" t="s">
        <v>2994</v>
      </c>
      <c r="B11" s="3263"/>
      <c r="C11" s="3260"/>
      <c r="D11" s="3260"/>
      <c r="E11" s="3260"/>
      <c r="F11" s="3258"/>
      <c r="G11" s="3258"/>
    </row>
    <row r="12" spans="1:10" ht="16.5">
      <c r="A12" s="3260"/>
      <c r="B12" s="3260"/>
      <c r="C12" s="3260"/>
      <c r="D12" s="3260"/>
      <c r="E12" s="3260"/>
      <c r="F12" s="3258"/>
      <c r="G12" s="3258"/>
    </row>
    <row r="13" spans="1:10" ht="33">
      <c r="A13" s="3266" t="s">
        <v>2993</v>
      </c>
      <c r="B13" s="3259" t="s">
        <v>2990</v>
      </c>
      <c r="C13" s="3259" t="s">
        <v>2992</v>
      </c>
      <c r="D13" s="3259" t="s">
        <v>2991</v>
      </c>
      <c r="E13" s="3261" t="s">
        <v>2983</v>
      </c>
      <c r="F13" s="3261" t="s">
        <v>2982</v>
      </c>
      <c r="G13" s="3259" t="s">
        <v>2976</v>
      </c>
      <c r="H13" s="3259" t="s">
        <v>2987</v>
      </c>
      <c r="I13" s="3259" t="s">
        <v>2975</v>
      </c>
      <c r="J13" s="3258"/>
    </row>
    <row r="14" spans="1:10" ht="16.5">
      <c r="A14" s="3257" t="s">
        <v>2974</v>
      </c>
      <c r="B14" s="3259">
        <f>'数据-汇总表'!E3</f>
        <v>2579.75</v>
      </c>
      <c r="C14" s="3259">
        <f>'数据-汇总表'!D3</f>
        <v>0</v>
      </c>
      <c r="D14" s="3259">
        <f ca="1">结果表仓储!H118</f>
        <v>4978</v>
      </c>
      <c r="E14" s="3259">
        <f ca="1">ROUND(D14*10000/B14,0)</f>
        <v>19296</v>
      </c>
      <c r="F14" s="3259" t="e">
        <f ca="1">ROUND(D14*10000/C14,0)</f>
        <v>#DIV/0!</v>
      </c>
      <c r="G14" s="3259">
        <f ca="1">结果表仓储!D122</f>
        <v>4978</v>
      </c>
      <c r="H14" s="3259" t="str">
        <f>结果表仓储!D124</f>
        <v>——</v>
      </c>
      <c r="I14" s="3259" t="str">
        <f>结果表仓储!D126</f>
        <v>——</v>
      </c>
      <c r="J14" s="3258"/>
    </row>
    <row r="15" spans="1:10" ht="16.5">
      <c r="A15" s="3257" t="s">
        <v>2973</v>
      </c>
      <c r="B15" s="3264"/>
      <c r="C15" s="3264"/>
      <c r="D15" s="3264">
        <f ca="1">结果表商业!G19</f>
        <v>262</v>
      </c>
      <c r="E15" s="3259" t="e">
        <f t="shared" ref="E15:E23" ca="1" si="0">ROUND(D15*10000/B15,0)</f>
        <v>#DIV/0!</v>
      </c>
      <c r="F15" s="3259" t="e">
        <f t="shared" ref="F15:F23" ca="1" si="1">ROUND(D15*10000/C15,0)</f>
        <v>#DIV/0!</v>
      </c>
      <c r="G15" s="3265"/>
      <c r="H15" s="3265"/>
      <c r="I15" s="3264"/>
      <c r="J15" s="3258"/>
    </row>
    <row r="16" spans="1:10" ht="16.5">
      <c r="A16" s="3257" t="s">
        <v>2972</v>
      </c>
      <c r="B16" s="3264"/>
      <c r="C16" s="3264"/>
      <c r="D16" s="3264"/>
      <c r="E16" s="3259" t="e">
        <f t="shared" si="0"/>
        <v>#DIV/0!</v>
      </c>
      <c r="F16" s="3259" t="e">
        <f t="shared" si="1"/>
        <v>#DIV/0!</v>
      </c>
      <c r="G16" s="3265"/>
      <c r="H16" s="3265"/>
      <c r="I16" s="3264"/>
    </row>
    <row r="17" spans="1:9" ht="16.5">
      <c r="A17" s="3257" t="s">
        <v>2971</v>
      </c>
      <c r="B17" s="3264"/>
      <c r="C17" s="3264"/>
      <c r="D17" s="3264"/>
      <c r="E17" s="3259" t="e">
        <f t="shared" si="0"/>
        <v>#DIV/0!</v>
      </c>
      <c r="F17" s="3259" t="e">
        <f t="shared" si="1"/>
        <v>#DIV/0!</v>
      </c>
      <c r="G17" s="3265"/>
      <c r="H17" s="3265"/>
      <c r="I17" s="3264"/>
    </row>
    <row r="18" spans="1:9" ht="16.5">
      <c r="A18" s="3257" t="s">
        <v>2970</v>
      </c>
      <c r="B18" s="3264"/>
      <c r="C18" s="3264"/>
      <c r="D18" s="3264"/>
      <c r="E18" s="3259" t="e">
        <f t="shared" si="0"/>
        <v>#DIV/0!</v>
      </c>
      <c r="F18" s="3259" t="e">
        <f t="shared" si="1"/>
        <v>#DIV/0!</v>
      </c>
      <c r="G18" s="3264"/>
      <c r="H18" s="3264"/>
      <c r="I18" s="3264"/>
    </row>
    <row r="19" spans="1:9" ht="16.5">
      <c r="A19" s="3257" t="s">
        <v>2969</v>
      </c>
      <c r="B19" s="3264"/>
      <c r="C19" s="3264"/>
      <c r="D19" s="3264"/>
      <c r="E19" s="3259" t="e">
        <f t="shared" si="0"/>
        <v>#DIV/0!</v>
      </c>
      <c r="F19" s="3259" t="e">
        <f t="shared" si="1"/>
        <v>#DIV/0!</v>
      </c>
      <c r="G19" s="3264"/>
      <c r="H19" s="3264"/>
      <c r="I19" s="3264"/>
    </row>
    <row r="20" spans="1:9" ht="16.5">
      <c r="A20" s="3257" t="s">
        <v>2968</v>
      </c>
      <c r="B20" s="3264"/>
      <c r="C20" s="3264"/>
      <c r="D20" s="3264"/>
      <c r="E20" s="3259" t="e">
        <f t="shared" si="0"/>
        <v>#DIV/0!</v>
      </c>
      <c r="F20" s="3259" t="e">
        <f t="shared" si="1"/>
        <v>#DIV/0!</v>
      </c>
      <c r="G20" s="3264"/>
      <c r="H20" s="3264"/>
      <c r="I20" s="3264"/>
    </row>
    <row r="21" spans="1:9" ht="16.5">
      <c r="A21" s="3257" t="s">
        <v>2967</v>
      </c>
      <c r="B21" s="3264"/>
      <c r="C21" s="3264"/>
      <c r="D21" s="3264"/>
      <c r="E21" s="3259" t="e">
        <f t="shared" si="0"/>
        <v>#DIV/0!</v>
      </c>
      <c r="F21" s="3259" t="e">
        <f t="shared" si="1"/>
        <v>#DIV/0!</v>
      </c>
      <c r="G21" s="3264"/>
      <c r="H21" s="3264"/>
      <c r="I21" s="3264"/>
    </row>
    <row r="22" spans="1:9" ht="16.5">
      <c r="A22" s="3257" t="s">
        <v>2966</v>
      </c>
      <c r="B22" s="3264"/>
      <c r="C22" s="3264"/>
      <c r="D22" s="3264"/>
      <c r="E22" s="3259" t="e">
        <f t="shared" si="0"/>
        <v>#DIV/0!</v>
      </c>
      <c r="F22" s="3259" t="e">
        <f t="shared" si="1"/>
        <v>#DIV/0!</v>
      </c>
      <c r="G22" s="3264"/>
      <c r="H22" s="3264"/>
      <c r="I22" s="3264"/>
    </row>
    <row r="23" spans="1:9" ht="16.5">
      <c r="A23" s="3257" t="s">
        <v>2965</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871</v>
      </c>
      <c r="B1" s="3054"/>
      <c r="C1" s="3055"/>
      <c r="D1" s="3053"/>
      <c r="E1" s="652"/>
      <c r="F1" s="652"/>
      <c r="G1" s="3054"/>
      <c r="H1" s="652"/>
      <c r="I1" s="652"/>
      <c r="J1" s="652"/>
      <c r="K1" s="652">
        <f>MATCH(C1,'数据-取费表'!A6:A16,0)+5</f>
        <v>9</v>
      </c>
    </row>
    <row r="2" spans="1:33" ht="18" customHeight="1">
      <c r="A2" s="577" t="s">
        <v>820</v>
      </c>
      <c r="B2" s="580">
        <f ca="1">C32</f>
        <v>161</v>
      </c>
      <c r="C2" s="88" t="s">
        <v>1103</v>
      </c>
      <c r="D2" s="652"/>
      <c r="E2" s="652"/>
      <c r="F2" s="652"/>
      <c r="G2" s="652"/>
      <c r="H2" s="652"/>
      <c r="I2" s="652"/>
      <c r="J2" s="652"/>
      <c r="K2" s="652"/>
    </row>
    <row r="3" spans="1:33" ht="18" customHeight="1" thickBot="1">
      <c r="A3" s="579" t="s">
        <v>821</v>
      </c>
      <c r="B3" s="580">
        <f ca="1">ROUND(B2*10000/IF(C1="",'数据-汇总表'!E3,INDIRECT("'数据-取费表'!K"&amp;$K$1)),0)</f>
        <v>624</v>
      </c>
      <c r="C3" s="88" t="s">
        <v>870</v>
      </c>
      <c r="D3" s="652"/>
      <c r="E3" s="652"/>
      <c r="F3" s="652"/>
      <c r="G3" s="652"/>
      <c r="H3" s="652"/>
      <c r="I3" s="652"/>
      <c r="J3" s="652"/>
      <c r="K3" s="652"/>
    </row>
    <row r="4" spans="1:33" s="1810" customFormat="1" ht="16.5" customHeight="1">
      <c r="A4" s="1807" t="s">
        <v>872</v>
      </c>
      <c r="B4" s="1808"/>
      <c r="C4" s="1851">
        <f>SUM(C8:K8)</f>
        <v>0</v>
      </c>
      <c r="D4" s="1808"/>
      <c r="E4" s="1808"/>
      <c r="F4" s="1808"/>
      <c r="G4" s="1808"/>
      <c r="H4" s="1808"/>
      <c r="I4" s="1808"/>
      <c r="J4" s="1808"/>
      <c r="K4" s="1809"/>
    </row>
    <row r="5" spans="1:33" s="1814" customFormat="1" ht="24">
      <c r="A5" s="1811" t="s">
        <v>873</v>
      </c>
      <c r="B5" s="1812" t="s">
        <v>874</v>
      </c>
      <c r="C5" s="1272" t="s">
        <v>204</v>
      </c>
      <c r="D5" s="1272" t="s">
        <v>205</v>
      </c>
      <c r="E5" s="1272" t="s">
        <v>195</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1936</v>
      </c>
      <c r="B6" s="471" t="s">
        <v>875</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1917</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1918</v>
      </c>
      <c r="B8" s="509" t="s">
        <v>877</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878</v>
      </c>
      <c r="B9" s="1808"/>
      <c r="C9" s="1808"/>
      <c r="D9" s="1808"/>
      <c r="E9" s="1808"/>
      <c r="F9" s="1808"/>
      <c r="G9" s="1808"/>
      <c r="H9" s="1808"/>
      <c r="I9" s="1808"/>
      <c r="J9" s="1808"/>
      <c r="K9" s="1809"/>
    </row>
    <row r="10" spans="1:33" s="1825" customFormat="1" ht="13.5" customHeight="1">
      <c r="A10" s="1811" t="s">
        <v>873</v>
      </c>
      <c r="B10" s="295" t="s">
        <v>874</v>
      </c>
      <c r="C10" s="1821" t="s">
        <v>879</v>
      </c>
      <c r="D10" s="1822" t="s">
        <v>880</v>
      </c>
      <c r="E10" s="1822" t="s">
        <v>881</v>
      </c>
      <c r="F10" s="1822" t="s">
        <v>882</v>
      </c>
      <c r="G10" s="295"/>
      <c r="H10" s="1823"/>
      <c r="I10" s="1823"/>
      <c r="J10" s="1823"/>
      <c r="K10" s="1824"/>
    </row>
    <row r="11" spans="1:33" s="1830" customFormat="1" ht="13.5" customHeight="1">
      <c r="A11" s="1826" t="s">
        <v>2954</v>
      </c>
      <c r="B11" s="1827" t="s">
        <v>883</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2955</v>
      </c>
      <c r="B12" s="1827" t="s">
        <v>884</v>
      </c>
      <c r="C12" s="313">
        <f ca="1">ROUND(C11*F12,0)</f>
        <v>0</v>
      </c>
      <c r="D12" s="1828"/>
      <c r="E12" s="715"/>
      <c r="F12" s="1831">
        <f>'数据-取费表'!B33</f>
        <v>0.05</v>
      </c>
      <c r="G12" s="295" t="s">
        <v>885</v>
      </c>
      <c r="H12" s="1823"/>
      <c r="I12" s="1823"/>
      <c r="J12" s="1823"/>
      <c r="K12" s="1824"/>
    </row>
    <row r="13" spans="1:33" s="1830" customFormat="1" ht="13.5" customHeight="1">
      <c r="A13" s="1826" t="s">
        <v>2956</v>
      </c>
      <c r="B13" s="1827" t="s">
        <v>886</v>
      </c>
      <c r="C13" s="313">
        <f ca="1">ROUND(IF(C1="",SUMIF('数据-取费表'!C:C,"住宅",'数据-取费表'!P:P)*F13,IF(INDIRECT("'数据-取费表'!c"&amp;$K$1)="住宅",INDIRECT("'数据-取费表'!P"&amp;$K$1)*F13,0)),0)</f>
        <v>0</v>
      </c>
      <c r="D13" s="1909"/>
      <c r="E13" s="715"/>
      <c r="F13" s="1831">
        <f>'数据-取费表'!B34</f>
        <v>0.05</v>
      </c>
      <c r="G13" s="295" t="s">
        <v>887</v>
      </c>
      <c r="H13" s="1823"/>
      <c r="I13" s="1823"/>
      <c r="J13" s="1823"/>
      <c r="K13" s="1824"/>
    </row>
    <row r="14" spans="1:33" s="1832" customFormat="1" ht="13.5" customHeight="1">
      <c r="A14" s="1826" t="s">
        <v>2957</v>
      </c>
      <c r="B14" s="1827" t="s">
        <v>888</v>
      </c>
      <c r="C14" s="313">
        <f ca="1">ROUND(D14*E14*F11/10000,0)</f>
        <v>0</v>
      </c>
      <c r="D14" s="1909">
        <f ca="1">IF(C1="",'数据-汇总表'!E3,INDIRECT("'数据-取费表'!K"&amp;$K$1)+INDIRECT("'数据-取费表'!S"&amp;$K$1))</f>
        <v>2579.75</v>
      </c>
      <c r="E14" s="313">
        <f>'数据-取费表'!B35</f>
        <v>200</v>
      </c>
      <c r="F14" s="1831"/>
      <c r="G14" s="295" t="s">
        <v>889</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2958</v>
      </c>
      <c r="B15" s="1827" t="s">
        <v>895</v>
      </c>
      <c r="C15" s="1838">
        <f ca="1">ROUND(C11*F15,0)</f>
        <v>0</v>
      </c>
      <c r="D15" s="1833"/>
      <c r="E15" s="1838"/>
      <c r="F15" s="1839">
        <f>'数据-取费表'!B36</f>
        <v>1.4999999999999999E-2</v>
      </c>
      <c r="G15" s="471" t="s">
        <v>896</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1937</v>
      </c>
      <c r="B16" s="3240" t="s">
        <v>2959</v>
      </c>
      <c r="C16" s="1838">
        <f ca="1">SUM(C11:C15)</f>
        <v>0</v>
      </c>
      <c r="D16" s="1833"/>
      <c r="E16" s="1838"/>
      <c r="F16" s="1839"/>
      <c r="G16" s="471"/>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1938</v>
      </c>
      <c r="B17" s="1827" t="s">
        <v>890</v>
      </c>
      <c r="C17" s="313">
        <f ca="1">ROUND(D17*E17/10000,0)</f>
        <v>0</v>
      </c>
      <c r="D17" s="1909">
        <f ca="1">D14</f>
        <v>2579.75</v>
      </c>
      <c r="E17" s="313">
        <f>'数据-取费表'!B32</f>
        <v>0</v>
      </c>
      <c r="F17" s="1833"/>
      <c r="G17" s="471" t="s">
        <v>891</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2960</v>
      </c>
      <c r="B18" s="1827" t="s">
        <v>892</v>
      </c>
      <c r="C18" s="313">
        <f ca="1">C19+C20-IF(C1="",'数据-取费表'!B29,IF(G18="已全部缴纳",C19+C20,H18))</f>
        <v>-148</v>
      </c>
      <c r="D18" s="1909"/>
      <c r="E18" s="313"/>
      <c r="F18" s="1831"/>
      <c r="G18" s="3050"/>
      <c r="H18" s="3048"/>
      <c r="I18" s="3049" t="s">
        <v>2804</v>
      </c>
      <c r="J18" s="1834"/>
      <c r="K18" s="1835"/>
    </row>
    <row r="19" spans="1:33" s="1830" customFormat="1" ht="13.5" customHeight="1">
      <c r="A19" s="1826" t="s">
        <v>1939</v>
      </c>
      <c r="B19" s="1827" t="s">
        <v>893</v>
      </c>
      <c r="C19" s="313">
        <f ca="1">ROUND(D19*E19/10000,0)</f>
        <v>0</v>
      </c>
      <c r="D19" s="1909">
        <f ca="1">IF(C1="",'数据-汇总表'!E5,IF(INDIRECT("'数据-取费表'!c"&amp;$K$1)="住宅",INDIRECT("'数据-取费表'!k"&amp;$K$1),0))</f>
        <v>0</v>
      </c>
      <c r="E19" s="313">
        <f>'数据-取费表'!B27</f>
        <v>0</v>
      </c>
      <c r="F19" s="1831"/>
      <c r="G19" s="303"/>
      <c r="H19" s="3052"/>
      <c r="I19" s="1836"/>
      <c r="J19" s="1836"/>
      <c r="K19" s="1837"/>
    </row>
    <row r="20" spans="1:33" s="1830" customFormat="1" ht="13.5" customHeight="1">
      <c r="A20" s="1826" t="s">
        <v>1940</v>
      </c>
      <c r="B20" s="1827" t="s">
        <v>894</v>
      </c>
      <c r="C20" s="313">
        <f ca="1">ROUND(D20*E20/10000,0)</f>
        <v>52</v>
      </c>
      <c r="D20" s="1909">
        <f ca="1">IF(C1="",'数据-汇总表'!E6,IF(INDIRECT("'数据-取费表'!c"&amp;$K$1)="住宅",INDIRECT("'数据-取费表'!s"&amp;$K$1),INDIRECT("'数据-取费表'!k"&amp;$K$1)+INDIRECT("'数据-取费表'!s"&amp;$K$1)))</f>
        <v>2579.75</v>
      </c>
      <c r="E20" s="313">
        <f>'数据-取费表'!B28</f>
        <v>200</v>
      </c>
      <c r="F20" s="1831"/>
      <c r="G20" s="303"/>
      <c r="H20" s="1836"/>
      <c r="I20" s="1836"/>
      <c r="J20" s="1836"/>
      <c r="K20" s="1837"/>
    </row>
    <row r="21" spans="1:33" s="1830" customFormat="1" ht="13.5" customHeight="1">
      <c r="A21" s="1815" t="s">
        <v>1936</v>
      </c>
      <c r="B21" s="1840" t="s">
        <v>897</v>
      </c>
      <c r="C21" s="1841">
        <f ca="1">C16+C17+C18</f>
        <v>-148</v>
      </c>
      <c r="D21" s="1842"/>
      <c r="E21" s="657"/>
      <c r="F21" s="657"/>
      <c r="G21" s="471" t="s">
        <v>2531</v>
      </c>
      <c r="H21" s="1834"/>
      <c r="I21" s="1834"/>
      <c r="J21" s="1834"/>
      <c r="K21" s="1835"/>
    </row>
    <row r="22" spans="1:33" s="1830" customFormat="1" ht="13.5" customHeight="1">
      <c r="A22" s="1820" t="s">
        <v>1917</v>
      </c>
      <c r="B22" s="1840" t="s">
        <v>898</v>
      </c>
      <c r="C22" s="1841">
        <f ca="1">ROUND(C21*F22,0)</f>
        <v>-3</v>
      </c>
      <c r="D22" s="657"/>
      <c r="E22" s="657"/>
      <c r="F22" s="1843">
        <f>'数据-取费表'!B37</f>
        <v>0.02</v>
      </c>
      <c r="G22" s="295" t="s">
        <v>899</v>
      </c>
      <c r="H22" s="1823"/>
      <c r="I22" s="1823"/>
      <c r="J22" s="1823"/>
      <c r="K22" s="1824"/>
    </row>
    <row r="23" spans="1:33" s="1830" customFormat="1" ht="13.5" customHeight="1">
      <c r="A23" s="1820" t="s">
        <v>1918</v>
      </c>
      <c r="B23" s="1840" t="s">
        <v>900</v>
      </c>
      <c r="C23" s="1841">
        <f ca="1">ROUND(C4*F23*F11,0)</f>
        <v>0</v>
      </c>
      <c r="D23" s="657"/>
      <c r="E23" s="657"/>
      <c r="F23" s="1843">
        <f>'数据-取费表'!B38</f>
        <v>0.02</v>
      </c>
      <c r="G23" s="295" t="s">
        <v>901</v>
      </c>
      <c r="H23" s="1823"/>
      <c r="I23" s="1823"/>
      <c r="J23" s="1823"/>
      <c r="K23" s="1824"/>
    </row>
    <row r="24" spans="1:33" s="1830" customFormat="1" ht="13.5" customHeight="1">
      <c r="A24" s="1820" t="s">
        <v>1919</v>
      </c>
      <c r="B24" s="1840" t="s">
        <v>902</v>
      </c>
      <c r="C24" s="656">
        <f>ROUND(F24/(1+'数据-取费表'!C42),4)</f>
        <v>2.9000000000000001E-2</v>
      </c>
      <c r="D24" s="657" t="s">
        <v>50</v>
      </c>
      <c r="E24" s="657"/>
      <c r="F24" s="1843">
        <f>'数据-取费表'!B48+'数据-取费表'!B49</f>
        <v>3.0499999999999999E-2</v>
      </c>
      <c r="G24" s="2022" t="s">
        <v>2952</v>
      </c>
      <c r="H24" s="1845"/>
      <c r="I24" s="1845"/>
      <c r="J24" s="1845"/>
      <c r="K24" s="1846"/>
    </row>
    <row r="25" spans="1:33" s="1830" customFormat="1" ht="13.5" customHeight="1">
      <c r="A25" s="1820" t="s">
        <v>1920</v>
      </c>
      <c r="B25" s="1842" t="s">
        <v>903</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1937</v>
      </c>
      <c r="B26" s="1847" t="s">
        <v>904</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1938</v>
      </c>
      <c r="B27" s="1847" t="s">
        <v>2621</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4"/>
      <c r="I27" s="1834"/>
      <c r="J27" s="1834"/>
      <c r="K27" s="1835"/>
    </row>
    <row r="28" spans="1:33" s="665" customFormat="1" ht="13.5" customHeight="1">
      <c r="A28" s="1820" t="s">
        <v>1921</v>
      </c>
      <c r="B28" s="3241" t="s">
        <v>2961</v>
      </c>
      <c r="C28" s="663">
        <f ca="1">C30</f>
        <v>-15</v>
      </c>
      <c r="D28" s="656">
        <f ca="1">C29</f>
        <v>0</v>
      </c>
      <c r="E28" s="658" t="s">
        <v>50</v>
      </c>
      <c r="F28" s="664">
        <f ca="1">IF(C1="",'数据-取费表'!Q16,INDIRECT("'数据-取费表'!q"&amp;$K$1))</f>
        <v>0.1</v>
      </c>
      <c r="G28" s="1844"/>
      <c r="H28" s="1845"/>
      <c r="I28" s="1845"/>
      <c r="J28" s="1845"/>
      <c r="K28" s="1846"/>
    </row>
    <row r="29" spans="1:33" s="667" customFormat="1" ht="13.5" customHeight="1">
      <c r="A29" s="1826" t="s">
        <v>1937</v>
      </c>
      <c r="B29" s="1849" t="s">
        <v>905</v>
      </c>
      <c r="C29" s="660">
        <f ca="1">ROUND((1+C24)*F28*'数据-取费表'!B24/'数据-取费表'!B20,4)</f>
        <v>0</v>
      </c>
      <c r="D29" s="660"/>
      <c r="E29" s="661"/>
      <c r="F29" s="666"/>
      <c r="G29" s="471" t="s">
        <v>906</v>
      </c>
      <c r="H29" s="1834"/>
      <c r="I29" s="1834"/>
      <c r="J29" s="1834"/>
      <c r="K29" s="1835"/>
    </row>
    <row r="30" spans="1:33" s="667" customFormat="1" ht="13.5" customHeight="1">
      <c r="A30" s="1826" t="s">
        <v>1938</v>
      </c>
      <c r="B30" s="2709" t="s">
        <v>2622</v>
      </c>
      <c r="C30" s="668">
        <f ca="1">ROUND((C21+C22+C23)*F28,0)</f>
        <v>-15</v>
      </c>
      <c r="D30" s="660"/>
      <c r="E30" s="661"/>
      <c r="F30" s="666"/>
      <c r="G30" s="471"/>
      <c r="H30" s="1834"/>
      <c r="I30" s="1834"/>
      <c r="J30" s="1834"/>
      <c r="K30" s="1835"/>
    </row>
    <row r="31" spans="1:33" s="1830" customFormat="1" ht="13.5" customHeight="1" thickBot="1">
      <c r="A31" s="1861" t="s">
        <v>1922</v>
      </c>
      <c r="B31" s="1862" t="s">
        <v>907</v>
      </c>
      <c r="C31" s="1863">
        <f>ROUND(C4*F31/(1+'数据-取费表'!C42),0)</f>
        <v>0</v>
      </c>
      <c r="D31" s="1864"/>
      <c r="E31" s="1865"/>
      <c r="F31" s="1866">
        <f>'数据-取费表'!B41</f>
        <v>5.6000000000000001E-2</v>
      </c>
      <c r="G31" s="1867" t="s">
        <v>908</v>
      </c>
      <c r="H31" s="1868"/>
      <c r="I31" s="1868"/>
      <c r="J31" s="1868"/>
      <c r="K31" s="1869"/>
    </row>
    <row r="32" spans="1:33" s="1825" customFormat="1" ht="13.5" customHeight="1" thickBot="1">
      <c r="A32" s="1856" t="s">
        <v>2953</v>
      </c>
      <c r="B32" s="1857"/>
      <c r="C32" s="1858">
        <f ca="1">ROUND((C4-C21-C22-C23-C25-C28-C31)/(1+C24+D25+D28),0)</f>
        <v>161</v>
      </c>
      <c r="D32" s="1857"/>
      <c r="E32" s="1857"/>
      <c r="F32" s="1857"/>
      <c r="G32" s="1859" t="s">
        <v>909</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C17" sqref="C17"/>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8" t="s">
        <v>3048</v>
      </c>
      <c r="D1" s="1242"/>
      <c r="E1" s="1242"/>
      <c r="F1" s="2082" t="s">
        <v>2113</v>
      </c>
      <c r="G1" s="2055" t="s">
        <v>3071</v>
      </c>
      <c r="H1" s="2111" t="str">
        <f>IF(G1="现房","——","估价对象范围")</f>
        <v>——</v>
      </c>
      <c r="I1" s="2088" t="s">
        <v>3124</v>
      </c>
    </row>
    <row r="2" spans="1:12" ht="21.75" customHeight="1" thickBot="1">
      <c r="A2" s="3473" t="str">
        <f>项目基本情况!S2</f>
        <v>北京市西城区真武庙路二条10号楼1层7单元102及103共计两套商业服务用房及-1层-102号储藏用房房地产房地产</v>
      </c>
      <c r="B2" s="3474"/>
      <c r="C2" s="3474"/>
      <c r="D2" s="3474"/>
      <c r="E2" s="3474"/>
      <c r="F2" s="3474"/>
      <c r="G2" s="3474"/>
      <c r="H2" s="3474"/>
      <c r="I2" s="3475"/>
    </row>
    <row r="3" spans="1:12" ht="12">
      <c r="A3" s="3476" t="s">
        <v>10</v>
      </c>
      <c r="B3" s="3477"/>
      <c r="C3" s="3477"/>
      <c r="D3" s="3477"/>
      <c r="E3" s="3477"/>
      <c r="F3" s="3477"/>
      <c r="G3" s="3477"/>
      <c r="H3" s="3477"/>
      <c r="I3" s="3477"/>
    </row>
    <row r="4" spans="1:12" ht="13.5">
      <c r="A4" s="429" t="s">
        <v>11</v>
      </c>
      <c r="B4" s="430" t="s">
        <v>12</v>
      </c>
      <c r="C4" s="431" t="s">
        <v>3154</v>
      </c>
      <c r="D4" s="431" t="s">
        <v>3187</v>
      </c>
      <c r="E4" s="3478" t="s">
        <v>763</v>
      </c>
      <c r="F4" s="3479"/>
      <c r="G4" s="3479"/>
      <c r="H4" s="3479"/>
      <c r="I4" s="3480"/>
      <c r="K4" s="2184" t="str">
        <f>IF(ISNUMBER(FIND("比较法",结果表商业!C4)),"比较法",IF(ISNUMBER(FIND("成本法",结果表商业!C4)),"成本法",IF(ISNUMBER(FIND("假设开发法",结果表商业!C4)),"假设开发法",IF(ISNUMBER(FIND("收益法",结果表商业!C4)),"收益法","基准地价系数修正法"))))</f>
        <v>比较法</v>
      </c>
      <c r="L4" s="218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468" t="s">
        <v>13</v>
      </c>
      <c r="B5" s="3469">
        <v>25</v>
      </c>
      <c r="C5" s="3470"/>
      <c r="D5" s="3472"/>
      <c r="E5" s="471" t="s">
        <v>807</v>
      </c>
      <c r="F5" s="432"/>
      <c r="G5" s="432"/>
      <c r="H5" s="432"/>
      <c r="I5" s="433"/>
    </row>
    <row r="6" spans="1:12" ht="12.75">
      <c r="A6" s="3468"/>
      <c r="B6" s="3469"/>
      <c r="C6" s="3481"/>
      <c r="D6" s="3472"/>
      <c r="E6" s="471" t="s">
        <v>808</v>
      </c>
      <c r="F6" s="432"/>
      <c r="G6" s="432"/>
      <c r="H6" s="432"/>
      <c r="I6" s="433"/>
    </row>
    <row r="7" spans="1:12" ht="12.75">
      <c r="A7" s="3468"/>
      <c r="B7" s="3469"/>
      <c r="C7" s="3471"/>
      <c r="D7" s="3472"/>
      <c r="E7" s="471" t="s">
        <v>809</v>
      </c>
      <c r="F7" s="432"/>
      <c r="G7" s="432"/>
      <c r="H7" s="432"/>
      <c r="I7" s="433"/>
    </row>
    <row r="8" spans="1:12" ht="12.75">
      <c r="A8" s="3468" t="s">
        <v>14</v>
      </c>
      <c r="B8" s="3469">
        <v>15</v>
      </c>
      <c r="C8" s="3470"/>
      <c r="D8" s="3472"/>
      <c r="E8" s="471" t="s">
        <v>810</v>
      </c>
      <c r="F8" s="432"/>
      <c r="G8" s="432"/>
      <c r="H8" s="432"/>
      <c r="I8" s="433"/>
    </row>
    <row r="9" spans="1:12" ht="12.75">
      <c r="A9" s="3468"/>
      <c r="B9" s="3469"/>
      <c r="C9" s="3471"/>
      <c r="D9" s="3472"/>
      <c r="E9" s="471" t="s">
        <v>811</v>
      </c>
      <c r="F9" s="432"/>
      <c r="G9" s="432"/>
      <c r="H9" s="432"/>
      <c r="I9" s="433"/>
    </row>
    <row r="10" spans="1:12" ht="12.75">
      <c r="A10" s="3468" t="s">
        <v>15</v>
      </c>
      <c r="B10" s="3469">
        <v>15</v>
      </c>
      <c r="C10" s="3470"/>
      <c r="D10" s="3472"/>
      <c r="E10" s="471" t="s">
        <v>812</v>
      </c>
      <c r="F10" s="432"/>
      <c r="G10" s="432"/>
      <c r="H10" s="432"/>
      <c r="I10" s="433"/>
    </row>
    <row r="11" spans="1:12" ht="12.75">
      <c r="A11" s="3468"/>
      <c r="B11" s="3469"/>
      <c r="C11" s="3471"/>
      <c r="D11" s="3472"/>
      <c r="E11" s="471" t="s">
        <v>813</v>
      </c>
      <c r="F11" s="432"/>
      <c r="G11" s="432"/>
      <c r="H11" s="432"/>
      <c r="I11" s="433"/>
    </row>
    <row r="12" spans="1:12" ht="12.75">
      <c r="A12" s="3468" t="s">
        <v>16</v>
      </c>
      <c r="B12" s="3469">
        <v>15</v>
      </c>
      <c r="C12" s="3470"/>
      <c r="D12" s="3472"/>
      <c r="E12" s="471" t="s">
        <v>814</v>
      </c>
      <c r="F12" s="432"/>
      <c r="G12" s="432"/>
      <c r="H12" s="432"/>
      <c r="I12" s="433"/>
    </row>
    <row r="13" spans="1:12" ht="12.75">
      <c r="A13" s="3468"/>
      <c r="B13" s="3469"/>
      <c r="C13" s="3471"/>
      <c r="D13" s="3472"/>
      <c r="E13" s="471" t="s">
        <v>815</v>
      </c>
      <c r="F13" s="432"/>
      <c r="G13" s="432"/>
      <c r="H13" s="432"/>
      <c r="I13" s="433"/>
    </row>
    <row r="14" spans="1:12" ht="12.75">
      <c r="A14" s="3468" t="s">
        <v>17</v>
      </c>
      <c r="B14" s="3469">
        <v>30</v>
      </c>
      <c r="C14" s="3470">
        <v>0.6</v>
      </c>
      <c r="D14" s="3472">
        <f>1-C14</f>
        <v>0.4</v>
      </c>
      <c r="E14" s="471" t="s">
        <v>816</v>
      </c>
      <c r="F14" s="432"/>
      <c r="G14" s="432"/>
      <c r="H14" s="432"/>
      <c r="I14" s="433"/>
    </row>
    <row r="15" spans="1:12" ht="12.75">
      <c r="A15" s="3468"/>
      <c r="B15" s="3469"/>
      <c r="C15" s="3481"/>
      <c r="D15" s="3472"/>
      <c r="E15" s="471" t="s">
        <v>817</v>
      </c>
      <c r="F15" s="432"/>
      <c r="G15" s="432"/>
      <c r="H15" s="432"/>
      <c r="I15" s="433"/>
    </row>
    <row r="16" spans="1:12" ht="12.75">
      <c r="A16" s="3468"/>
      <c r="B16" s="3469"/>
      <c r="C16" s="3471"/>
      <c r="D16" s="3472"/>
      <c r="E16" s="471" t="s">
        <v>818</v>
      </c>
      <c r="F16" s="432"/>
      <c r="G16" s="432"/>
      <c r="H16" s="432"/>
      <c r="I16" s="433"/>
    </row>
    <row r="17" spans="1:35" ht="14.25">
      <c r="A17" s="434" t="s">
        <v>18</v>
      </c>
      <c r="B17" s="38"/>
      <c r="C17" s="472">
        <f>SUM(C5:C16)</f>
        <v>0.6</v>
      </c>
      <c r="D17" s="472">
        <f>SUM(D5:D16)</f>
        <v>0.4</v>
      </c>
      <c r="E17" s="2277"/>
      <c r="F17" s="2277"/>
      <c r="G17" s="2277"/>
      <c r="H17" s="2277"/>
      <c r="I17" s="2277"/>
      <c r="K17" s="2184"/>
      <c r="L17" s="2185" t="s">
        <v>2321</v>
      </c>
      <c r="M17" s="2185" t="s">
        <v>2322</v>
      </c>
    </row>
    <row r="18" spans="1:35" ht="15" thickBot="1">
      <c r="A18" s="435" t="s">
        <v>19</v>
      </c>
      <c r="B18" s="18"/>
      <c r="C18" s="473">
        <f>ROUND(C17/SUM(C17:D17),2)</f>
        <v>0.6</v>
      </c>
      <c r="D18" s="473">
        <f>1-C18</f>
        <v>0.4</v>
      </c>
      <c r="E18" s="2277"/>
      <c r="F18" s="2277"/>
      <c r="G18" s="2277"/>
      <c r="H18" s="2277"/>
      <c r="I18" s="2277"/>
      <c r="K18" s="2184" t="s">
        <v>2135</v>
      </c>
      <c r="L18" s="2184">
        <f>IF(C1="",'数据-汇总表'!E3,SUMIF(项目类型,C1,'数据-汇总表'!E17:E26)+SUMIF(项目类型,C1,'数据-汇总表'!I17:I26))</f>
        <v>49.46</v>
      </c>
      <c r="M18" s="2184">
        <f>IF(C1="",'数据-汇总表'!E3,SUMIF(项目类型,C1,'数据-汇总表'!E17:E26))</f>
        <v>49.46</v>
      </c>
    </row>
    <row r="19" spans="1:35" ht="14.25">
      <c r="A19" s="436" t="s">
        <v>180</v>
      </c>
      <c r="B19" s="437" t="s">
        <v>20</v>
      </c>
      <c r="C19" s="474">
        <f ca="1">SUMIF(INDIRECT("'"&amp;C4&amp;"'"&amp;"!A:A"),结果表商业!B19,INDIRECT("'"&amp;C4&amp;"'"&amp;"!B:B"))</f>
        <v>302</v>
      </c>
      <c r="D19" s="475">
        <f ca="1">SUMIF(INDIRECT("'"&amp;D4&amp;"'"&amp;"!A:A"),结果表商业!B19,INDIRECT("'"&amp;D4&amp;"'"&amp;"!B:B"))</f>
        <v>203</v>
      </c>
      <c r="E19" s="436" t="s">
        <v>179</v>
      </c>
      <c r="F19" s="437" t="s">
        <v>20</v>
      </c>
      <c r="G19" s="476">
        <f ca="1">ROUND(C19*$C$18+D19*$D$18,0)</f>
        <v>262</v>
      </c>
      <c r="H19" s="438" t="s">
        <v>228</v>
      </c>
      <c r="I19" s="2277"/>
      <c r="K19" s="2184" t="s">
        <v>2136</v>
      </c>
      <c r="L19" s="2184">
        <f>IF(C1="",'数据-汇总表'!D3,SUMIF(项目类型,C1,'数据-汇总表'!D17:D26)+SUMIF(项目类型,C1,'数据-汇总表'!H17:H27))</f>
        <v>0</v>
      </c>
      <c r="M19" s="2184">
        <f>IF(C1="",'数据-汇总表'!D3,SUMIF(项目类型,C1,'数据-汇总表'!D17:D26))</f>
        <v>0</v>
      </c>
    </row>
    <row r="20" spans="1:35" ht="14.25">
      <c r="A20" s="439"/>
      <c r="B20" s="440" t="s">
        <v>21</v>
      </c>
      <c r="C20" s="477">
        <f ca="1">SUMIF(INDIRECT("'"&amp;C4&amp;"'"&amp;"!A:A"),结果表商业!B20,INDIRECT("'"&amp;C4&amp;"'"&amp;"!B:B"))</f>
        <v>60998</v>
      </c>
      <c r="D20" s="478">
        <f ca="1">SUMIF(INDIRECT("'"&amp;D4&amp;"'"&amp;"!A:A"),结果表商业!B20,INDIRECT("'"&amp;D4&amp;"'"&amp;"!B:B"))</f>
        <v>40953</v>
      </c>
      <c r="E20" s="439"/>
      <c r="F20" s="440" t="s">
        <v>21</v>
      </c>
      <c r="G20" s="479">
        <f ca="1">ROUND(C20*$C$18+D20*$D$18,0)</f>
        <v>52980</v>
      </c>
      <c r="H20" s="441" t="s">
        <v>227</v>
      </c>
      <c r="I20" s="2277"/>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227</v>
      </c>
      <c r="I21" s="2277"/>
    </row>
    <row r="22" spans="1:35" ht="15" thickBot="1">
      <c r="A22" s="275" t="s">
        <v>181</v>
      </c>
      <c r="B22" s="1423"/>
      <c r="C22" s="1424"/>
      <c r="D22" s="1425">
        <f ca="1">IF(C19&lt;D19,D19/C19-1,C19/D19-1)</f>
        <v>0.48768472906403937</v>
      </c>
      <c r="E22" s="2277"/>
      <c r="F22" s="2277"/>
      <c r="G22" s="2277"/>
      <c r="H22" s="2277"/>
      <c r="I22" s="2277"/>
    </row>
    <row r="23" spans="1:35" ht="12.75" thickBot="1">
      <c r="A23" s="1242"/>
      <c r="B23" s="1242"/>
      <c r="C23" s="1242"/>
      <c r="D23" s="1242"/>
      <c r="E23" s="2277"/>
      <c r="F23" s="2277"/>
      <c r="G23" s="2277"/>
      <c r="H23" s="2277"/>
      <c r="I23" s="2277"/>
    </row>
    <row r="24" spans="1:35" ht="14.25">
      <c r="A24" s="3482" t="s">
        <v>177</v>
      </c>
      <c r="B24" s="437" t="s">
        <v>20</v>
      </c>
      <c r="C24" s="476">
        <f>IF(B30=0,0,D30)</f>
        <v>0</v>
      </c>
      <c r="D24" s="446"/>
      <c r="E24" s="2277"/>
      <c r="F24" s="2277"/>
      <c r="G24" s="2277"/>
      <c r="H24" s="2277"/>
      <c r="I24" s="2277"/>
    </row>
    <row r="25" spans="1:35" ht="14.25">
      <c r="A25" s="3483"/>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4"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262</v>
      </c>
      <c r="D32" s="2092" t="s">
        <v>210</v>
      </c>
      <c r="E32" s="2277"/>
      <c r="F32" s="2277"/>
      <c r="G32" s="2277"/>
      <c r="H32" s="2277"/>
      <c r="I32" s="2277"/>
    </row>
    <row r="33" spans="1:15" ht="13.5">
      <c r="A33" s="457" t="s">
        <v>764</v>
      </c>
      <c r="B33" s="2091"/>
      <c r="C33" s="2877" t="s">
        <v>3125</v>
      </c>
      <c r="D33" s="2880" t="s">
        <v>3096</v>
      </c>
      <c r="E33" s="2089" t="s">
        <v>2115</v>
      </c>
      <c r="F33" s="3342" t="str">
        <f>IF(D32="楼面单价","取值（单价）","取值（总价）")</f>
        <v>取值（总价）</v>
      </c>
      <c r="G33" s="2277"/>
      <c r="H33" s="2277"/>
      <c r="I33" s="2277"/>
    </row>
    <row r="34" spans="1:15" ht="15">
      <c r="A34" s="458"/>
      <c r="B34" s="459" t="s">
        <v>767</v>
      </c>
      <c r="C34" s="489">
        <f ca="1">IF(C33="自定义",F34,C32-C35)</f>
        <v>180</v>
      </c>
      <c r="D34" s="2093">
        <f ca="1">IF(C33="自定义",ROUND(C34/C32,3),IF(C33="收益比率",SUMIF(INDIRECT("'"&amp;D33&amp;"'"&amp;"!b:b"),"土地收益比率",INDIRECT("'"&amp;D33&amp;"'"&amp;"!c:c")),SUMIF(INDIRECT("'"&amp;D33&amp;"'"&amp;"!b:b"),"土地成本比率",INDIRECT("'"&amp;D33&amp;"'"&amp;"!c:c"))))</f>
        <v>0.68799999999999994</v>
      </c>
      <c r="E34" s="2878" t="s">
        <v>2116</v>
      </c>
      <c r="F34" s="3254"/>
      <c r="G34" s="2277"/>
      <c r="H34" s="2277"/>
      <c r="I34" s="2277"/>
    </row>
    <row r="35" spans="1:15" ht="15.75" thickBot="1">
      <c r="A35" s="461"/>
      <c r="B35" s="2881" t="s">
        <v>769</v>
      </c>
      <c r="C35" s="2882">
        <f ca="1">IF(C33="自定义",F35,ROUND(C32*D35,0))</f>
        <v>82</v>
      </c>
      <c r="D35" s="2883">
        <f ca="1">IF(C33="自定义",ROUND(C35/C32,3),IF(C33="收益比率",SUMIF(INDIRECT("'"&amp;D33&amp;"'"&amp;"!b:b"),"建筑物收益比率",INDIRECT("'"&amp;D33&amp;"'"&amp;"!c:c")),SUMIF(INDIRECT("'"&amp;D33&amp;"'"&amp;"!b:b"),"建筑物成本比率",INDIRECT("'"&amp;D33&amp;"'"&amp;"!c:c"))))</f>
        <v>0.312</v>
      </c>
      <c r="E35" s="2879" t="s">
        <v>2117</v>
      </c>
      <c r="F35" s="495"/>
      <c r="G35" s="2277"/>
      <c r="H35" s="2277"/>
      <c r="I35" s="2277"/>
    </row>
    <row r="36" spans="1:15" ht="15.75" thickBot="1">
      <c r="A36" s="3484" t="s">
        <v>765</v>
      </c>
      <c r="B36" s="455" t="s">
        <v>766</v>
      </c>
      <c r="C36" s="486"/>
      <c r="D36" s="456"/>
      <c r="E36" s="1245"/>
      <c r="F36" s="2278"/>
      <c r="G36" s="2277"/>
      <c r="H36" s="2277"/>
      <c r="I36" s="2277"/>
    </row>
    <row r="37" spans="1:15" ht="15.75" thickBot="1">
      <c r="A37" s="3485"/>
      <c r="B37" s="13" t="s">
        <v>768</v>
      </c>
      <c r="C37" s="488"/>
      <c r="D37" s="2226"/>
      <c r="E37" s="2226"/>
      <c r="F37" s="2278"/>
      <c r="G37" s="2277"/>
      <c r="H37" s="2277"/>
      <c r="I37" s="2277"/>
    </row>
    <row r="38" spans="1:15" ht="15.75" thickBot="1">
      <c r="A38" s="3486"/>
      <c r="B38" s="460" t="s">
        <v>770</v>
      </c>
      <c r="C38" s="1136"/>
      <c r="D38" s="1246" t="s">
        <v>771</v>
      </c>
      <c r="E38" s="2226"/>
      <c r="F38" s="2278"/>
      <c r="G38" s="2277"/>
      <c r="H38" s="2277"/>
      <c r="I38" s="2277"/>
    </row>
    <row r="39" spans="1:15" ht="13.5">
      <c r="A39" s="439" t="s">
        <v>772</v>
      </c>
      <c r="B39" s="462" t="s">
        <v>773</v>
      </c>
      <c r="C39" s="463" t="s">
        <v>121</v>
      </c>
      <c r="D39" s="463" t="s">
        <v>775</v>
      </c>
      <c r="E39" s="464" t="s">
        <v>122</v>
      </c>
      <c r="F39" s="2278"/>
      <c r="G39" s="2277"/>
      <c r="H39" s="2277"/>
      <c r="I39" s="2277"/>
    </row>
    <row r="40" spans="1:15" ht="13.5">
      <c r="A40" s="1247" t="s">
        <v>777</v>
      </c>
      <c r="B40" s="490"/>
      <c r="C40" s="491"/>
      <c r="D40" s="491"/>
      <c r="E40" s="492"/>
      <c r="F40" s="2278"/>
      <c r="G40" s="2277"/>
      <c r="H40" s="2277"/>
      <c r="I40" s="2277"/>
    </row>
    <row r="41" spans="1:15" ht="13.5">
      <c r="A41" s="1247" t="s">
        <v>778</v>
      </c>
      <c r="B41" s="490"/>
      <c r="C41" s="491"/>
      <c r="D41" s="491"/>
      <c r="E41" s="492"/>
      <c r="F41" s="2278"/>
      <c r="G41" s="2277"/>
      <c r="H41" s="2277"/>
      <c r="I41" s="2277"/>
    </row>
    <row r="42" spans="1:15" ht="14.25" thickBot="1">
      <c r="A42" s="1248"/>
      <c r="B42" s="493"/>
      <c r="C42" s="494"/>
      <c r="D42" s="494"/>
      <c r="E42" s="495"/>
      <c r="F42" s="2278"/>
      <c r="G42" s="2277"/>
      <c r="H42" s="2277"/>
      <c r="I42" s="2277"/>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71" t="s">
        <v>214</v>
      </c>
      <c r="K44" s="3272"/>
      <c r="L44" s="3272"/>
      <c r="M44" s="3272"/>
      <c r="N44" s="3272"/>
      <c r="O44" s="3272"/>
    </row>
    <row r="45" spans="1:15" ht="14.25" customHeight="1" thickBot="1">
      <c r="A45" s="3487" t="s">
        <v>799</v>
      </c>
      <c r="B45" s="3488"/>
      <c r="C45" s="3489"/>
      <c r="D45" s="496">
        <f ca="1">ROUND(H101*F45,0)</f>
        <v>262</v>
      </c>
      <c r="E45" s="497" t="s">
        <v>800</v>
      </c>
      <c r="F45" s="498">
        <v>1</v>
      </c>
      <c r="G45" s="499" t="s">
        <v>801</v>
      </c>
      <c r="H45" s="2277"/>
      <c r="I45" s="2277"/>
      <c r="J45" s="3490" t="s">
        <v>215</v>
      </c>
      <c r="K45" s="3490"/>
      <c r="L45" s="3490"/>
      <c r="M45" s="3490"/>
      <c r="N45" s="3490"/>
      <c r="O45" s="3490"/>
    </row>
    <row r="46" spans="1:15" ht="14.25" customHeight="1">
      <c r="A46" s="3491" t="s">
        <v>287</v>
      </c>
      <c r="B46" s="3492"/>
      <c r="C46" s="3492"/>
      <c r="D46" s="3492"/>
      <c r="E46" s="3492"/>
      <c r="F46" s="3492"/>
      <c r="G46" s="3493"/>
      <c r="H46" s="2279"/>
      <c r="I46" s="2232"/>
      <c r="J46" s="3349">
        <v>1</v>
      </c>
      <c r="K46" s="3490" t="s">
        <v>216</v>
      </c>
      <c r="L46" s="3490"/>
      <c r="M46" s="3494"/>
      <c r="N46" s="3494"/>
      <c r="O46" s="3494"/>
    </row>
    <row r="47" spans="1:15" ht="12" customHeight="1">
      <c r="A47" s="501" t="s">
        <v>288</v>
      </c>
      <c r="B47" s="502"/>
      <c r="C47" s="503"/>
      <c r="D47" s="504" t="s">
        <v>289</v>
      </c>
      <c r="E47" s="313" t="s">
        <v>290</v>
      </c>
      <c r="F47" s="505" t="s">
        <v>802</v>
      </c>
      <c r="G47" s="506" t="s">
        <v>803</v>
      </c>
      <c r="H47" s="2279"/>
      <c r="I47" s="2232"/>
      <c r="J47" s="3349">
        <v>2</v>
      </c>
      <c r="K47" s="3490" t="s">
        <v>217</v>
      </c>
      <c r="L47" s="3490"/>
      <c r="M47" s="3495">
        <f>'数据-取费表'!B2</f>
        <v>43040</v>
      </c>
      <c r="N47" s="3495"/>
      <c r="O47" s="3495"/>
    </row>
    <row r="48" spans="1:15" ht="25.5">
      <c r="A48" s="3496" t="s">
        <v>291</v>
      </c>
      <c r="B48" s="3497"/>
      <c r="C48" s="3497"/>
      <c r="D48" s="471">
        <f>IF(H48="情况1",0,IF(H48="情况2",D52,IF(H48="情况3",D53,IF(H48="情况4",D54))))</f>
        <v>0</v>
      </c>
      <c r="E48" s="3358" t="str">
        <f>IF(H48="情况4","(销售额-原购置价)×税（费）率","销售额×税（费）率")</f>
        <v>销售额×税（费）率</v>
      </c>
      <c r="F48" s="507" t="str">
        <f>IF(H48="情况1","免征",'数据-取费表'!B41)</f>
        <v>免征</v>
      </c>
      <c r="G48" s="465" t="s">
        <v>170</v>
      </c>
      <c r="H48" s="1431" t="s">
        <v>2418</v>
      </c>
      <c r="I48" s="2279"/>
      <c r="J48" s="3349">
        <v>3</v>
      </c>
      <c r="K48" s="3490" t="s">
        <v>781</v>
      </c>
      <c r="L48" s="3490"/>
      <c r="M48" s="3498">
        <f ca="1">H101</f>
        <v>262</v>
      </c>
      <c r="N48" s="3498"/>
      <c r="O48" s="3498"/>
    </row>
    <row r="49" spans="1:35" ht="25.5" customHeight="1">
      <c r="A49" s="508" t="s">
        <v>804</v>
      </c>
      <c r="B49" s="3499" t="s">
        <v>805</v>
      </c>
      <c r="C49" s="3499"/>
      <c r="D49" s="509">
        <v>0</v>
      </c>
      <c r="E49" s="312" t="s">
        <v>806</v>
      </c>
      <c r="F49" s="317" t="s">
        <v>171</v>
      </c>
      <c r="G49" s="3500"/>
      <c r="H49" s="2277"/>
      <c r="I49" s="2280"/>
      <c r="J49" s="3349">
        <v>4</v>
      </c>
      <c r="K49" s="3490" t="str">
        <f>IF(项目基本情况!E8="房地产抵押价值","房地产抵押价值","抵押担保权已注销时的房地产抵押价值")</f>
        <v>房地产抵押价值</v>
      </c>
      <c r="L49" s="3490"/>
      <c r="M49" s="3498">
        <f ca="1">IF(项目基本情况!E8="房地产抵押价值",H107,H109)</f>
        <v>262</v>
      </c>
      <c r="N49" s="3498"/>
      <c r="O49" s="3498"/>
    </row>
    <row r="50" spans="1:35" ht="25.5" customHeight="1">
      <c r="A50" s="510"/>
      <c r="B50" s="3499" t="s">
        <v>294</v>
      </c>
      <c r="C50" s="3499"/>
      <c r="D50" s="511"/>
      <c r="E50" s="320"/>
      <c r="F50" s="512"/>
      <c r="G50" s="3501"/>
      <c r="H50" s="2277"/>
      <c r="I50" s="2280"/>
      <c r="J50" s="3490" t="s">
        <v>218</v>
      </c>
      <c r="K50" s="3490"/>
      <c r="L50" s="3490"/>
      <c r="M50" s="3490"/>
      <c r="N50" s="3490"/>
      <c r="O50" s="3490"/>
    </row>
    <row r="51" spans="1:35" ht="12" customHeight="1">
      <c r="A51" s="513"/>
      <c r="B51" s="3499" t="s">
        <v>295</v>
      </c>
      <c r="C51" s="3499"/>
      <c r="D51" s="514"/>
      <c r="E51" s="319"/>
      <c r="F51" s="512"/>
      <c r="G51" s="3502"/>
      <c r="H51" s="2277"/>
      <c r="I51" s="2280"/>
      <c r="J51" s="3345" t="s">
        <v>219</v>
      </c>
      <c r="K51" s="3490" t="s">
        <v>220</v>
      </c>
      <c r="L51" s="3490"/>
      <c r="M51" s="3345" t="s">
        <v>3002</v>
      </c>
      <c r="N51" s="3345" t="s">
        <v>221</v>
      </c>
      <c r="O51" s="3345" t="s">
        <v>222</v>
      </c>
    </row>
    <row r="52" spans="1:35" ht="24" customHeight="1">
      <c r="A52" s="515" t="s">
        <v>296</v>
      </c>
      <c r="B52" s="3499" t="s">
        <v>297</v>
      </c>
      <c r="C52" s="3499"/>
      <c r="D52" s="514">
        <f ca="1">ROUND(D45*'数据-取费表'!B41/(1+'数据-取费表'!C42),0)</f>
        <v>14</v>
      </c>
      <c r="E52" s="299" t="s">
        <v>298</v>
      </c>
      <c r="F52" s="516">
        <f>'数据-取费表'!B41</f>
        <v>5.6000000000000001E-2</v>
      </c>
      <c r="G52" s="466"/>
      <c r="H52" s="2277"/>
      <c r="I52" s="2280"/>
      <c r="J52" s="3349">
        <v>1</v>
      </c>
      <c r="K52" s="3505" t="s">
        <v>782</v>
      </c>
      <c r="L52" s="3505"/>
      <c r="M52" s="3274">
        <f>D48</f>
        <v>0</v>
      </c>
      <c r="N52" s="3348" t="str">
        <f>E48</f>
        <v>销售额×税（费）率</v>
      </c>
      <c r="O52" s="3275" t="str">
        <f>F48</f>
        <v>免征</v>
      </c>
    </row>
    <row r="53" spans="1:35" ht="12" customHeight="1">
      <c r="A53" s="515" t="s">
        <v>299</v>
      </c>
      <c r="B53" s="3503" t="s">
        <v>300</v>
      </c>
      <c r="C53" s="3504"/>
      <c r="D53" s="514">
        <f ca="1">ROUND(D45*'数据-取费表'!B41/(1+'数据-取费表'!C42),0)</f>
        <v>14</v>
      </c>
      <c r="E53" s="299" t="s">
        <v>298</v>
      </c>
      <c r="F53" s="516">
        <f>'数据-取费表'!B41</f>
        <v>5.6000000000000001E-2</v>
      </c>
      <c r="G53" s="466"/>
      <c r="H53" s="2277"/>
      <c r="I53" s="2280"/>
      <c r="J53" s="3349">
        <v>2</v>
      </c>
      <c r="K53" s="3505" t="s">
        <v>783</v>
      </c>
      <c r="L53" s="3505"/>
      <c r="M53" s="3274">
        <f t="shared" ref="M53:O54" ca="1" si="0">D55</f>
        <v>0</v>
      </c>
      <c r="N53" s="3348" t="str">
        <f t="shared" si="0"/>
        <v>销售额×税（费）率</v>
      </c>
      <c r="O53" s="3275">
        <f t="shared" si="0"/>
        <v>5.0000000000000001E-4</v>
      </c>
    </row>
    <row r="54" spans="1:35" ht="12" customHeight="1">
      <c r="A54" s="515" t="s">
        <v>301</v>
      </c>
      <c r="B54" s="3503" t="s">
        <v>302</v>
      </c>
      <c r="C54" s="3504"/>
      <c r="D54" s="514">
        <f ca="1">C68</f>
        <v>14</v>
      </c>
      <c r="E54" s="319" t="s">
        <v>303</v>
      </c>
      <c r="F54" s="516">
        <f>'数据-取费表'!B41</f>
        <v>5.6000000000000001E-2</v>
      </c>
      <c r="G54" s="466"/>
      <c r="H54" s="2281"/>
      <c r="I54" s="2280"/>
      <c r="J54" s="3349">
        <v>3</v>
      </c>
      <c r="K54" s="3505" t="s">
        <v>784</v>
      </c>
      <c r="L54" s="3505"/>
      <c r="M54" s="3274">
        <f t="shared" ca="1" si="0"/>
        <v>149</v>
      </c>
      <c r="N54" s="3348" t="str">
        <f t="shared" si="0"/>
        <v>增值额×税（费）率</v>
      </c>
      <c r="O54" s="3276" t="str">
        <f t="shared" si="0"/>
        <v>——</v>
      </c>
    </row>
    <row r="55" spans="1:35" ht="24" customHeight="1">
      <c r="A55" s="3506" t="s">
        <v>304</v>
      </c>
      <c r="B55" s="3497"/>
      <c r="C55" s="3497"/>
      <c r="D55" s="517">
        <f ca="1">IF(H55="个人住宅",0,ROUND(D45*I55,0))</f>
        <v>0</v>
      </c>
      <c r="E55" s="299" t="s">
        <v>305</v>
      </c>
      <c r="F55" s="516">
        <f>IF(H55="正常",I55,"免征")</f>
        <v>5.0000000000000001E-4</v>
      </c>
      <c r="G55" s="466"/>
      <c r="H55" s="1431" t="s">
        <v>155</v>
      </c>
      <c r="I55" s="518">
        <f>'数据-取费表'!B49</f>
        <v>5.0000000000000001E-4</v>
      </c>
      <c r="J55" s="3349" t="str">
        <f>IF(H59="非个人房产","",4)</f>
        <v/>
      </c>
      <c r="K55" s="3505" t="str">
        <f>IF(H59="非个人房产","——","个人所得税")</f>
        <v>——</v>
      </c>
      <c r="L55" s="3505"/>
      <c r="M55" s="3277" t="str">
        <f>D59</f>
        <v>——</v>
      </c>
      <c r="N55" s="3278" t="str">
        <f>E59</f>
        <v>——</v>
      </c>
      <c r="O55" s="3279" t="str">
        <f>F59</f>
        <v>——</v>
      </c>
    </row>
    <row r="56" spans="1:35" ht="24.75">
      <c r="A56" s="3506" t="s">
        <v>306</v>
      </c>
      <c r="B56" s="3497"/>
      <c r="C56" s="3497"/>
      <c r="D56" s="517">
        <f ca="1">IF(H56="个人住宅",D57,D58)</f>
        <v>149</v>
      </c>
      <c r="E56" s="299" t="s">
        <v>307</v>
      </c>
      <c r="F56" s="516" t="str">
        <f>IF(H56="正常",F58,"免征")</f>
        <v>——</v>
      </c>
      <c r="G56" s="1255" t="s">
        <v>785</v>
      </c>
      <c r="H56" s="1430" t="s">
        <v>155</v>
      </c>
      <c r="I56" s="2282"/>
      <c r="J56" s="3349" t="str">
        <f>IF(项目基本情况!K6="上海银行",IF(J55="",4,J55+1),"")</f>
        <v/>
      </c>
      <c r="K56" s="3507" t="str">
        <f>IF(项目基本情况!K6="上海银行","其他处置费用","")</f>
        <v/>
      </c>
      <c r="L56" s="3508"/>
      <c r="M56" s="3274" t="str">
        <f>IF(项目基本情况!K6="上海银行",M69,"")</f>
        <v/>
      </c>
      <c r="N56" s="3515" t="str">
        <f>IF(项目基本情况!K6="上海银行","包含处置中涉及的律师、诉讼、拍卖、评估等费用","")</f>
        <v/>
      </c>
      <c r="O56" s="3516"/>
    </row>
    <row r="57" spans="1:35" ht="12.75">
      <c r="A57" s="515" t="s">
        <v>292</v>
      </c>
      <c r="B57" s="3517" t="s">
        <v>308</v>
      </c>
      <c r="C57" s="3518"/>
      <c r="D57" s="519">
        <v>0</v>
      </c>
      <c r="E57" s="312" t="s">
        <v>293</v>
      </c>
      <c r="F57" s="487"/>
      <c r="G57" s="466"/>
      <c r="H57" s="2282"/>
      <c r="I57" s="2282"/>
      <c r="J57" s="3519">
        <f>IF(AND(J55="",J56=""),4,IF(项目基本情况!K6="上海银行",结果表商业!J56+1,结果表商业!J55+1))</f>
        <v>4</v>
      </c>
      <c r="K57" s="3505" t="s">
        <v>786</v>
      </c>
      <c r="L57" s="3280" t="s">
        <v>223</v>
      </c>
      <c r="M57" s="3281"/>
      <c r="N57" s="3282">
        <f ca="1">SUMIF(M52:M56,"&lt;9e307")</f>
        <v>149</v>
      </c>
      <c r="O57" s="3283"/>
      <c r="P57" s="3270">
        <f ca="1">N57/M49</f>
        <v>0.56870229007633588</v>
      </c>
    </row>
    <row r="58" spans="1:35" ht="24.75">
      <c r="A58" s="515" t="s">
        <v>296</v>
      </c>
      <c r="B58" s="3517" t="s">
        <v>309</v>
      </c>
      <c r="C58" s="3520"/>
      <c r="D58" s="517">
        <f ca="1">IF(H58="转让取得",C81,C97)</f>
        <v>149</v>
      </c>
      <c r="E58" s="299" t="s">
        <v>307</v>
      </c>
      <c r="F58" s="313" t="s">
        <v>171</v>
      </c>
      <c r="G58" s="466"/>
      <c r="H58" s="1430" t="s">
        <v>1137</v>
      </c>
      <c r="I58" s="2282"/>
      <c r="J58" s="3519"/>
      <c r="K58" s="3505"/>
      <c r="L58" s="3280" t="s">
        <v>224</v>
      </c>
      <c r="M58" s="3284"/>
      <c r="N58" s="3285" t="str">
        <f ca="1">NUMBERSTRING(INT(N57*10000),2)&amp;"元整"</f>
        <v>壹佰肆拾玖万元整</v>
      </c>
      <c r="O58" s="3286"/>
    </row>
    <row r="59" spans="1:35" ht="24.75" thickBot="1">
      <c r="A59" s="3521" t="s">
        <v>310</v>
      </c>
      <c r="B59" s="3522"/>
      <c r="C59" s="3522"/>
      <c r="D59" s="520" t="str">
        <f>IF(H59="非个人房产","——",IF(H59="个人住宅",0,ROUND(D45*I59,0)))</f>
        <v>——</v>
      </c>
      <c r="E59" s="521" t="str">
        <f>IF(H59="非个人房产","——","销售额×税（费）率")</f>
        <v>——</v>
      </c>
      <c r="F59" s="522" t="str">
        <f>IF(H59="非个人房产","——",IF(H59="个人住宅","免征",I59))</f>
        <v>——</v>
      </c>
      <c r="G59" s="1256" t="s">
        <v>170</v>
      </c>
      <c r="H59" s="1430" t="s">
        <v>1136</v>
      </c>
      <c r="I59" s="523">
        <v>0.01</v>
      </c>
      <c r="J59" s="3523">
        <f>J57+1</f>
        <v>5</v>
      </c>
      <c r="K59" s="3505" t="s">
        <v>172</v>
      </c>
      <c r="L59" s="3348" t="s">
        <v>223</v>
      </c>
      <c r="M59" s="3287"/>
      <c r="N59" s="3288">
        <f ca="1">M49-N57</f>
        <v>113</v>
      </c>
      <c r="O59" s="3289"/>
    </row>
    <row r="60" spans="1:35" ht="12" customHeight="1">
      <c r="A60" s="1257"/>
      <c r="B60" s="1242"/>
      <c r="C60" s="1242"/>
      <c r="D60" s="1242"/>
      <c r="E60" s="229"/>
      <c r="F60" s="2282"/>
      <c r="G60" s="2282"/>
      <c r="H60" s="2283"/>
      <c r="I60" s="2277"/>
      <c r="J60" s="3524"/>
      <c r="K60" s="3505"/>
      <c r="L60" s="3280" t="s">
        <v>224</v>
      </c>
      <c r="M60" s="3284"/>
      <c r="N60" s="3285" t="str">
        <f ca="1">NUMBERSTRING(INT(N59*10000),2)&amp;"元整"</f>
        <v>壹佰壹拾叁万元整</v>
      </c>
      <c r="O60" s="3286"/>
    </row>
    <row r="61" spans="1:35" ht="13.5" thickBot="1">
      <c r="A61" s="3509" t="s">
        <v>311</v>
      </c>
      <c r="B61" s="3509"/>
      <c r="C61" s="3509"/>
      <c r="D61" s="3509"/>
      <c r="E61" s="3509"/>
      <c r="F61" s="2282"/>
      <c r="G61" s="2282"/>
      <c r="H61" s="2283"/>
      <c r="I61" s="2277"/>
      <c r="J61" s="3349">
        <f>J59+1</f>
        <v>6</v>
      </c>
      <c r="K61" s="3505" t="s">
        <v>225</v>
      </c>
      <c r="L61" s="3505"/>
      <c r="M61" s="3290"/>
      <c r="N61" s="3291">
        <f ca="1">ROUND(N59*10000/'数据-汇总表'!E3,0)</f>
        <v>438</v>
      </c>
      <c r="O61" s="3292"/>
    </row>
    <row r="62" spans="1:35" ht="12.75">
      <c r="A62" s="3510" t="s">
        <v>312</v>
      </c>
      <c r="B62" s="3511"/>
      <c r="C62" s="3353"/>
      <c r="D62" s="3353" t="s">
        <v>320</v>
      </c>
      <c r="E62" s="524" t="s">
        <v>321</v>
      </c>
      <c r="F62" s="2282"/>
      <c r="G62" s="2282"/>
      <c r="H62" s="2283"/>
      <c r="I62" s="2277"/>
    </row>
    <row r="63" spans="1:35" ht="12.75">
      <c r="A63" s="535" t="s">
        <v>1899</v>
      </c>
      <c r="B63" s="525" t="s">
        <v>313</v>
      </c>
      <c r="C63" s="526">
        <f ca="1">ROUND((C64+C65)/(1+'数据-取费表'!C42),0)</f>
        <v>250</v>
      </c>
      <c r="D63" s="527"/>
      <c r="E63" s="528"/>
      <c r="F63" s="2282"/>
      <c r="G63" s="2282"/>
      <c r="H63" s="2283"/>
      <c r="I63" s="2277"/>
      <c r="J63" s="3512" t="s">
        <v>2995</v>
      </c>
      <c r="K63" s="3346" t="s">
        <v>2996</v>
      </c>
      <c r="L63" s="3267">
        <f ca="1">IF(M49&gt;10000,M49*0.5%,IF(AND(M49&gt;1000,M49&lt;=10000),M49*1%,IF(AND(M49&gt;100,M49&lt;=1000),M49*3%,IF(AND(M49&gt;10,M49&lt;=100),M49*5%,M49*8%))))</f>
        <v>7.8599999999999994</v>
      </c>
      <c r="M63" s="313">
        <f ca="1">ROUND(L63,1)</f>
        <v>7.9</v>
      </c>
      <c r="Z63" s="1433"/>
      <c r="AI63" s="1243"/>
    </row>
    <row r="64" spans="1:35" ht="14.25" customHeight="1">
      <c r="A64" s="529" t="s">
        <v>1894</v>
      </c>
      <c r="B64" s="530" t="s">
        <v>314</v>
      </c>
      <c r="C64" s="531">
        <f ca="1">D45</f>
        <v>262</v>
      </c>
      <c r="D64" s="532" t="s">
        <v>167</v>
      </c>
      <c r="E64" s="533"/>
      <c r="F64" s="2282"/>
      <c r="G64" s="2282"/>
      <c r="H64" s="2283"/>
      <c r="I64" s="2277"/>
      <c r="J64" s="3512"/>
      <c r="K64" s="3346" t="s">
        <v>2997</v>
      </c>
      <c r="L64" s="3267">
        <f ca="1">IF(M49&gt;2000,M49*0.5%,IF(AND(M49&gt;1000,M49&lt;=2000),M49*0.6%,IF(AND(M49&gt;500,M49&lt;=1000),M49*0.7%,IF(AND(M49&gt;200,M49&lt;=500),M49*0.8%,IF(AND(M49&gt;100,M49&lt;=200),M49*0.9%,IF(AND(M49&gt;50,M49&lt;=100),M49*1%,IF(AND(M49&gt;20,M49&lt;=50),M49*1.5%,IF(AND(M49&gt;10,M49&lt;=20),M49*2%,IF(AND(M49&gt;1,M49&lt;=10),M49*2.5%)))))))))</f>
        <v>2.0960000000000001</v>
      </c>
      <c r="M64" s="313">
        <f t="shared" ref="M64:M65" ca="1" si="1">ROUND(L64,1)</f>
        <v>2.1</v>
      </c>
      <c r="N64" s="469" t="s">
        <v>3003</v>
      </c>
      <c r="Z64" s="1433"/>
      <c r="AI64" s="1243"/>
    </row>
    <row r="65" spans="1:35" ht="14.25" customHeight="1">
      <c r="A65" s="529" t="s">
        <v>1895</v>
      </c>
      <c r="B65" s="530" t="s">
        <v>315</v>
      </c>
      <c r="C65" s="534"/>
      <c r="D65" s="532"/>
      <c r="E65" s="533"/>
      <c r="F65" s="2282"/>
      <c r="G65" s="2282"/>
      <c r="H65" s="2283"/>
      <c r="I65" s="2277"/>
      <c r="J65" s="3512"/>
      <c r="K65" s="3346" t="s">
        <v>2998</v>
      </c>
      <c r="L65" s="3267">
        <f ca="1">IF(M49&gt;1000,M49*0.1%,IF(AND(M49&gt;500,M49&lt;=1000),M49*0.5%,IF(AND(M49&gt;50,M49&lt;=500),M49*1%,IF(AND(M49&gt;1,M49&lt;=50),M49*1.5%))))</f>
        <v>2.62</v>
      </c>
      <c r="M65" s="313">
        <f t="shared" ca="1" si="1"/>
        <v>2.6</v>
      </c>
      <c r="N65" s="469" t="s">
        <v>3003</v>
      </c>
      <c r="Z65" s="1433"/>
      <c r="AI65" s="1243"/>
    </row>
    <row r="66" spans="1:35" ht="14.25" customHeight="1">
      <c r="A66" s="535" t="s">
        <v>1896</v>
      </c>
      <c r="B66" s="536" t="s">
        <v>316</v>
      </c>
      <c r="C66" s="537"/>
      <c r="D66" s="538" t="s">
        <v>167</v>
      </c>
      <c r="E66" s="3321" t="s">
        <v>3041</v>
      </c>
      <c r="F66" s="2282"/>
      <c r="G66" s="2282"/>
      <c r="H66" s="2283"/>
      <c r="I66" s="2277"/>
      <c r="J66" s="3512"/>
      <c r="K66" s="3346" t="s">
        <v>2999</v>
      </c>
      <c r="L66" s="3267">
        <f ca="1">M49*0.5%</f>
        <v>1.31</v>
      </c>
      <c r="M66" s="313">
        <f ca="1">IF(L66&gt;0.5,0.5,ROUND(L66,0))</f>
        <v>0.5</v>
      </c>
      <c r="N66" s="469" t="s">
        <v>3005</v>
      </c>
      <c r="Z66" s="1433"/>
      <c r="AI66" s="1243"/>
    </row>
    <row r="67" spans="1:35" ht="14.25" customHeight="1">
      <c r="A67" s="535" t="s">
        <v>1897</v>
      </c>
      <c r="B67" s="536" t="s">
        <v>317</v>
      </c>
      <c r="C67" s="539">
        <f ca="1">C63-C66</f>
        <v>250</v>
      </c>
      <c r="D67" s="532" t="s">
        <v>167</v>
      </c>
      <c r="E67" s="533"/>
      <c r="F67" s="2282"/>
      <c r="G67" s="2282"/>
      <c r="H67" s="2283"/>
      <c r="I67" s="2277"/>
      <c r="J67" s="3512"/>
      <c r="K67" s="3346" t="s">
        <v>3000</v>
      </c>
      <c r="L67" s="3267">
        <f ca="1">IF(M49&gt;=10000,(8.25+(M49-10000)*0.01%),IF(AND(M49&gt;=8000,M49&lt;10000),(7.85+(M49-8000)*0.02%),IF(AND(M49&gt;=5000,M49&lt;8000),(6.65+(M49-5000)*0.04%),IF(AND(M49&gt;=2000,M49&lt;5000),(4.25+(PM49-2000)*0.08%),IF(AND(M49&gt;=1000,M49&lt;2000),(2.75+(M49-1000)*0.15%),IF(AND(M49&gt;=100,M49&lt;1000),(0.5+(M49-100)*0.25%),IF(AND(M49&gt;0,M49&lt;100),M49*0.5%)))))))</f>
        <v>0.90500000000000003</v>
      </c>
      <c r="M67" s="313">
        <f ca="1">ROUND(L67*0.9,1)</f>
        <v>0.8</v>
      </c>
      <c r="Z67" s="1433"/>
      <c r="AI67" s="1243"/>
    </row>
    <row r="68" spans="1:35" ht="14.25" customHeight="1" thickBot="1">
      <c r="A68" s="540" t="s">
        <v>1898</v>
      </c>
      <c r="B68" s="541" t="s">
        <v>318</v>
      </c>
      <c r="C68" s="542">
        <f ca="1">IF(C67&lt;=0,0,ROUND(C67*D68,0))</f>
        <v>14</v>
      </c>
      <c r="D68" s="543">
        <f>'数据-取费表'!B41</f>
        <v>5.6000000000000001E-2</v>
      </c>
      <c r="E68" s="544"/>
      <c r="F68" s="2282"/>
      <c r="G68" s="2282"/>
      <c r="H68" s="2283"/>
      <c r="I68" s="2277"/>
      <c r="J68" s="3512"/>
      <c r="K68" s="3346" t="s">
        <v>3001</v>
      </c>
      <c r="L68" s="3267">
        <f ca="1">IF(M49&gt;10000,M49*0.5%,IF(AND(M49&gt;5000,M49&lt;=10000),M49*1%,IF(AND(M49&gt;1000,M49&lt;=5000),M49*2%,IF(AND(M49&gt;200,M49&lt;=1000),M49*3%,M49*5%))))</f>
        <v>7.8599999999999994</v>
      </c>
      <c r="M68" s="313">
        <f ca="1">ROUND(L68,1)</f>
        <v>7.9</v>
      </c>
      <c r="Z68" s="1433"/>
      <c r="AI68" s="1243"/>
    </row>
    <row r="69" spans="1:35" s="1244" customFormat="1" ht="16.5" customHeight="1">
      <c r="A69" s="1258"/>
      <c r="B69" s="1259"/>
      <c r="C69" s="1260"/>
      <c r="D69" s="1261"/>
      <c r="E69" s="1262"/>
      <c r="F69" s="229"/>
      <c r="G69" s="229"/>
      <c r="H69" s="241"/>
      <c r="I69" s="1242"/>
      <c r="J69" s="3512"/>
      <c r="K69" s="3346" t="s">
        <v>187</v>
      </c>
      <c r="L69" s="3268"/>
      <c r="M69" s="313">
        <f ca="1">ROUND(SUM(M63:M68),0)</f>
        <v>22</v>
      </c>
      <c r="N69" s="3270">
        <f ca="1">M69/M49</f>
        <v>8.3969465648854963E-2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3" t="s">
        <v>319</v>
      </c>
      <c r="B70" s="3514"/>
      <c r="C70" s="3514"/>
      <c r="D70" s="3514"/>
      <c r="E70" s="3514"/>
      <c r="F70" s="3514"/>
      <c r="G70" s="3514"/>
      <c r="H70" s="3514"/>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c r="A71" s="3510" t="s">
        <v>312</v>
      </c>
      <c r="B71" s="3511"/>
      <c r="C71" s="3353"/>
      <c r="D71" s="3353" t="s">
        <v>320</v>
      </c>
      <c r="E71" s="545" t="s">
        <v>321</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c r="A72" s="535" t="s">
        <v>1899</v>
      </c>
      <c r="B72" s="536" t="s">
        <v>322</v>
      </c>
      <c r="C72" s="539">
        <f ca="1">ROUND(D45/(1+'数据-取费表'!C42),0)</f>
        <v>250</v>
      </c>
      <c r="D72" s="532" t="s">
        <v>167</v>
      </c>
      <c r="E72" s="3355"/>
      <c r="F72" s="3354"/>
      <c r="G72" s="3354"/>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c r="A73" s="535" t="s">
        <v>1896</v>
      </c>
      <c r="B73" s="505" t="s">
        <v>323</v>
      </c>
      <c r="C73" s="539">
        <f ca="1">C74+C78</f>
        <v>1</v>
      </c>
      <c r="D73" s="532" t="s">
        <v>167</v>
      </c>
      <c r="E73" s="3355"/>
      <c r="F73" s="3354"/>
      <c r="G73" s="3354"/>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c r="A74" s="549" t="s">
        <v>1894</v>
      </c>
      <c r="B74" s="530" t="s">
        <v>324</v>
      </c>
      <c r="C74" s="532">
        <f>ROUND(IF(G77="2016年5月1日后购买",C75/(1+'数据-取费表'!C42)+C76+C77,C75+C76+C77),0)</f>
        <v>0</v>
      </c>
      <c r="D74" s="532" t="s">
        <v>167</v>
      </c>
      <c r="E74" s="3355"/>
      <c r="F74" s="3354"/>
      <c r="G74" s="3354"/>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c r="A75" s="549" t="s">
        <v>1901</v>
      </c>
      <c r="B75" s="530" t="s">
        <v>325</v>
      </c>
      <c r="C75" s="550"/>
      <c r="D75" s="532" t="s">
        <v>167</v>
      </c>
      <c r="E75" s="551" t="s">
        <v>326</v>
      </c>
      <c r="F75" s="1426" t="s">
        <v>2419</v>
      </c>
      <c r="G75" s="551" t="s">
        <v>796</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customHeight="1">
      <c r="A76" s="549" t="s">
        <v>1903</v>
      </c>
      <c r="B76" s="553" t="s">
        <v>327</v>
      </c>
      <c r="C76" s="532">
        <f>IF(F75="购房发票",ROUND(C75*H75*D76,0),0)</f>
        <v>0</v>
      </c>
      <c r="D76" s="554">
        <v>0.05</v>
      </c>
      <c r="E76" s="3503" t="s">
        <v>328</v>
      </c>
      <c r="F76" s="3499"/>
      <c r="G76" s="3499"/>
      <c r="H76" s="3539"/>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customHeight="1">
      <c r="A77" s="549" t="s">
        <v>1904</v>
      </c>
      <c r="B77" s="530" t="s">
        <v>329</v>
      </c>
      <c r="C77" s="532">
        <f>ROUND(IF(G77="个人住宅",0,IF(G77="2016年5月1日前购买",C75*D77,C75*D77/(1+'数据-取费表'!C42))),0)</f>
        <v>0</v>
      </c>
      <c r="D77" s="555">
        <f>'数据-取费表'!B48+'数据-取费表'!B49</f>
        <v>3.0499999999999999E-2</v>
      </c>
      <c r="E77" s="303" t="s">
        <v>797</v>
      </c>
      <c r="F77" s="556"/>
      <c r="G77" s="1427" t="s">
        <v>2509</v>
      </c>
      <c r="H77" s="3356"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customHeight="1">
      <c r="A78" s="549" t="s">
        <v>1895</v>
      </c>
      <c r="B78" s="530" t="s">
        <v>330</v>
      </c>
      <c r="C78" s="557">
        <f ca="1">ROUND(D45*D78/(1+'数据-取费表'!C42),0)</f>
        <v>1</v>
      </c>
      <c r="D78" s="558">
        <f>'数据-取费表'!B43</f>
        <v>6.000000000000001E-3</v>
      </c>
      <c r="E78" s="3525" t="s">
        <v>2510</v>
      </c>
      <c r="F78" s="3526"/>
      <c r="G78" s="3526"/>
      <c r="H78" s="3527"/>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c r="A79" s="1799" t="s">
        <v>1897</v>
      </c>
      <c r="B79" s="536" t="s">
        <v>331</v>
      </c>
      <c r="C79" s="539">
        <f ca="1">C72-C73</f>
        <v>249</v>
      </c>
      <c r="D79" s="532" t="s">
        <v>167</v>
      </c>
      <c r="E79" s="3355"/>
      <c r="F79" s="3354"/>
      <c r="G79" s="3354"/>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c r="A80" s="1799" t="s">
        <v>1906</v>
      </c>
      <c r="B80" s="536" t="s">
        <v>332</v>
      </c>
      <c r="C80" s="559">
        <f ca="1">IF(C79&lt;=0,0,C79/C73)</f>
        <v>249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54"/>
      <c r="G80" s="3354"/>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thickBot="1">
      <c r="A81" s="1800" t="s">
        <v>1907</v>
      </c>
      <c r="B81" s="541" t="s">
        <v>333</v>
      </c>
      <c r="C81" s="560">
        <f ca="1">ROUND(IF(C79&lt;=0,0,IF(C80&gt;=200%,C79*60%-C73*35%,IF(C80&gt;=100%,C79*50%-C73*15%,IF(C80&gt;=50%,C79*40%-C73*5%,IF(C80&lt;50%,C79*30%,0))))),0)</f>
        <v>149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thickBot="1">
      <c r="A83" s="3513" t="s">
        <v>334</v>
      </c>
      <c r="B83" s="3514"/>
      <c r="C83" s="3514"/>
      <c r="D83" s="3514"/>
      <c r="E83" s="3514"/>
      <c r="F83" s="3514"/>
      <c r="G83" s="3514"/>
      <c r="H83" s="3514"/>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c r="A84" s="3510" t="s">
        <v>312</v>
      </c>
      <c r="B84" s="3511"/>
      <c r="C84" s="3353"/>
      <c r="D84" s="3353"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c r="A85" s="535" t="s">
        <v>1899</v>
      </c>
      <c r="B85" s="536" t="s">
        <v>322</v>
      </c>
      <c r="C85" s="539">
        <f ca="1">ROUND(D45/(1+'数据-取费表'!C42),0)</f>
        <v>250</v>
      </c>
      <c r="D85" s="532" t="s">
        <v>167</v>
      </c>
      <c r="E85" s="3355"/>
      <c r="F85" s="3354"/>
      <c r="G85" s="3354"/>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c r="A86" s="535" t="s">
        <v>1896</v>
      </c>
      <c r="B86" s="505" t="s">
        <v>323</v>
      </c>
      <c r="C86" s="539">
        <f ca="1">IF(H88="仅含出让金",C87+C90+C91+C92+C93+C94,C87+C91+C92+C93+C94)</f>
        <v>1</v>
      </c>
      <c r="D86" s="567"/>
      <c r="E86" s="3355"/>
      <c r="F86" s="3354"/>
      <c r="G86" s="3354"/>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c r="A87" s="549" t="s">
        <v>1894</v>
      </c>
      <c r="B87" s="530" t="s">
        <v>335</v>
      </c>
      <c r="C87" s="557">
        <f>C88+C89</f>
        <v>0</v>
      </c>
      <c r="D87" s="558"/>
      <c r="E87" s="3350"/>
      <c r="F87" s="3351"/>
      <c r="G87" s="3351"/>
      <c r="H87" s="3352"/>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c r="A88" s="549" t="s">
        <v>1901</v>
      </c>
      <c r="B88" s="530" t="s">
        <v>336</v>
      </c>
      <c r="C88" s="568"/>
      <c r="D88" s="558"/>
      <c r="E88" s="569" t="s">
        <v>337</v>
      </c>
      <c r="F88" s="3351"/>
      <c r="G88" s="570" t="s">
        <v>338</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c r="A89" s="549" t="s">
        <v>1903</v>
      </c>
      <c r="B89" s="530" t="s">
        <v>329</v>
      </c>
      <c r="C89" s="557">
        <f>ROUND(C88*D89,0)</f>
        <v>0</v>
      </c>
      <c r="D89" s="558">
        <f>'数据-取费表'!B48+'数据-取费表'!B49</f>
        <v>3.0499999999999999E-2</v>
      </c>
      <c r="E89" s="569" t="s">
        <v>339</v>
      </c>
      <c r="F89" s="3351"/>
      <c r="G89" s="3351"/>
      <c r="H89" s="3352"/>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c r="A90" s="549" t="s">
        <v>1895</v>
      </c>
      <c r="B90" s="530" t="s">
        <v>340</v>
      </c>
      <c r="C90" s="568"/>
      <c r="D90" s="558"/>
      <c r="E90" s="569" t="str">
        <f>IF(H88="-","土地取得成本中已包含该笔费用"," ")</f>
        <v xml:space="preserve"> </v>
      </c>
      <c r="F90" s="3351"/>
      <c r="G90" s="3351"/>
      <c r="H90" s="3352"/>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customHeight="1">
      <c r="A91" s="1801" t="s">
        <v>1908</v>
      </c>
      <c r="B91" s="530" t="s">
        <v>341</v>
      </c>
      <c r="C91" s="557">
        <f>IF(H91="——",成本法!C33,I91)</f>
        <v>0</v>
      </c>
      <c r="D91" s="558"/>
      <c r="E91" s="3540" t="s">
        <v>798</v>
      </c>
      <c r="F91" s="3526"/>
      <c r="G91" s="3526"/>
      <c r="H91" s="1429" t="s">
        <v>2320</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customHeight="1">
      <c r="A92" s="1801" t="s">
        <v>1909</v>
      </c>
      <c r="B92" s="530" t="s">
        <v>342</v>
      </c>
      <c r="C92" s="557">
        <f>ROUND((C87+C90+C91)*D92,0)</f>
        <v>0</v>
      </c>
      <c r="D92" s="558">
        <v>0.1</v>
      </c>
      <c r="E92" s="3540" t="s">
        <v>343</v>
      </c>
      <c r="F92" s="3526"/>
      <c r="G92" s="3526"/>
      <c r="H92" s="3527"/>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customHeight="1">
      <c r="A93" s="1801" t="s">
        <v>1910</v>
      </c>
      <c r="B93" s="530" t="s">
        <v>330</v>
      </c>
      <c r="C93" s="557">
        <f ca="1">ROUND(D45*D93/(1+'数据-取费表'!C42),0)</f>
        <v>1</v>
      </c>
      <c r="D93" s="558">
        <f>'数据-取费表'!B43</f>
        <v>6.000000000000001E-3</v>
      </c>
      <c r="E93" s="3525" t="s">
        <v>2510</v>
      </c>
      <c r="F93" s="3526"/>
      <c r="G93" s="3526"/>
      <c r="H93" s="3527"/>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customHeight="1">
      <c r="A94" s="1801" t="s">
        <v>1911</v>
      </c>
      <c r="B94" s="530" t="s">
        <v>344</v>
      </c>
      <c r="C94" s="568">
        <f>ROUND((C87+C90+C91)*D94,0)</f>
        <v>0</v>
      </c>
      <c r="D94" s="558">
        <v>0.2</v>
      </c>
      <c r="E94" s="3528" t="s">
        <v>3056</v>
      </c>
      <c r="F94" s="3529"/>
      <c r="G94" s="3529"/>
      <c r="H94" s="3530"/>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c r="A95" s="1799" t="s">
        <v>1897</v>
      </c>
      <c r="B95" s="536" t="s">
        <v>331</v>
      </c>
      <c r="C95" s="539">
        <f ca="1">ROUND(C85-C86,0)</f>
        <v>249</v>
      </c>
      <c r="D95" s="532" t="s">
        <v>167</v>
      </c>
      <c r="E95" s="3355"/>
      <c r="F95" s="3354"/>
      <c r="G95" s="3354"/>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c r="A96" s="1799" t="s">
        <v>1906</v>
      </c>
      <c r="B96" s="536" t="s">
        <v>332</v>
      </c>
      <c r="C96" s="559">
        <f ca="1">IF(C95&lt;=0,0,C95/C86)</f>
        <v>249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54"/>
      <c r="G96" s="3354"/>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thickBot="1">
      <c r="A97" s="1800" t="s">
        <v>1907</v>
      </c>
      <c r="B97" s="541" t="s">
        <v>333</v>
      </c>
      <c r="C97" s="560">
        <f ca="1">ROUND(IF(C95&lt;=0,0,IF(C96&gt;=200%,C95*60%-C86*35%,IF(C96&gt;=100%,C95*50%-C86*15%,IF(C96&gt;=50%,C95*40%-C86*5%,IF(C96&lt;50%,C95*30%,0))))),0)</f>
        <v>149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229</v>
      </c>
      <c r="B99" s="1242"/>
      <c r="C99" s="1242"/>
      <c r="D99" s="1242"/>
      <c r="E99" s="229"/>
      <c r="F99" s="229"/>
      <c r="G99" s="229"/>
      <c r="H99" s="241"/>
      <c r="I99" s="2277"/>
    </row>
    <row r="100" spans="1:35" ht="18.75" customHeight="1">
      <c r="A100" s="3462" t="s">
        <v>230</v>
      </c>
      <c r="B100" s="3463"/>
      <c r="C100" s="3463"/>
      <c r="D100" s="3531"/>
      <c r="E100" s="3463" t="s">
        <v>2909</v>
      </c>
      <c r="F100" s="3463"/>
      <c r="G100" s="3463"/>
      <c r="H100" s="3531"/>
      <c r="I100" s="2277"/>
    </row>
    <row r="101" spans="1:35" ht="18.75" customHeight="1">
      <c r="A101" s="3532" t="s">
        <v>208</v>
      </c>
      <c r="B101" s="3533"/>
      <c r="C101" s="1265" t="str">
        <f>C4</f>
        <v>比较法-商业</v>
      </c>
      <c r="D101" s="1266" t="str">
        <f>D4</f>
        <v>收益法 (元)</v>
      </c>
      <c r="E101" s="3534" t="s">
        <v>1913</v>
      </c>
      <c r="F101" s="3535"/>
      <c r="G101" s="1267" t="s">
        <v>210</v>
      </c>
      <c r="H101" s="1985">
        <f ca="1">H118</f>
        <v>262</v>
      </c>
      <c r="I101" s="2277"/>
    </row>
    <row r="102" spans="1:35" ht="18.75" customHeight="1">
      <c r="A102" s="3536" t="s">
        <v>209</v>
      </c>
      <c r="B102" s="1267" t="s">
        <v>210</v>
      </c>
      <c r="C102" s="1234">
        <f ca="1">C19</f>
        <v>302</v>
      </c>
      <c r="D102" s="1235">
        <f ca="1">D19</f>
        <v>203</v>
      </c>
      <c r="E102" s="3534"/>
      <c r="F102" s="3535"/>
      <c r="G102" s="1267" t="s">
        <v>211</v>
      </c>
      <c r="H102" s="711">
        <f ca="1">I118</f>
        <v>52972</v>
      </c>
      <c r="I102" s="2277"/>
    </row>
    <row r="103" spans="1:35" ht="42.75" customHeight="1">
      <c r="A103" s="3536"/>
      <c r="B103" s="1267" t="s">
        <v>211</v>
      </c>
      <c r="C103" s="1236">
        <f ca="1">C20</f>
        <v>60998</v>
      </c>
      <c r="D103" s="1237">
        <f ca="1">D20</f>
        <v>40953</v>
      </c>
      <c r="E103" s="3537" t="s">
        <v>3018</v>
      </c>
      <c r="F103" s="3538"/>
      <c r="G103" s="1268" t="s">
        <v>213</v>
      </c>
      <c r="H103" s="1985">
        <f>IF(D36="正常操作",H104+H105+H106,H105+H106)</f>
        <v>0</v>
      </c>
      <c r="I103" s="2277"/>
    </row>
    <row r="104" spans="1:35" ht="18.75" customHeight="1">
      <c r="A104" s="3536" t="s">
        <v>212</v>
      </c>
      <c r="B104" s="1269" t="s">
        <v>210</v>
      </c>
      <c r="C104" s="1238">
        <f ca="1">H118</f>
        <v>262</v>
      </c>
      <c r="D104" s="1239"/>
      <c r="E104" s="13" t="s">
        <v>1912</v>
      </c>
      <c r="F104" s="6"/>
      <c r="G104" s="1268" t="s">
        <v>213</v>
      </c>
      <c r="H104" s="1986">
        <f>IF(D36="同一抵押权人同一抵押物续贷",C36&amp;"（未扣减，详见特别提示）",C36)</f>
        <v>0</v>
      </c>
      <c r="I104" s="2277"/>
    </row>
    <row r="105" spans="1:35" ht="18.75" customHeight="1" thickBot="1">
      <c r="A105" s="3546"/>
      <c r="B105" s="1270" t="s">
        <v>211</v>
      </c>
      <c r="C105" s="1240">
        <f ca="1">I118</f>
        <v>52972</v>
      </c>
      <c r="D105" s="1241"/>
      <c r="E105" s="13" t="s">
        <v>1914</v>
      </c>
      <c r="F105" s="6"/>
      <c r="G105" s="1268" t="s">
        <v>213</v>
      </c>
      <c r="H105" s="1986">
        <f>C37</f>
        <v>0</v>
      </c>
      <c r="I105" s="2277"/>
    </row>
    <row r="106" spans="1:35" ht="18.75" customHeight="1">
      <c r="A106" s="1242" t="s">
        <v>2010</v>
      </c>
      <c r="B106" s="1242"/>
      <c r="C106" s="1242"/>
      <c r="D106" s="1242"/>
      <c r="E106" s="467" t="s">
        <v>1915</v>
      </c>
      <c r="F106" s="6"/>
      <c r="G106" s="1268" t="s">
        <v>213</v>
      </c>
      <c r="H106" s="1986">
        <f>C38</f>
        <v>0</v>
      </c>
      <c r="I106" s="2277"/>
    </row>
    <row r="107" spans="1:35" ht="18.75" customHeight="1">
      <c r="A107" s="2277"/>
      <c r="B107" s="2277"/>
      <c r="C107" s="2277"/>
      <c r="D107" s="2277"/>
      <c r="E107" s="3547" t="str">
        <f>IF(项目基本情况!E8="已注销","——","3.房地产抵押价值")</f>
        <v>3.房地产抵押价值</v>
      </c>
      <c r="F107" s="3535"/>
      <c r="G107" s="1267" t="s">
        <v>210</v>
      </c>
      <c r="H107" s="1985">
        <f ca="1">IF(E107="——","——",H101-H103)</f>
        <v>262</v>
      </c>
      <c r="I107" s="2277"/>
    </row>
    <row r="108" spans="1:35" ht="18.75" customHeight="1">
      <c r="A108" s="2277"/>
      <c r="B108" s="2277"/>
      <c r="C108" s="2277"/>
      <c r="D108" s="2277"/>
      <c r="E108" s="3547"/>
      <c r="F108" s="3535"/>
      <c r="G108" s="1267" t="s">
        <v>211</v>
      </c>
      <c r="H108" s="711">
        <f ca="1">ROUND(H107*10000/'数据-汇总表'!E3,0)</f>
        <v>1016</v>
      </c>
      <c r="I108" s="2277"/>
    </row>
    <row r="109" spans="1:35" ht="18.75" customHeight="1">
      <c r="A109" s="2277"/>
      <c r="B109" s="2277"/>
      <c r="C109" s="2277"/>
      <c r="D109" s="2277"/>
      <c r="E109" s="3547" t="str">
        <f>IF(项目基本情况!E8="已注销及未注销","4.抵押担保权已注销时的房地产抵押价值",IF(项目基本情况!E8="已注销","3.抵押担保权已注销时的房地产抵押价值","——"))</f>
        <v>——</v>
      </c>
      <c r="F109" s="3535"/>
      <c r="G109" s="1267" t="s">
        <v>210</v>
      </c>
      <c r="H109" s="685" t="str">
        <f>IF(E109="——","——",H101-H105-H106)</f>
        <v>——</v>
      </c>
      <c r="I109" s="2277"/>
    </row>
    <row r="110" spans="1:35" ht="18.75" customHeight="1">
      <c r="A110" s="2277"/>
      <c r="B110" s="2277"/>
      <c r="C110" s="2277"/>
      <c r="D110" s="2277"/>
      <c r="E110" s="3547"/>
      <c r="F110" s="3535"/>
      <c r="G110" s="1267" t="s">
        <v>211</v>
      </c>
      <c r="H110" s="711" t="str">
        <f>IF(H109="——","——",ROUND(H109*10000/'数据-汇总表'!E3,0))</f>
        <v>——</v>
      </c>
      <c r="I110" s="2277"/>
    </row>
    <row r="111" spans="1:35" ht="18.75" customHeight="1">
      <c r="A111" s="2277"/>
      <c r="B111" s="2277"/>
      <c r="C111" s="2277"/>
      <c r="D111" s="2277"/>
      <c r="E111" s="3548" t="str">
        <f>IF(项目基本情况!E9="抵押净值",IF(OR(项目基本情况!E8="已注销",项目基本情况!E8="房地产抵押价值"),"4.抵押净值","5.抵押净值"),"——")</f>
        <v>——</v>
      </c>
      <c r="F111" s="3549"/>
      <c r="G111" s="1267" t="s">
        <v>210</v>
      </c>
      <c r="H111" s="1985" t="str">
        <f>IF(E111="——","——",N59)</f>
        <v>——</v>
      </c>
      <c r="I111" s="2277"/>
    </row>
    <row r="112" spans="1:35" ht="18.75" customHeight="1" thickBot="1">
      <c r="A112" s="2277"/>
      <c r="B112" s="2277"/>
      <c r="C112" s="2277"/>
      <c r="D112" s="2277"/>
      <c r="E112" s="3550"/>
      <c r="F112" s="3551"/>
      <c r="G112" s="1271" t="s">
        <v>211</v>
      </c>
      <c r="H112" s="1422" t="str">
        <f>IF(E111="——","——",N61)</f>
        <v>——</v>
      </c>
      <c r="I112" s="2277"/>
    </row>
    <row r="113" spans="1:11" ht="18.75" customHeight="1">
      <c r="A113" s="2277"/>
      <c r="B113" s="2277"/>
      <c r="C113" s="2277"/>
      <c r="D113" s="2277"/>
      <c r="E113" s="3552" t="s">
        <v>2010</v>
      </c>
      <c r="F113" s="3552"/>
      <c r="G113" s="3552"/>
      <c r="H113" s="3552"/>
      <c r="I113" s="2277"/>
    </row>
    <row r="114" spans="1:11" ht="3.75" customHeight="1">
      <c r="A114" s="1242"/>
      <c r="B114" s="1242"/>
      <c r="C114" s="1242"/>
      <c r="D114" s="1242"/>
      <c r="E114" s="1257"/>
      <c r="F114" s="1257"/>
      <c r="G114" s="1257"/>
      <c r="H114" s="1257"/>
      <c r="I114" s="1242"/>
    </row>
    <row r="115" spans="1:11" ht="18.75" customHeight="1">
      <c r="A115" s="3553" t="s">
        <v>226</v>
      </c>
      <c r="B115" s="3554"/>
      <c r="C115" s="3554"/>
      <c r="D115" s="3554"/>
      <c r="E115" s="3554"/>
      <c r="F115" s="3554"/>
      <c r="G115" s="3554"/>
      <c r="H115" s="3554"/>
      <c r="I115" s="3555"/>
    </row>
    <row r="116" spans="1:11" ht="27" customHeight="1">
      <c r="A116" s="3420" t="s">
        <v>5</v>
      </c>
      <c r="B116" s="3541" t="s">
        <v>787</v>
      </c>
      <c r="C116" s="3541" t="s">
        <v>788</v>
      </c>
      <c r="D116" s="3543" t="s">
        <v>206</v>
      </c>
      <c r="E116" s="3544"/>
      <c r="F116" s="3545" t="s">
        <v>2388</v>
      </c>
      <c r="G116" s="3545"/>
      <c r="H116" s="3420" t="s">
        <v>6</v>
      </c>
      <c r="I116" s="3420"/>
    </row>
    <row r="117" spans="1:11" ht="18.75" customHeight="1">
      <c r="A117" s="3420"/>
      <c r="B117" s="3542"/>
      <c r="C117" s="3542"/>
      <c r="D117" s="3343" t="s">
        <v>7</v>
      </c>
      <c r="E117" s="3343" t="s">
        <v>789</v>
      </c>
      <c r="F117" s="3343" t="s">
        <v>7</v>
      </c>
      <c r="G117" s="3343" t="s">
        <v>8</v>
      </c>
      <c r="H117" s="3343" t="s">
        <v>7</v>
      </c>
      <c r="I117" s="3343" t="s">
        <v>8</v>
      </c>
    </row>
    <row r="118" spans="1:11" ht="24.75" customHeight="1">
      <c r="A118" s="2032" t="str">
        <f>项目基本情况!S2</f>
        <v>北京市西城区真武庙路二条10号楼1层7单元102及103共计两套商业服务用房及-1层-102号储藏用房房地产房地产</v>
      </c>
      <c r="B118" s="3359">
        <f>M18</f>
        <v>49.46</v>
      </c>
      <c r="C118" s="3359">
        <f>M19</f>
        <v>0</v>
      </c>
      <c r="D118" s="3359">
        <f ca="1">ROUND(IF(D32="总价",C34,E118*B118/10000),0)</f>
        <v>180</v>
      </c>
      <c r="E118" s="3359">
        <f ca="1">ROUND(IF(C33="自定义",IF(D32="楼面单价",C34,D118*10000/B118),I118-G118),0)</f>
        <v>36393</v>
      </c>
      <c r="F118" s="3359">
        <f ca="1">ROUND(IF(D32="总价",C35,G118*B118/10000),0)</f>
        <v>82</v>
      </c>
      <c r="G118" s="3359">
        <f ca="1">ROUND(IF(D32="楼面单价",C35,F118*10000/B118),0)</f>
        <v>16579</v>
      </c>
      <c r="H118" s="3359">
        <f ca="1">ROUND(IF(D32="总价",C32,I118*B118/10000),0)</f>
        <v>262</v>
      </c>
      <c r="I118" s="3359">
        <f ca="1">ROUND(IF(D32="楼面单价",C32,H118*10000/B118),0)</f>
        <v>52972</v>
      </c>
    </row>
    <row r="119" spans="1:11" ht="18.75" customHeight="1">
      <c r="A119" s="3420" t="s">
        <v>9</v>
      </c>
      <c r="B119" s="3420"/>
      <c r="C119" s="3420"/>
      <c r="D119" s="3559" t="str">
        <f ca="1">NUMBERSTRING(INT(D118*10000),2)&amp;"元整"</f>
        <v>壹佰捌拾万元整</v>
      </c>
      <c r="E119" s="3561"/>
      <c r="F119" s="3559" t="str">
        <f ca="1">NUMBERSTRING(INT(F118*10000),2)&amp;"元整"</f>
        <v>捌拾贰万元整</v>
      </c>
      <c r="G119" s="3561"/>
      <c r="H119" s="3559" t="str">
        <f ca="1">NUMBERSTRING(INT(H118*10000),2)&amp;"元整"</f>
        <v>贰佰陆拾贰万元整</v>
      </c>
      <c r="I119" s="3561"/>
    </row>
    <row r="120" spans="1:11" ht="18.75" customHeight="1">
      <c r="A120" s="3566" t="str">
        <f>MID(E103,3,LEN(E103)-2)</f>
        <v>估价师知悉的法定优先受偿款</v>
      </c>
      <c r="B120" s="3567"/>
      <c r="C120" s="3568"/>
      <c r="D120" s="3563">
        <f>H103</f>
        <v>0</v>
      </c>
      <c r="E120" s="3564"/>
      <c r="F120" s="3564"/>
      <c r="G120" s="3564"/>
      <c r="H120" s="3564"/>
      <c r="I120" s="3565"/>
      <c r="K120" s="1433" t="str">
        <f>IF(D120=0,"故，本次评估不存在"&amp;A120,"故，本次评估"&amp;A120&amp;"为人民币"&amp;D120&amp;"万元整。")</f>
        <v>故，本次评估不存在估价师知悉的法定优先受偿款</v>
      </c>
    </row>
    <row r="121" spans="1:11" ht="18.75" customHeight="1">
      <c r="A121" s="3556" t="s">
        <v>9</v>
      </c>
      <c r="B121" s="3557"/>
      <c r="C121" s="3558"/>
      <c r="D121" s="3559" t="str">
        <f>IF(D120=0,"零元整",NUMBERSTRING(INT(D120*10000),2)&amp;"元整")</f>
        <v>零元整</v>
      </c>
      <c r="E121" s="3560"/>
      <c r="F121" s="3560"/>
      <c r="G121" s="3560"/>
      <c r="H121" s="3560"/>
      <c r="I121" s="3561"/>
    </row>
    <row r="122" spans="1:11" ht="18.75" customHeight="1">
      <c r="A122" s="3562" t="str">
        <f>MID(E107,3,LEN(E107)-2)</f>
        <v>房地产抵押价值</v>
      </c>
      <c r="B122" s="3562"/>
      <c r="C122" s="3562"/>
      <c r="D122" s="3563">
        <f ca="1">H107</f>
        <v>262</v>
      </c>
      <c r="E122" s="3564"/>
      <c r="F122" s="3564"/>
      <c r="G122" s="3564"/>
      <c r="H122" s="3564"/>
      <c r="I122" s="3565"/>
    </row>
    <row r="123" spans="1:11" ht="18.75" customHeight="1">
      <c r="A123" s="3420" t="s">
        <v>9</v>
      </c>
      <c r="B123" s="3420"/>
      <c r="C123" s="3420"/>
      <c r="D123" s="3559" t="str">
        <f ca="1">NUMBERSTRING(INT(D122*10000),2)&amp;"元整"</f>
        <v>贰佰陆拾贰万元整</v>
      </c>
      <c r="E123" s="3560"/>
      <c r="F123" s="3560"/>
      <c r="G123" s="3560"/>
      <c r="H123" s="3560"/>
      <c r="I123" s="3561"/>
    </row>
    <row r="124" spans="1:11" ht="18.75" customHeight="1">
      <c r="A124" s="3562" t="str">
        <f>MID(E109,3,LEN(E109)-2)</f>
        <v/>
      </c>
      <c r="B124" s="3562"/>
      <c r="C124" s="3562"/>
      <c r="D124" s="3563" t="str">
        <f>H109</f>
        <v>——</v>
      </c>
      <c r="E124" s="3564"/>
      <c r="F124" s="3564"/>
      <c r="G124" s="3564"/>
      <c r="H124" s="3564"/>
      <c r="I124" s="3565"/>
    </row>
    <row r="125" spans="1:11" ht="18.75" customHeight="1">
      <c r="A125" s="3420" t="s">
        <v>9</v>
      </c>
      <c r="B125" s="3420"/>
      <c r="C125" s="3420"/>
      <c r="D125" s="3559" t="e">
        <f>NUMBERSTRING(INT(D124*10000),2)&amp;"元整"</f>
        <v>#VALUE!</v>
      </c>
      <c r="E125" s="3560"/>
      <c r="F125" s="3560"/>
      <c r="G125" s="3560"/>
      <c r="H125" s="3560"/>
      <c r="I125" s="3561"/>
    </row>
    <row r="126" spans="1:11" ht="18.75" customHeight="1">
      <c r="A126" s="3562" t="str">
        <f>MID(E111,3,LEN(E111)-2)</f>
        <v/>
      </c>
      <c r="B126" s="3562"/>
      <c r="C126" s="3562"/>
      <c r="D126" s="3563" t="str">
        <f>H111</f>
        <v>——</v>
      </c>
      <c r="E126" s="3564"/>
      <c r="F126" s="3564"/>
      <c r="G126" s="3564"/>
      <c r="H126" s="3564"/>
      <c r="I126" s="3565"/>
    </row>
    <row r="127" spans="1:11" ht="18.75" customHeight="1">
      <c r="A127" s="3420" t="s">
        <v>9</v>
      </c>
      <c r="B127" s="3420"/>
      <c r="C127" s="3420"/>
      <c r="D127" s="3559" t="e">
        <f>NUMBERSTRING(INT(D126*10000),2)&amp;"元整"</f>
        <v>#VALUE!</v>
      </c>
      <c r="E127" s="3560"/>
      <c r="F127" s="3560"/>
      <c r="G127" s="3560"/>
      <c r="H127" s="3560"/>
      <c r="I127" s="3561"/>
    </row>
    <row r="128" spans="1:11" ht="21.75" customHeight="1">
      <c r="A128" s="3569" t="s">
        <v>2009</v>
      </c>
      <c r="B128" s="3569"/>
      <c r="C128" s="3569"/>
      <c r="D128" s="3569"/>
      <c r="E128" s="3569"/>
      <c r="F128" s="3569"/>
      <c r="G128" s="3569"/>
      <c r="H128" s="3569"/>
      <c r="I128" s="3569"/>
    </row>
    <row r="129" spans="1:35" ht="21.75" customHeight="1">
      <c r="A129" s="2027" t="s">
        <v>790</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89" priority="10" stopIfTrue="1" operator="equal">
      <formula>25</formula>
    </cfRule>
  </conditionalFormatting>
  <conditionalFormatting sqref="C8:C9">
    <cfRule type="cellIs" dxfId="188" priority="9" stopIfTrue="1" operator="equal">
      <formula>15</formula>
    </cfRule>
  </conditionalFormatting>
  <conditionalFormatting sqref="C14:C16">
    <cfRule type="cellIs" dxfId="187" priority="8" stopIfTrue="1" operator="equal">
      <formula>30</formula>
    </cfRule>
  </conditionalFormatting>
  <conditionalFormatting sqref="D5:D7">
    <cfRule type="cellIs" dxfId="186" priority="7" stopIfTrue="1" operator="equal">
      <formula>25</formula>
    </cfRule>
  </conditionalFormatting>
  <conditionalFormatting sqref="D8:D9">
    <cfRule type="cellIs" dxfId="185" priority="6" stopIfTrue="1" operator="equal">
      <formula>15</formula>
    </cfRule>
  </conditionalFormatting>
  <conditionalFormatting sqref="C10:D13">
    <cfRule type="cellIs" dxfId="184" priority="5" stopIfTrue="1" operator="equal">
      <formula>15</formula>
    </cfRule>
  </conditionalFormatting>
  <conditionalFormatting sqref="D14:D16">
    <cfRule type="cellIs" dxfId="183" priority="4"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1966</v>
      </c>
      <c r="B36" s="1887" t="s">
        <v>1967</v>
      </c>
    </row>
    <row r="37" spans="1:9" ht="27.75" customHeight="1">
      <c r="A37" s="1887"/>
      <c r="B37" s="3377" t="str">
        <f>项目基本情况!B1</f>
        <v>北京市西城区真武庙路二条10号楼1层7单元102及103共计两套商业服务用房及-1层-102号储藏用房房地产房地产抵押价值预评估</v>
      </c>
      <c r="C37" s="3377"/>
      <c r="D37" s="3377"/>
      <c r="E37" s="3377"/>
      <c r="F37" s="3377"/>
      <c r="G37" s="3377"/>
      <c r="H37" s="3377"/>
      <c r="I37" s="3377"/>
    </row>
    <row r="38" spans="1:9">
      <c r="A38" s="1889"/>
      <c r="B38" s="1889"/>
    </row>
    <row r="39" spans="1:9">
      <c r="A39" s="1887" t="s">
        <v>1966</v>
      </c>
      <c r="B39" s="1887" t="s">
        <v>1968</v>
      </c>
    </row>
    <row r="40" spans="1:9">
      <c r="A40" s="1887"/>
      <c r="B40" s="1887" t="str">
        <f>项目基本情况!B5</f>
        <v>北京世纪润丰源资产管理有限公司</v>
      </c>
    </row>
    <row r="41" spans="1:9">
      <c r="A41" s="1887"/>
      <c r="B41" s="1887"/>
    </row>
    <row r="42" spans="1:9">
      <c r="A42" s="1887" t="s">
        <v>1966</v>
      </c>
      <c r="B42" s="1887" t="s">
        <v>1969</v>
      </c>
    </row>
    <row r="43" spans="1:9">
      <c r="A43" s="1887"/>
      <c r="B43" s="1887" t="s">
        <v>1970</v>
      </c>
    </row>
    <row r="44" spans="1:9">
      <c r="A44" s="1887"/>
      <c r="B44" s="1887"/>
    </row>
    <row r="45" spans="1:9">
      <c r="A45" s="1887" t="s">
        <v>1966</v>
      </c>
      <c r="B45" s="1887" t="s">
        <v>1971</v>
      </c>
    </row>
    <row r="46" spans="1:9" s="1887" customFormat="1" ht="12.75">
      <c r="B46" s="1887" t="str">
        <f ca="1">项目基本情况!K4</f>
        <v>吴薇（注册号：1419970001)、王鹏（注册号：1120050019)</v>
      </c>
    </row>
    <row r="47" spans="1:9">
      <c r="A47" s="1887"/>
      <c r="B47" s="1887" t="str">
        <f>项目基本情况!K5</f>
        <v/>
      </c>
    </row>
    <row r="48" spans="1:9">
      <c r="A48" s="1887" t="s">
        <v>1966</v>
      </c>
      <c r="B48" s="1887" t="s">
        <v>1972</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7" zoomScale="90" zoomScaleNormal="90" workbookViewId="0">
      <selection activeCell="K17" sqref="K1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t="s">
        <v>3048</v>
      </c>
      <c r="E1" s="3110"/>
      <c r="F1" s="3109" t="s">
        <v>2701</v>
      </c>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f>IF(C2="——",ROUND(C49*D3/10000,0),ROUND(C49*D3/10000,0)-D2)</f>
        <v>302</v>
      </c>
      <c r="C2" s="3101" t="s">
        <v>530</v>
      </c>
      <c r="D2" s="2724">
        <f ca="1">SUMIF(INDIRECT("'"&amp;F2&amp;"'"&amp;"!A:A"),"承租人权益价值",INDIRECT("'"&amp;F2&amp;"'"&amp;"!c:c"))</f>
        <v>0</v>
      </c>
      <c r="E2" s="3102" t="s">
        <v>869</v>
      </c>
      <c r="F2" s="3103" t="s">
        <v>3154</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f>IF(C2="——",C49,ROUND(B2*10000/D3,0))</f>
        <v>60998</v>
      </c>
      <c r="C3" s="142" t="s">
        <v>168</v>
      </c>
      <c r="D3" s="742">
        <f>IF(D1="",'数据-汇总表'!E3,SUMIF('数据-汇总表'!$C19:$C33,D1,'数据-汇总表'!$E19:$E33))</f>
        <v>49.46</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89" t="s">
        <v>54</v>
      </c>
      <c r="D4" s="3590"/>
      <c r="E4" s="3591" t="s">
        <v>55</v>
      </c>
      <c r="F4" s="3592"/>
      <c r="G4" s="3589" t="s">
        <v>56</v>
      </c>
      <c r="H4" s="3590"/>
      <c r="I4" s="3589" t="s">
        <v>57</v>
      </c>
      <c r="J4" s="3590"/>
      <c r="K4" s="187" t="s">
        <v>58</v>
      </c>
      <c r="L4" s="2295"/>
      <c r="M4" s="2296"/>
      <c r="N4" s="2296"/>
      <c r="O4" s="2296"/>
      <c r="P4" s="3593" t="s">
        <v>53</v>
      </c>
      <c r="Q4" s="3594"/>
      <c r="R4" s="3599" t="s">
        <v>55</v>
      </c>
      <c r="S4" s="3600"/>
      <c r="T4" s="3599" t="s">
        <v>56</v>
      </c>
      <c r="U4" s="3600"/>
      <c r="V4" s="3584" t="s">
        <v>57</v>
      </c>
      <c r="W4" s="3584"/>
      <c r="X4" s="1339"/>
      <c r="Y4" s="3599" t="s">
        <v>53</v>
      </c>
      <c r="Z4" s="3600"/>
      <c r="AA4" s="3586" t="s">
        <v>55</v>
      </c>
      <c r="AB4" s="3584" t="s">
        <v>56</v>
      </c>
      <c r="AC4" s="3586" t="s">
        <v>57</v>
      </c>
    </row>
    <row r="5" spans="1:29">
      <c r="A5" s="146"/>
      <c r="B5" s="147"/>
      <c r="C5" s="3607" t="s">
        <v>59</v>
      </c>
      <c r="D5" s="3608"/>
      <c r="E5" s="3614" t="s">
        <v>3158</v>
      </c>
      <c r="F5" s="3615"/>
      <c r="G5" s="3607" t="s">
        <v>3184</v>
      </c>
      <c r="H5" s="3608"/>
      <c r="I5" s="3607" t="s">
        <v>3185</v>
      </c>
      <c r="J5" s="3608"/>
      <c r="K5" s="187"/>
      <c r="L5" s="2295"/>
      <c r="M5" s="2296"/>
      <c r="N5" s="2296"/>
      <c r="O5" s="2296"/>
      <c r="P5" s="3595"/>
      <c r="Q5" s="3596"/>
      <c r="R5" s="3601"/>
      <c r="S5" s="3602"/>
      <c r="T5" s="3601"/>
      <c r="U5" s="3602"/>
      <c r="V5" s="3584"/>
      <c r="W5" s="3584"/>
      <c r="X5" s="1339"/>
      <c r="Y5" s="3601"/>
      <c r="Z5" s="3602"/>
      <c r="AA5" s="3587"/>
      <c r="AB5" s="3584"/>
      <c r="AC5" s="3587"/>
    </row>
    <row r="6" spans="1:29" ht="14.25" thickBot="1">
      <c r="A6" s="148"/>
      <c r="B6" s="149"/>
      <c r="C6" s="3605" t="s">
        <v>63</v>
      </c>
      <c r="D6" s="3606"/>
      <c r="E6" s="3612" t="s">
        <v>63</v>
      </c>
      <c r="F6" s="3613"/>
      <c r="G6" s="3605" t="s">
        <v>63</v>
      </c>
      <c r="H6" s="3606"/>
      <c r="I6" s="3605" t="s">
        <v>63</v>
      </c>
      <c r="J6" s="3606"/>
      <c r="K6" s="187" t="s">
        <v>117</v>
      </c>
      <c r="L6" s="2295"/>
      <c r="M6" s="2296"/>
      <c r="N6" s="2296"/>
      <c r="O6" s="2296"/>
      <c r="P6" s="3597"/>
      <c r="Q6" s="3598"/>
      <c r="R6" s="3601"/>
      <c r="S6" s="3602"/>
      <c r="T6" s="3603"/>
      <c r="U6" s="3604"/>
      <c r="V6" s="3584"/>
      <c r="W6" s="3584"/>
      <c r="X6" s="1339"/>
      <c r="Y6" s="3603"/>
      <c r="Z6" s="3604"/>
      <c r="AA6" s="3588"/>
      <c r="AB6" s="3584"/>
      <c r="AC6" s="3588"/>
    </row>
    <row r="7" spans="1:29" s="40" customFormat="1" ht="15" thickBot="1">
      <c r="A7" s="1013" t="s">
        <v>64</v>
      </c>
      <c r="B7" s="1014"/>
      <c r="C7" s="1015">
        <f>'数据-取费表'!B2</f>
        <v>43040</v>
      </c>
      <c r="D7" s="754">
        <v>100</v>
      </c>
      <c r="E7" s="1016">
        <v>43040</v>
      </c>
      <c r="F7" s="756">
        <f>SUMIF(58:58,YEAR(E7)&amp;"-"&amp;MONTH(E7),59:59)</f>
        <v>100</v>
      </c>
      <c r="G7" s="1016">
        <v>43040</v>
      </c>
      <c r="H7" s="754">
        <f>SUMIF(58:58,YEAR(G7)&amp;"-"&amp;MONTH(G7),59:59)</f>
        <v>100</v>
      </c>
      <c r="I7" s="1016">
        <v>43040</v>
      </c>
      <c r="J7" s="754">
        <f>SUMIF(58:58,YEAR(I7)&amp;"-"&amp;MONTH(I7),59:59)</f>
        <v>100</v>
      </c>
      <c r="K7" s="1018"/>
      <c r="L7" s="2297"/>
      <c r="M7" s="2259"/>
      <c r="N7" s="2259"/>
      <c r="O7" s="2259"/>
      <c r="P7" s="3609" t="s">
        <v>64</v>
      </c>
      <c r="Q7" s="3611"/>
      <c r="R7" s="1341" t="s">
        <v>65</v>
      </c>
      <c r="S7" s="1342">
        <f t="shared" ref="S7:S15" si="0">F7</f>
        <v>100</v>
      </c>
      <c r="T7" s="1341" t="s">
        <v>65</v>
      </c>
      <c r="U7" s="1342">
        <f t="shared" ref="U7:U15" si="1">H7</f>
        <v>100</v>
      </c>
      <c r="V7" s="1341" t="s">
        <v>65</v>
      </c>
      <c r="W7" s="1342">
        <f t="shared" ref="W7:W15" si="2">J7</f>
        <v>100</v>
      </c>
      <c r="X7" s="287"/>
      <c r="Y7" s="3609" t="s">
        <v>64</v>
      </c>
      <c r="Z7" s="3610"/>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7"/>
      <c r="M8" s="2259"/>
      <c r="N8" s="2259"/>
      <c r="O8" s="2259"/>
      <c r="P8" s="3609" t="s">
        <v>1022</v>
      </c>
      <c r="Q8" s="3610"/>
      <c r="R8" s="1341" t="s">
        <v>65</v>
      </c>
      <c r="S8" s="1342">
        <f t="shared" si="0"/>
        <v>100</v>
      </c>
      <c r="T8" s="1341" t="s">
        <v>65</v>
      </c>
      <c r="U8" s="1342">
        <f t="shared" si="1"/>
        <v>100</v>
      </c>
      <c r="V8" s="1341" t="s">
        <v>65</v>
      </c>
      <c r="W8" s="1342">
        <f t="shared" si="2"/>
        <v>100</v>
      </c>
      <c r="X8" s="287"/>
      <c r="Y8" s="3609" t="s">
        <v>1022</v>
      </c>
      <c r="Z8" s="3610"/>
      <c r="AA8" s="1343">
        <f t="shared" ref="AA8:AA46" si="3">D8/F8</f>
        <v>1</v>
      </c>
      <c r="AB8" s="1343">
        <f t="shared" ref="AB8:AB46" si="4">D8/H8</f>
        <v>1</v>
      </c>
      <c r="AC8" s="1343">
        <f t="shared" ref="AC8:AC46" si="5">D8/J8</f>
        <v>1</v>
      </c>
    </row>
    <row r="9" spans="1:29" s="40" customFormat="1" ht="14.25">
      <c r="A9" s="1020" t="s">
        <v>1023</v>
      </c>
      <c r="B9" s="62" t="s">
        <v>1024</v>
      </c>
      <c r="C9" s="1345" t="s">
        <v>3126</v>
      </c>
      <c r="D9" s="425">
        <v>100</v>
      </c>
      <c r="E9" s="1346" t="s">
        <v>3048</v>
      </c>
      <c r="F9" s="761">
        <f>SUMIF(63:63,E9,64:64)-SUMIF(63:63,C9,64:64)+100</f>
        <v>100</v>
      </c>
      <c r="G9" s="1346" t="s">
        <v>3048</v>
      </c>
      <c r="H9" s="425">
        <f>SUMIF(63:63,G9,64:64)-SUMIF(63:63,C9,64:64)+100</f>
        <v>100</v>
      </c>
      <c r="I9" s="1346" t="s">
        <v>3048</v>
      </c>
      <c r="J9" s="425">
        <f>SUMIF(63:63,I9,64:64)-SUMIF(63:63,C9,64:64)+100</f>
        <v>100</v>
      </c>
      <c r="K9" s="1018"/>
      <c r="L9" s="2297"/>
      <c r="M9" s="2259"/>
      <c r="N9" s="2259"/>
      <c r="O9" s="2259"/>
      <c r="P9" s="3585" t="s">
        <v>67</v>
      </c>
      <c r="Q9" s="7" t="str">
        <f t="shared" ref="Q9:Q15" si="6">B9</f>
        <v>用途</v>
      </c>
      <c r="R9" s="1341" t="s">
        <v>65</v>
      </c>
      <c r="S9" s="1342">
        <f t="shared" si="0"/>
        <v>100</v>
      </c>
      <c r="T9" s="1341" t="s">
        <v>65</v>
      </c>
      <c r="U9" s="1342">
        <f t="shared" si="1"/>
        <v>100</v>
      </c>
      <c r="V9" s="1341" t="s">
        <v>65</v>
      </c>
      <c r="W9" s="1342">
        <f t="shared" si="2"/>
        <v>100</v>
      </c>
      <c r="X9" s="287"/>
      <c r="Y9" s="3420" t="s">
        <v>67</v>
      </c>
      <c r="Z9" s="288" t="str">
        <f t="shared" ref="Z9:Z15" si="7">Q9</f>
        <v>用途</v>
      </c>
      <c r="AA9" s="1343">
        <f t="shared" si="3"/>
        <v>1</v>
      </c>
      <c r="AB9" s="1343">
        <f t="shared" si="4"/>
        <v>1</v>
      </c>
      <c r="AC9" s="1343">
        <f t="shared" si="5"/>
        <v>1</v>
      </c>
    </row>
    <row r="10" spans="1:29" s="92" customFormat="1" ht="27">
      <c r="A10" s="150"/>
      <c r="B10" s="12" t="s">
        <v>106</v>
      </c>
      <c r="C10" s="1348" t="s">
        <v>3153</v>
      </c>
      <c r="D10" s="426">
        <v>100</v>
      </c>
      <c r="E10" s="1349" t="s">
        <v>3153</v>
      </c>
      <c r="F10" s="767">
        <f>SUMIF(65:65,E10,66:66)-SUMIF(65:65,C10,66:66)+100</f>
        <v>100</v>
      </c>
      <c r="G10" s="1348" t="s">
        <v>3153</v>
      </c>
      <c r="H10" s="426">
        <f>SUMIF(65:65,G10,66:66)-SUMIF(65:65,C10,66:66)+100</f>
        <v>100</v>
      </c>
      <c r="I10" s="1348" t="s">
        <v>3153</v>
      </c>
      <c r="J10" s="426">
        <f>SUMIF(65:65,I10,66:66)-SUMIF(65:65,C10,66:66)+100</f>
        <v>100</v>
      </c>
      <c r="K10" s="954">
        <v>2</v>
      </c>
      <c r="L10" s="2298"/>
      <c r="M10" s="2299"/>
      <c r="N10" s="2299"/>
      <c r="O10" s="2299"/>
      <c r="P10" s="3585"/>
      <c r="Q10" s="7" t="str">
        <f t="shared" si="6"/>
        <v>土地使用年限（年）</v>
      </c>
      <c r="R10" s="1341" t="s">
        <v>65</v>
      </c>
      <c r="S10" s="1342">
        <f t="shared" si="0"/>
        <v>100</v>
      </c>
      <c r="T10" s="1341" t="s">
        <v>65</v>
      </c>
      <c r="U10" s="1342">
        <f t="shared" si="1"/>
        <v>100</v>
      </c>
      <c r="V10" s="1341" t="s">
        <v>65</v>
      </c>
      <c r="W10" s="1342">
        <f t="shared" si="2"/>
        <v>100</v>
      </c>
      <c r="X10" s="287"/>
      <c r="Y10" s="3420"/>
      <c r="Z10" s="288" t="str">
        <f t="shared" si="7"/>
        <v>土地使用年限（年）</v>
      </c>
      <c r="AA10" s="1343">
        <f t="shared" si="3"/>
        <v>1</v>
      </c>
      <c r="AB10" s="1343">
        <f t="shared" si="4"/>
        <v>1</v>
      </c>
      <c r="AC10" s="1343">
        <f t="shared" si="5"/>
        <v>1</v>
      </c>
    </row>
    <row r="11" spans="1:29" ht="15">
      <c r="A11" s="151"/>
      <c r="B11" s="12" t="s">
        <v>93</v>
      </c>
      <c r="C11" s="771"/>
      <c r="D11" s="426">
        <v>100</v>
      </c>
      <c r="E11" s="772"/>
      <c r="F11" s="767">
        <f>LOOKUP(E11,68:68,69:69)-LOOKUP(C11,68:68,69:69)+100</f>
        <v>100</v>
      </c>
      <c r="G11" s="771"/>
      <c r="H11" s="426">
        <f>LOOKUP(G11,68:68,69:69)-LOOKUP(C11,68:68,69:69)+100</f>
        <v>100</v>
      </c>
      <c r="I11" s="771"/>
      <c r="J11" s="426">
        <f>LOOKUP(I11,68:68,69:69)-LOOKUP(C11,68:68,69:69)+100</f>
        <v>100</v>
      </c>
      <c r="K11" s="954">
        <v>2</v>
      </c>
      <c r="L11" s="2300"/>
      <c r="M11" s="2296"/>
      <c r="N11" s="2296"/>
      <c r="O11" s="2296"/>
      <c r="P11" s="3585"/>
      <c r="Q11" s="7" t="str">
        <f t="shared" si="6"/>
        <v>容积率</v>
      </c>
      <c r="R11" s="1341" t="s">
        <v>65</v>
      </c>
      <c r="S11" s="1342">
        <f t="shared" si="0"/>
        <v>100</v>
      </c>
      <c r="T11" s="1341" t="s">
        <v>65</v>
      </c>
      <c r="U11" s="1342">
        <f t="shared" si="1"/>
        <v>100</v>
      </c>
      <c r="V11" s="1341" t="s">
        <v>65</v>
      </c>
      <c r="W11" s="1342">
        <f t="shared" si="2"/>
        <v>100</v>
      </c>
      <c r="X11" s="287"/>
      <c r="Y11" s="3420"/>
      <c r="Z11" s="288"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7"/>
      <c r="M12" s="2259"/>
      <c r="N12" s="2259"/>
      <c r="O12" s="2259"/>
      <c r="P12" s="3585"/>
      <c r="Q12" s="7">
        <f t="shared" si="6"/>
        <v>111</v>
      </c>
      <c r="R12" s="1341" t="s">
        <v>65</v>
      </c>
      <c r="S12" s="1342">
        <f t="shared" si="0"/>
        <v>100</v>
      </c>
      <c r="T12" s="1341" t="s">
        <v>65</v>
      </c>
      <c r="U12" s="1342">
        <f t="shared" si="1"/>
        <v>100</v>
      </c>
      <c r="V12" s="1341" t="s">
        <v>65</v>
      </c>
      <c r="W12" s="1342">
        <f t="shared" si="2"/>
        <v>100</v>
      </c>
      <c r="X12" s="287"/>
      <c r="Y12" s="3420"/>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585"/>
      <c r="Q13" s="7">
        <f t="shared" si="6"/>
        <v>111</v>
      </c>
      <c r="R13" s="1341" t="s">
        <v>65</v>
      </c>
      <c r="S13" s="1342">
        <f t="shared" si="0"/>
        <v>100</v>
      </c>
      <c r="T13" s="1341" t="s">
        <v>65</v>
      </c>
      <c r="U13" s="1342">
        <f t="shared" si="1"/>
        <v>100</v>
      </c>
      <c r="V13" s="1341" t="s">
        <v>65</v>
      </c>
      <c r="W13" s="1342">
        <f t="shared" si="2"/>
        <v>100</v>
      </c>
      <c r="X13" s="287"/>
      <c r="Y13" s="3420"/>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585"/>
      <c r="Q14" s="7">
        <f t="shared" si="6"/>
        <v>111</v>
      </c>
      <c r="R14" s="1341" t="s">
        <v>65</v>
      </c>
      <c r="S14" s="1342">
        <f t="shared" si="0"/>
        <v>100</v>
      </c>
      <c r="T14" s="1341" t="s">
        <v>65</v>
      </c>
      <c r="U14" s="1342">
        <f t="shared" si="1"/>
        <v>100</v>
      </c>
      <c r="V14" s="1341" t="s">
        <v>65</v>
      </c>
      <c r="W14" s="1342">
        <f t="shared" si="2"/>
        <v>100</v>
      </c>
      <c r="X14" s="287"/>
      <c r="Y14" s="3420"/>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v>2</v>
      </c>
      <c r="L15" s="2301"/>
      <c r="M15" s="2296"/>
      <c r="N15" s="2296"/>
      <c r="O15" s="2296"/>
      <c r="P15" s="3575" t="s">
        <v>69</v>
      </c>
      <c r="Q15" s="1350" t="str">
        <f t="shared" si="6"/>
        <v>商业繁华度</v>
      </c>
      <c r="R15" s="1351" t="s">
        <v>65</v>
      </c>
      <c r="S15" s="1352">
        <f t="shared" si="0"/>
        <v>100</v>
      </c>
      <c r="T15" s="1351" t="s">
        <v>65</v>
      </c>
      <c r="U15" s="1352">
        <f t="shared" si="1"/>
        <v>100</v>
      </c>
      <c r="V15" s="1351" t="s">
        <v>65</v>
      </c>
      <c r="W15" s="1352">
        <f t="shared" si="2"/>
        <v>100</v>
      </c>
      <c r="X15" s="1339"/>
      <c r="Y15" s="3577" t="s">
        <v>69</v>
      </c>
      <c r="Z15" s="1353" t="str">
        <f t="shared" si="7"/>
        <v>商业繁华度</v>
      </c>
      <c r="AA15" s="1354">
        <f t="shared" si="3"/>
        <v>1</v>
      </c>
      <c r="AB15" s="1354">
        <f t="shared" si="4"/>
        <v>1</v>
      </c>
      <c r="AC15" s="1354">
        <f t="shared" si="5"/>
        <v>1</v>
      </c>
    </row>
    <row r="16" spans="1:29" ht="14.25">
      <c r="A16" s="151"/>
      <c r="B16" s="156"/>
      <c r="C16" s="97" t="s">
        <v>3109</v>
      </c>
      <c r="D16" s="790"/>
      <c r="E16" s="97" t="s">
        <v>3109</v>
      </c>
      <c r="F16" s="791"/>
      <c r="G16" s="97" t="s">
        <v>3109</v>
      </c>
      <c r="H16" s="792"/>
      <c r="I16" s="97" t="s">
        <v>3109</v>
      </c>
      <c r="J16" s="790"/>
      <c r="K16" s="189"/>
      <c r="L16" s="2301"/>
      <c r="M16" s="2296"/>
      <c r="N16" s="2296"/>
      <c r="O16" s="2296"/>
      <c r="P16" s="3576"/>
      <c r="Q16" s="1350"/>
      <c r="R16" s="1351"/>
      <c r="S16" s="1352"/>
      <c r="T16" s="1351"/>
      <c r="U16" s="1352"/>
      <c r="V16" s="1351"/>
      <c r="W16" s="1352"/>
      <c r="X16" s="1339"/>
      <c r="Y16" s="3578"/>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95</v>
      </c>
      <c r="G17" s="101"/>
      <c r="H17" s="797">
        <f>SUMIF(78:78,G18,79:79)-SUMIF(78:78,C18,79:79)+100</f>
        <v>100</v>
      </c>
      <c r="I17" s="100"/>
      <c r="J17" s="797">
        <f>SUMIF(78:78,I18,79:79)-SUMIF(78:78,C18,79:79)+100</f>
        <v>100</v>
      </c>
      <c r="K17" s="956">
        <v>5</v>
      </c>
      <c r="L17" s="2301"/>
      <c r="M17" s="2296"/>
      <c r="N17" s="2296"/>
      <c r="O17" s="2296"/>
      <c r="P17" s="3576"/>
      <c r="Q17" s="1350" t="str">
        <f>B17</f>
        <v>交通便捷度</v>
      </c>
      <c r="R17" s="1351" t="s">
        <v>65</v>
      </c>
      <c r="S17" s="1352">
        <f>F17</f>
        <v>95</v>
      </c>
      <c r="T17" s="1351" t="s">
        <v>65</v>
      </c>
      <c r="U17" s="1352">
        <f>H17</f>
        <v>100</v>
      </c>
      <c r="V17" s="1351" t="s">
        <v>65</v>
      </c>
      <c r="W17" s="1352">
        <f>J17</f>
        <v>100</v>
      </c>
      <c r="X17" s="1339"/>
      <c r="Y17" s="3578"/>
      <c r="Z17" s="1353" t="str">
        <f>Q17</f>
        <v>交通便捷度</v>
      </c>
      <c r="AA17" s="1354">
        <f t="shared" si="3"/>
        <v>1.0526315789473684</v>
      </c>
      <c r="AB17" s="1354">
        <f t="shared" si="4"/>
        <v>1</v>
      </c>
      <c r="AC17" s="1354">
        <f t="shared" si="5"/>
        <v>1</v>
      </c>
    </row>
    <row r="18" spans="1:29" ht="14.25">
      <c r="A18" s="151"/>
      <c r="B18" s="1039"/>
      <c r="C18" s="102" t="s">
        <v>3109</v>
      </c>
      <c r="D18" s="792"/>
      <c r="E18" s="103" t="s">
        <v>3108</v>
      </c>
      <c r="F18" s="795"/>
      <c r="G18" s="104" t="s">
        <v>3109</v>
      </c>
      <c r="H18" s="790"/>
      <c r="I18" s="103" t="s">
        <v>3109</v>
      </c>
      <c r="J18" s="790"/>
      <c r="K18" s="189"/>
      <c r="L18" s="2301"/>
      <c r="M18" s="2296"/>
      <c r="N18" s="2296"/>
      <c r="O18" s="2296"/>
      <c r="P18" s="3576"/>
      <c r="Q18" s="1350"/>
      <c r="R18" s="1351"/>
      <c r="S18" s="1352"/>
      <c r="T18" s="1351"/>
      <c r="U18" s="1352"/>
      <c r="V18" s="1351"/>
      <c r="W18" s="1352"/>
      <c r="X18" s="1339"/>
      <c r="Y18" s="3578"/>
      <c r="Z18" s="1353"/>
      <c r="AA18" s="1354">
        <v>1</v>
      </c>
      <c r="AB18" s="1354">
        <v>1</v>
      </c>
      <c r="AC18" s="1354">
        <v>1</v>
      </c>
    </row>
    <row r="19" spans="1:29" ht="40.5">
      <c r="A19" s="151"/>
      <c r="B19" s="1355" t="s">
        <v>2657</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3</v>
      </c>
      <c r="L19" s="2301"/>
      <c r="M19" s="2296"/>
      <c r="N19" s="2296"/>
      <c r="O19" s="2296"/>
      <c r="P19" s="3576"/>
      <c r="Q19" s="1350" t="str">
        <f>B19</f>
        <v>公共配套设施</v>
      </c>
      <c r="R19" s="1351" t="s">
        <v>65</v>
      </c>
      <c r="S19" s="1352">
        <f>F19</f>
        <v>100</v>
      </c>
      <c r="T19" s="1351" t="s">
        <v>65</v>
      </c>
      <c r="U19" s="1352">
        <f>H19</f>
        <v>100</v>
      </c>
      <c r="V19" s="1351" t="s">
        <v>65</v>
      </c>
      <c r="W19" s="1352">
        <f>J19</f>
        <v>100</v>
      </c>
      <c r="X19" s="1339"/>
      <c r="Y19" s="3578"/>
      <c r="Z19" s="1353" t="str">
        <f>Q19</f>
        <v>公共配套设施</v>
      </c>
      <c r="AA19" s="1354">
        <f t="shared" si="3"/>
        <v>1</v>
      </c>
      <c r="AB19" s="1354">
        <f t="shared" si="4"/>
        <v>1</v>
      </c>
      <c r="AC19" s="1354">
        <f t="shared" si="5"/>
        <v>1</v>
      </c>
    </row>
    <row r="20" spans="1:29" ht="14.25">
      <c r="A20" s="151"/>
      <c r="B20" s="1039"/>
      <c r="C20" s="97" t="s">
        <v>3109</v>
      </c>
      <c r="D20" s="790"/>
      <c r="E20" s="98" t="s">
        <v>3109</v>
      </c>
      <c r="F20" s="791"/>
      <c r="G20" s="99" t="s">
        <v>3109</v>
      </c>
      <c r="H20" s="790"/>
      <c r="I20" s="98" t="s">
        <v>3109</v>
      </c>
      <c r="J20" s="790"/>
      <c r="K20" s="189"/>
      <c r="L20" s="2301"/>
      <c r="M20" s="2296"/>
      <c r="N20" s="2296"/>
      <c r="O20" s="2296"/>
      <c r="P20" s="3576"/>
      <c r="Q20" s="1350"/>
      <c r="R20" s="1351"/>
      <c r="S20" s="1352"/>
      <c r="T20" s="1351"/>
      <c r="U20" s="1352"/>
      <c r="V20" s="1351"/>
      <c r="W20" s="1352"/>
      <c r="X20" s="1339"/>
      <c r="Y20" s="3578"/>
      <c r="Z20" s="1353"/>
      <c r="AA20" s="1354">
        <v>1</v>
      </c>
      <c r="AB20" s="1354">
        <v>1</v>
      </c>
      <c r="AC20" s="1354">
        <v>1</v>
      </c>
    </row>
    <row r="21" spans="1:29" ht="27">
      <c r="A21" s="151"/>
      <c r="B21" s="1411" t="s">
        <v>2658</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2</v>
      </c>
      <c r="L21" s="2301"/>
      <c r="M21" s="2296"/>
      <c r="N21" s="2296"/>
      <c r="O21" s="2296"/>
      <c r="P21" s="3576"/>
      <c r="Q21" s="2746" t="str">
        <f>B21</f>
        <v>基础设施水平</v>
      </c>
      <c r="R21" s="1351" t="s">
        <v>65</v>
      </c>
      <c r="S21" s="1352">
        <f>F21</f>
        <v>100</v>
      </c>
      <c r="T21" s="1351" t="s">
        <v>65</v>
      </c>
      <c r="U21" s="1352">
        <f>H21</f>
        <v>100</v>
      </c>
      <c r="V21" s="1351" t="s">
        <v>65</v>
      </c>
      <c r="W21" s="1352">
        <f>J21</f>
        <v>100</v>
      </c>
      <c r="X21" s="2748"/>
      <c r="Y21" s="3578"/>
      <c r="Z21" s="2747" t="str">
        <f>Q21</f>
        <v>基础设施水平</v>
      </c>
      <c r="AA21" s="1354">
        <f t="shared" ref="AA21" si="8">D21/F21</f>
        <v>1</v>
      </c>
      <c r="AB21" s="1354">
        <f t="shared" ref="AB21" si="9">D21/H21</f>
        <v>1</v>
      </c>
      <c r="AC21" s="1354">
        <f t="shared" ref="AC21" si="10">D21/J21</f>
        <v>1</v>
      </c>
    </row>
    <row r="22" spans="1:29" ht="14.25">
      <c r="A22" s="151"/>
      <c r="B22" s="1411"/>
      <c r="C22" s="102" t="s">
        <v>3110</v>
      </c>
      <c r="D22" s="790"/>
      <c r="E22" s="97" t="s">
        <v>3110</v>
      </c>
      <c r="F22" s="791"/>
      <c r="G22" s="97" t="s">
        <v>3110</v>
      </c>
      <c r="H22" s="790"/>
      <c r="I22" s="97" t="s">
        <v>3110</v>
      </c>
      <c r="J22" s="790"/>
      <c r="K22" s="2766"/>
      <c r="L22" s="2301"/>
      <c r="M22" s="2296"/>
      <c r="N22" s="2296"/>
      <c r="O22" s="2296"/>
      <c r="P22" s="3576"/>
      <c r="Q22" s="2746"/>
      <c r="R22" s="1351"/>
      <c r="S22" s="1352"/>
      <c r="T22" s="1351"/>
      <c r="U22" s="1352"/>
      <c r="V22" s="1351"/>
      <c r="W22" s="1352"/>
      <c r="X22" s="2748"/>
      <c r="Y22" s="3578"/>
      <c r="Z22" s="2747"/>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1"/>
      <c r="M23" s="2296"/>
      <c r="N23" s="2296"/>
      <c r="O23" s="2296"/>
      <c r="P23" s="3576"/>
      <c r="Q23" s="1350" t="str">
        <f>B23</f>
        <v>自然及人文环境</v>
      </c>
      <c r="R23" s="1351" t="s">
        <v>65</v>
      </c>
      <c r="S23" s="1352">
        <f>F23</f>
        <v>100</v>
      </c>
      <c r="T23" s="1351" t="s">
        <v>65</v>
      </c>
      <c r="U23" s="1352">
        <f>H23</f>
        <v>100</v>
      </c>
      <c r="V23" s="1351" t="s">
        <v>65</v>
      </c>
      <c r="W23" s="1352">
        <f>J23</f>
        <v>100</v>
      </c>
      <c r="X23" s="1339"/>
      <c r="Y23" s="3578"/>
      <c r="Z23" s="1353" t="str">
        <f>Q23</f>
        <v>自然及人文环境</v>
      </c>
      <c r="AA23" s="1354">
        <f t="shared" si="3"/>
        <v>1</v>
      </c>
      <c r="AB23" s="1354">
        <f t="shared" si="4"/>
        <v>1</v>
      </c>
      <c r="AC23" s="1354">
        <f t="shared" si="5"/>
        <v>1</v>
      </c>
    </row>
    <row r="24" spans="1:29" ht="14.25">
      <c r="A24" s="151"/>
      <c r="B24" s="1039"/>
      <c r="C24" s="97" t="s">
        <v>3108</v>
      </c>
      <c r="D24" s="790"/>
      <c r="E24" s="98" t="s">
        <v>3108</v>
      </c>
      <c r="F24" s="791"/>
      <c r="G24" s="99" t="s">
        <v>3108</v>
      </c>
      <c r="H24" s="790"/>
      <c r="I24" s="98" t="s">
        <v>3108</v>
      </c>
      <c r="J24" s="790"/>
      <c r="K24" s="189"/>
      <c r="L24" s="2301"/>
      <c r="M24" s="2296"/>
      <c r="N24" s="2296"/>
      <c r="O24" s="2296"/>
      <c r="P24" s="3576"/>
      <c r="Q24" s="1350"/>
      <c r="R24" s="1351"/>
      <c r="S24" s="1352"/>
      <c r="T24" s="1351"/>
      <c r="U24" s="1352"/>
      <c r="V24" s="1351"/>
      <c r="W24" s="1352"/>
      <c r="X24" s="1339"/>
      <c r="Y24" s="3578"/>
      <c r="Z24" s="1353"/>
      <c r="AA24" s="1354">
        <v>1</v>
      </c>
      <c r="AB24" s="1354">
        <v>1</v>
      </c>
      <c r="AC24" s="1354">
        <v>1</v>
      </c>
    </row>
    <row r="25" spans="1:29" ht="15">
      <c r="A25" s="151"/>
      <c r="B25" s="12" t="s">
        <v>131</v>
      </c>
      <c r="C25" s="182" t="s">
        <v>3129</v>
      </c>
      <c r="D25" s="777">
        <v>100</v>
      </c>
      <c r="E25" s="182" t="s">
        <v>3129</v>
      </c>
      <c r="F25" s="803">
        <f>SUMIF(86:86,E25,87:87)-SUMIF(86:86,C25,87:87)+100</f>
        <v>100</v>
      </c>
      <c r="G25" s="182" t="s">
        <v>3129</v>
      </c>
      <c r="H25" s="777">
        <f>SUMIF(86:86,G25,87:87)-SUMIF(86:86,C25,87:87)+100</f>
        <v>100</v>
      </c>
      <c r="I25" s="182" t="s">
        <v>3129</v>
      </c>
      <c r="J25" s="777">
        <f>SUMIF(86:86,I25,87:87)-SUMIF(86:86,C25,87:87)+100</f>
        <v>100</v>
      </c>
      <c r="K25" s="954">
        <v>3</v>
      </c>
      <c r="L25" s="2301"/>
      <c r="M25" s="2296"/>
      <c r="N25" s="2296"/>
      <c r="O25" s="2296"/>
      <c r="P25" s="3576"/>
      <c r="Q25" s="1350" t="str">
        <f t="shared" ref="Q25:Q46" si="11">B25</f>
        <v>临街状况</v>
      </c>
      <c r="R25" s="1351" t="s">
        <v>65</v>
      </c>
      <c r="S25" s="1352">
        <f>F25</f>
        <v>100</v>
      </c>
      <c r="T25" s="1351" t="s">
        <v>65</v>
      </c>
      <c r="U25" s="1352">
        <f>H25</f>
        <v>100</v>
      </c>
      <c r="V25" s="1351" t="s">
        <v>65</v>
      </c>
      <c r="W25" s="1352">
        <f>J25</f>
        <v>100</v>
      </c>
      <c r="X25" s="1339"/>
      <c r="Y25" s="3578"/>
      <c r="Z25" s="1353" t="str">
        <f>Q25</f>
        <v>临街状况</v>
      </c>
      <c r="AA25" s="1354">
        <f t="shared" si="3"/>
        <v>1</v>
      </c>
      <c r="AB25" s="1354">
        <f t="shared" si="4"/>
        <v>1</v>
      </c>
      <c r="AC25" s="1354">
        <f t="shared" si="5"/>
        <v>1</v>
      </c>
    </row>
    <row r="26" spans="1:29" ht="14.25">
      <c r="A26" s="151"/>
      <c r="B26" s="1356" t="s">
        <v>1025</v>
      </c>
      <c r="C26" s="93" t="s">
        <v>3160</v>
      </c>
      <c r="D26" s="777">
        <v>100</v>
      </c>
      <c r="E26" s="93" t="s">
        <v>3160</v>
      </c>
      <c r="F26" s="803">
        <f>SUMIF(88:88,E26,89:89)-SUMIF(88:88,C26,89:89)+100</f>
        <v>100</v>
      </c>
      <c r="G26" s="93" t="s">
        <v>3160</v>
      </c>
      <c r="H26" s="777">
        <f>SUMIF(88:88,G26,89:89)-SUMIF(88:88,C26,89:89)+100</f>
        <v>100</v>
      </c>
      <c r="I26" s="93" t="s">
        <v>3160</v>
      </c>
      <c r="J26" s="777">
        <f>SUMIF(88:88,I26,89:89)-SUMIF(88:88,C26,89:89)+100</f>
        <v>100</v>
      </c>
      <c r="K26" s="188"/>
      <c r="L26" s="2301"/>
      <c r="M26" s="2296"/>
      <c r="N26" s="2296"/>
      <c r="O26" s="2296"/>
      <c r="P26" s="3576"/>
      <c r="Q26" s="1350" t="str">
        <f t="shared" si="11"/>
        <v>平面位置/可视性</v>
      </c>
      <c r="R26" s="1351" t="s">
        <v>65</v>
      </c>
      <c r="S26" s="1352">
        <f>F26</f>
        <v>100</v>
      </c>
      <c r="T26" s="1351" t="s">
        <v>65</v>
      </c>
      <c r="U26" s="1352">
        <f>H26</f>
        <v>100</v>
      </c>
      <c r="V26" s="1351" t="s">
        <v>65</v>
      </c>
      <c r="W26" s="1352">
        <f>J26</f>
        <v>100</v>
      </c>
      <c r="X26" s="1339"/>
      <c r="Y26" s="3578"/>
      <c r="Z26" s="1353" t="str">
        <f>Q26</f>
        <v>平面位置/可视性</v>
      </c>
      <c r="AA26" s="1354">
        <f t="shared" si="3"/>
        <v>1</v>
      </c>
      <c r="AB26" s="1354">
        <f t="shared" si="4"/>
        <v>1</v>
      </c>
      <c r="AC26" s="1354">
        <f t="shared" si="5"/>
        <v>1</v>
      </c>
    </row>
    <row r="27" spans="1:29" s="40" customFormat="1" ht="15">
      <c r="A27" s="1029"/>
      <c r="B27" s="1355" t="s">
        <v>1026</v>
      </c>
      <c r="C27" s="1386" t="s">
        <v>3132</v>
      </c>
      <c r="D27" s="804">
        <v>100</v>
      </c>
      <c r="E27" s="1386" t="s">
        <v>3132</v>
      </c>
      <c r="F27" s="806">
        <f>SUMIF(90:90,E27,91:91)-SUMIF(90:90,C27,91:91)+100</f>
        <v>100</v>
      </c>
      <c r="G27" s="1386" t="s">
        <v>3132</v>
      </c>
      <c r="H27" s="804">
        <f>SUMIF(90:90,G27,91:91)-SUMIF(90:90,C27,91:91)+100</f>
        <v>100</v>
      </c>
      <c r="I27" s="1386" t="s">
        <v>3132</v>
      </c>
      <c r="J27" s="804">
        <f>SUMIF(90:90,I27,91:91)-SUMIF(90:90,C27,91:91)+100</f>
        <v>100</v>
      </c>
      <c r="K27" s="954">
        <v>2</v>
      </c>
      <c r="L27" s="2297"/>
      <c r="M27" s="2259"/>
      <c r="N27" s="2259"/>
      <c r="O27" s="2259"/>
      <c r="P27" s="3576"/>
      <c r="Q27" s="7" t="str">
        <f t="shared" si="11"/>
        <v>人流量</v>
      </c>
      <c r="R27" s="1341" t="s">
        <v>65</v>
      </c>
      <c r="S27" s="1342">
        <f>F27</f>
        <v>100</v>
      </c>
      <c r="T27" s="1341" t="s">
        <v>65</v>
      </c>
      <c r="U27" s="1342">
        <f>H27</f>
        <v>100</v>
      </c>
      <c r="V27" s="1341" t="s">
        <v>65</v>
      </c>
      <c r="W27" s="1342">
        <f>J27</f>
        <v>100</v>
      </c>
      <c r="X27" s="287"/>
      <c r="Y27" s="3578"/>
      <c r="Z27" s="288" t="str">
        <f>Q27</f>
        <v>人流量</v>
      </c>
      <c r="AA27" s="1354">
        <f>D27/F27</f>
        <v>1</v>
      </c>
      <c r="AB27" s="1354">
        <f>D27/H27</f>
        <v>1</v>
      </c>
      <c r="AC27" s="1354">
        <f>D27/J27</f>
        <v>1</v>
      </c>
    </row>
    <row r="28" spans="1:29" ht="14.25">
      <c r="A28" s="151"/>
      <c r="B28" s="12" t="s">
        <v>132</v>
      </c>
      <c r="C28" s="182" t="s">
        <v>3134</v>
      </c>
      <c r="D28" s="777">
        <v>100</v>
      </c>
      <c r="E28" s="182" t="s">
        <v>3111</v>
      </c>
      <c r="F28" s="803">
        <f>SUMIF(92:92,E28,93:93)-SUMIF(92:92,C28,93:93)+100</f>
        <v>100</v>
      </c>
      <c r="G28" s="182" t="s">
        <v>3111</v>
      </c>
      <c r="H28" s="777">
        <f>SUMIF(92:92,G28,93:93)-SUMIF(92:92,C28,93:93)+100</f>
        <v>100</v>
      </c>
      <c r="I28" s="182" t="s">
        <v>3111</v>
      </c>
      <c r="J28" s="777">
        <f>SUMIF(92:92,I28,93:93)-SUMIF(92:92,C28,93:93)+100</f>
        <v>100</v>
      </c>
      <c r="K28" s="188"/>
      <c r="L28" s="2301"/>
      <c r="M28" s="2296"/>
      <c r="N28" s="2296"/>
      <c r="O28" s="2296"/>
      <c r="P28" s="3576"/>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578"/>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576"/>
      <c r="Q29" s="1350">
        <f t="shared" si="11"/>
        <v>111</v>
      </c>
      <c r="R29" s="1351" t="s">
        <v>65</v>
      </c>
      <c r="S29" s="1352">
        <f t="shared" si="12"/>
        <v>100</v>
      </c>
      <c r="T29" s="1351" t="s">
        <v>65</v>
      </c>
      <c r="U29" s="1352">
        <f t="shared" si="13"/>
        <v>100</v>
      </c>
      <c r="V29" s="1351" t="s">
        <v>65</v>
      </c>
      <c r="W29" s="1352">
        <f t="shared" si="14"/>
        <v>100</v>
      </c>
      <c r="X29" s="1339"/>
      <c r="Y29" s="3578"/>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576"/>
      <c r="Q30" s="1350">
        <f t="shared" si="11"/>
        <v>111</v>
      </c>
      <c r="R30" s="1351" t="s">
        <v>65</v>
      </c>
      <c r="S30" s="1352">
        <f t="shared" si="12"/>
        <v>100</v>
      </c>
      <c r="T30" s="1351" t="s">
        <v>65</v>
      </c>
      <c r="U30" s="1352">
        <f t="shared" si="13"/>
        <v>100</v>
      </c>
      <c r="V30" s="1351" t="s">
        <v>65</v>
      </c>
      <c r="W30" s="1352">
        <f t="shared" si="14"/>
        <v>100</v>
      </c>
      <c r="X30" s="1339"/>
      <c r="Y30" s="3578"/>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576"/>
      <c r="Q31" s="1350">
        <f t="shared" si="11"/>
        <v>111</v>
      </c>
      <c r="R31" s="1351" t="s">
        <v>65</v>
      </c>
      <c r="S31" s="1352">
        <f t="shared" si="12"/>
        <v>100</v>
      </c>
      <c r="T31" s="1351" t="s">
        <v>65</v>
      </c>
      <c r="U31" s="1352">
        <f t="shared" si="13"/>
        <v>100</v>
      </c>
      <c r="V31" s="1351" t="s">
        <v>65</v>
      </c>
      <c r="W31" s="1352">
        <f t="shared" si="14"/>
        <v>100</v>
      </c>
      <c r="X31" s="1339"/>
      <c r="Y31" s="3578"/>
      <c r="Z31" s="1353">
        <f t="shared" si="15"/>
        <v>111</v>
      </c>
      <c r="AA31" s="1354">
        <f t="shared" si="3"/>
        <v>1</v>
      </c>
      <c r="AB31" s="1354">
        <f t="shared" si="4"/>
        <v>1</v>
      </c>
      <c r="AC31" s="1354">
        <f t="shared" si="5"/>
        <v>1</v>
      </c>
    </row>
    <row r="32" spans="1:29" ht="15">
      <c r="A32" s="155" t="s">
        <v>1027</v>
      </c>
      <c r="B32" s="62" t="s">
        <v>1028</v>
      </c>
      <c r="C32" s="110" t="s">
        <v>3140</v>
      </c>
      <c r="D32" s="809">
        <v>100</v>
      </c>
      <c r="E32" s="110" t="s">
        <v>3140</v>
      </c>
      <c r="F32" s="803">
        <f>SUMIF(100:100,E32,101:101)-SUMIF(100:100,C32,101:101)+100</f>
        <v>100</v>
      </c>
      <c r="G32" s="110" t="s">
        <v>3140</v>
      </c>
      <c r="H32" s="777">
        <f>SUMIF(100:100,G32,101:101)-SUMIF(100:100,C32,101:101)+100</f>
        <v>100</v>
      </c>
      <c r="I32" s="110" t="s">
        <v>3186</v>
      </c>
      <c r="J32" s="809">
        <f>SUMIF(100:100,I32,101:101)-SUMIF(100:100,C32,101:101)+100</f>
        <v>101</v>
      </c>
      <c r="K32" s="954">
        <v>1</v>
      </c>
      <c r="L32" s="2301"/>
      <c r="M32" s="2296"/>
      <c r="N32" s="2296"/>
      <c r="O32" s="2296"/>
      <c r="P32" s="3579" t="s">
        <v>1029</v>
      </c>
      <c r="Q32" s="1350" t="str">
        <f t="shared" si="11"/>
        <v>商业类型</v>
      </c>
      <c r="R32" s="1351" t="s">
        <v>65</v>
      </c>
      <c r="S32" s="1352">
        <f t="shared" si="12"/>
        <v>100</v>
      </c>
      <c r="T32" s="1351" t="s">
        <v>65</v>
      </c>
      <c r="U32" s="1352">
        <f t="shared" si="13"/>
        <v>100</v>
      </c>
      <c r="V32" s="1351" t="s">
        <v>65</v>
      </c>
      <c r="W32" s="1352">
        <f t="shared" si="14"/>
        <v>101</v>
      </c>
      <c r="X32" s="1339"/>
      <c r="Y32" s="3582" t="s">
        <v>1029</v>
      </c>
      <c r="Z32" s="1353" t="str">
        <f t="shared" si="15"/>
        <v>商业类型</v>
      </c>
      <c r="AA32" s="1354">
        <f t="shared" si="3"/>
        <v>1</v>
      </c>
      <c r="AB32" s="1354">
        <f t="shared" si="4"/>
        <v>1</v>
      </c>
      <c r="AC32" s="1354">
        <f t="shared" si="5"/>
        <v>0.99009900990099009</v>
      </c>
    </row>
    <row r="33" spans="1:29" s="1038" customFormat="1" ht="14.25">
      <c r="A33" s="1042"/>
      <c r="B33" s="12" t="s">
        <v>76</v>
      </c>
      <c r="C33" s="811">
        <v>49.46</v>
      </c>
      <c r="D33" s="426">
        <v>100</v>
      </c>
      <c r="E33" s="772">
        <v>56</v>
      </c>
      <c r="F33" s="767">
        <f>LOOKUP(E33,103:103,104:104)-LOOKUP(C33,103:103,104:104)+100</f>
        <v>98</v>
      </c>
      <c r="G33" s="771">
        <v>88</v>
      </c>
      <c r="H33" s="426">
        <f>LOOKUP(G33,103:103,104:104)-LOOKUP(C33,103:103,104:104)+100</f>
        <v>98</v>
      </c>
      <c r="I33" s="771">
        <v>124</v>
      </c>
      <c r="J33" s="426">
        <f>LOOKUP(I33,103:103,104:104)-LOOKUP(C33,103:103,104:104)+100</f>
        <v>96</v>
      </c>
      <c r="K33" s="188"/>
      <c r="L33" s="2300"/>
      <c r="M33" s="2302"/>
      <c r="N33" s="2302"/>
      <c r="O33" s="2302"/>
      <c r="P33" s="3580"/>
      <c r="Q33" s="1358" t="str">
        <f t="shared" si="11"/>
        <v>项目建筑规模</v>
      </c>
      <c r="R33" s="1359" t="s">
        <v>65</v>
      </c>
      <c r="S33" s="1360">
        <f t="shared" si="12"/>
        <v>98</v>
      </c>
      <c r="T33" s="1359" t="s">
        <v>65</v>
      </c>
      <c r="U33" s="1360">
        <f t="shared" si="13"/>
        <v>98</v>
      </c>
      <c r="V33" s="1359" t="s">
        <v>65</v>
      </c>
      <c r="W33" s="1360">
        <f t="shared" si="14"/>
        <v>96</v>
      </c>
      <c r="X33" s="1361"/>
      <c r="Y33" s="3582"/>
      <c r="Z33" s="1362" t="str">
        <f t="shared" si="15"/>
        <v>项目建筑规模</v>
      </c>
      <c r="AA33" s="1354">
        <f t="shared" si="3"/>
        <v>1.0204081632653061</v>
      </c>
      <c r="AB33" s="1354">
        <f t="shared" si="4"/>
        <v>1.0204081632653061</v>
      </c>
      <c r="AC33" s="1354">
        <f t="shared" si="5"/>
        <v>1.0416666666666667</v>
      </c>
    </row>
    <row r="34" spans="1:29" ht="15">
      <c r="A34" s="161"/>
      <c r="B34" s="12" t="s">
        <v>77</v>
      </c>
      <c r="C34" s="112" t="s">
        <v>3083</v>
      </c>
      <c r="D34" s="777">
        <v>100</v>
      </c>
      <c r="E34" s="113" t="s">
        <v>3161</v>
      </c>
      <c r="F34" s="803">
        <f>SUMIF(105:105,E34,106:106)-SUMIF(105:105,C34,106:106)+100</f>
        <v>100</v>
      </c>
      <c r="G34" s="112" t="s">
        <v>3142</v>
      </c>
      <c r="H34" s="777">
        <f>SUMIF(105:105,G34,106:106)-SUMIF(105:105,C34,106:106)+100</f>
        <v>100</v>
      </c>
      <c r="I34" s="112" t="s">
        <v>3142</v>
      </c>
      <c r="J34" s="777">
        <f>SUMIF(105:105,I34,106:106)-SUMIF(105:105,C34,106:106)+100</f>
        <v>100</v>
      </c>
      <c r="K34" s="954">
        <v>2</v>
      </c>
      <c r="L34" s="2301"/>
      <c r="M34" s="2296"/>
      <c r="N34" s="2296"/>
      <c r="O34" s="2296"/>
      <c r="P34" s="3580"/>
      <c r="Q34" s="1350" t="str">
        <f t="shared" si="11"/>
        <v>建筑结构</v>
      </c>
      <c r="R34" s="1351" t="s">
        <v>65</v>
      </c>
      <c r="S34" s="1352">
        <f t="shared" si="12"/>
        <v>100</v>
      </c>
      <c r="T34" s="1351" t="s">
        <v>65</v>
      </c>
      <c r="U34" s="1352">
        <f t="shared" si="13"/>
        <v>100</v>
      </c>
      <c r="V34" s="1351" t="s">
        <v>65</v>
      </c>
      <c r="W34" s="1352">
        <f t="shared" si="14"/>
        <v>100</v>
      </c>
      <c r="X34" s="1339"/>
      <c r="Y34" s="3582"/>
      <c r="Z34" s="1353" t="str">
        <f t="shared" si="15"/>
        <v>建筑结构</v>
      </c>
      <c r="AA34" s="1354">
        <f t="shared" si="3"/>
        <v>1</v>
      </c>
      <c r="AB34" s="1354">
        <f t="shared" si="4"/>
        <v>1</v>
      </c>
      <c r="AC34" s="1354">
        <f t="shared" si="5"/>
        <v>1</v>
      </c>
    </row>
    <row r="35" spans="1:29" ht="15">
      <c r="A35" s="161"/>
      <c r="B35" s="12" t="s">
        <v>1030</v>
      </c>
      <c r="C35" s="109" t="s">
        <v>3122</v>
      </c>
      <c r="D35" s="777">
        <v>100</v>
      </c>
      <c r="E35" s="109" t="s">
        <v>3122</v>
      </c>
      <c r="F35" s="803">
        <f>SUMIF(107:107,E35,108:108)-SUMIF(107:107,C35,108:108)+100</f>
        <v>100</v>
      </c>
      <c r="G35" s="109" t="s">
        <v>3122</v>
      </c>
      <c r="H35" s="777">
        <f>SUMIF(107:107,G35,108:108)-SUMIF(107:107,C35,108:108)+100</f>
        <v>100</v>
      </c>
      <c r="I35" s="109" t="s">
        <v>3122</v>
      </c>
      <c r="J35" s="777">
        <f>SUMIF(107:107,I35,108:108)-SUMIF(107:107,C35,108:108)+100</f>
        <v>100</v>
      </c>
      <c r="K35" s="954">
        <v>1</v>
      </c>
      <c r="L35" s="2301"/>
      <c r="M35" s="2296"/>
      <c r="N35" s="2296"/>
      <c r="O35" s="2296"/>
      <c r="P35" s="3580"/>
      <c r="Q35" s="1350" t="str">
        <f t="shared" si="11"/>
        <v>公共部分装修</v>
      </c>
      <c r="R35" s="1351" t="s">
        <v>65</v>
      </c>
      <c r="S35" s="1352">
        <f t="shared" si="12"/>
        <v>100</v>
      </c>
      <c r="T35" s="1351" t="s">
        <v>65</v>
      </c>
      <c r="U35" s="1352">
        <f t="shared" si="13"/>
        <v>100</v>
      </c>
      <c r="V35" s="1351" t="s">
        <v>65</v>
      </c>
      <c r="W35" s="1352">
        <f t="shared" si="14"/>
        <v>100</v>
      </c>
      <c r="X35" s="1339"/>
      <c r="Y35" s="3582"/>
      <c r="Z35" s="1353" t="str">
        <f t="shared" si="15"/>
        <v>公共部分装修</v>
      </c>
      <c r="AA35" s="1354">
        <f t="shared" si="3"/>
        <v>1</v>
      </c>
      <c r="AB35" s="1354">
        <f t="shared" si="4"/>
        <v>1</v>
      </c>
      <c r="AC35" s="1354">
        <f t="shared" si="5"/>
        <v>1</v>
      </c>
    </row>
    <row r="36" spans="1:29" ht="15">
      <c r="A36" s="161"/>
      <c r="B36" s="12" t="s">
        <v>1031</v>
      </c>
      <c r="C36" s="816">
        <v>0.9</v>
      </c>
      <c r="D36" s="777">
        <v>100</v>
      </c>
      <c r="E36" s="816">
        <v>0.9</v>
      </c>
      <c r="F36" s="803">
        <f>LOOKUP(E36,110:110,111:111)-LOOKUP(C36,110:110,111:111)+100</f>
        <v>100</v>
      </c>
      <c r="G36" s="816">
        <v>0.9</v>
      </c>
      <c r="H36" s="803">
        <f>LOOKUP(G36,110:110,111:111)-LOOKUP(C36,110:110,111:111)+100</f>
        <v>100</v>
      </c>
      <c r="I36" s="816">
        <v>0.9</v>
      </c>
      <c r="J36" s="777">
        <f>LOOKUP(I36,110:110,111:111)-LOOKUP(C36,110:110,111:111)+100</f>
        <v>100</v>
      </c>
      <c r="K36" s="954">
        <v>1</v>
      </c>
      <c r="L36" s="2301"/>
      <c r="M36" s="2296"/>
      <c r="N36" s="2296"/>
      <c r="O36" s="2296"/>
      <c r="P36" s="3580"/>
      <c r="Q36" s="1350" t="str">
        <f t="shared" si="11"/>
        <v>成新度</v>
      </c>
      <c r="R36" s="1351" t="s">
        <v>65</v>
      </c>
      <c r="S36" s="1352">
        <f t="shared" si="12"/>
        <v>100</v>
      </c>
      <c r="T36" s="1351" t="s">
        <v>65</v>
      </c>
      <c r="U36" s="1352">
        <f t="shared" si="13"/>
        <v>100</v>
      </c>
      <c r="V36" s="1351" t="s">
        <v>65</v>
      </c>
      <c r="W36" s="1352">
        <f t="shared" si="14"/>
        <v>100</v>
      </c>
      <c r="X36" s="1339"/>
      <c r="Y36" s="3582"/>
      <c r="Z36" s="1353" t="str">
        <f t="shared" si="15"/>
        <v>成新度</v>
      </c>
      <c r="AA36" s="1354">
        <f t="shared" si="3"/>
        <v>1</v>
      </c>
      <c r="AB36" s="1354">
        <f t="shared" si="4"/>
        <v>1</v>
      </c>
      <c r="AC36" s="1354">
        <f t="shared" si="5"/>
        <v>1</v>
      </c>
    </row>
    <row r="37" spans="1:29" s="40" customFormat="1" ht="15">
      <c r="A37" s="1040"/>
      <c r="B37" s="12" t="s">
        <v>2659</v>
      </c>
      <c r="C37" s="109" t="s">
        <v>3110</v>
      </c>
      <c r="D37" s="426">
        <v>100</v>
      </c>
      <c r="E37" s="109" t="s">
        <v>3110</v>
      </c>
      <c r="F37" s="803">
        <f>SUMIF(112:112,E37,113:113)-SUMIF(112:112,C37,113:113)+100</f>
        <v>100</v>
      </c>
      <c r="G37" s="109" t="s">
        <v>3110</v>
      </c>
      <c r="H37" s="777">
        <f>SUMIF(112:112,G37,113:113)-SUMIF(112:112,C37,113:113)+100</f>
        <v>100</v>
      </c>
      <c r="I37" s="109" t="s">
        <v>3110</v>
      </c>
      <c r="J37" s="777">
        <f>SUMIF(112:112,I37,113:113)-SUMIF(112:112,C37,113:113)+100</f>
        <v>100</v>
      </c>
      <c r="K37" s="954">
        <v>2</v>
      </c>
      <c r="L37" s="2297"/>
      <c r="M37" s="2259"/>
      <c r="N37" s="2259"/>
      <c r="O37" s="2259"/>
      <c r="P37" s="3580"/>
      <c r="Q37" s="7" t="str">
        <f t="shared" si="11"/>
        <v>市政基础设施</v>
      </c>
      <c r="R37" s="1341" t="s">
        <v>65</v>
      </c>
      <c r="S37" s="1342">
        <f t="shared" si="12"/>
        <v>100</v>
      </c>
      <c r="T37" s="1341" t="s">
        <v>65</v>
      </c>
      <c r="U37" s="1342">
        <f t="shared" si="13"/>
        <v>100</v>
      </c>
      <c r="V37" s="1341" t="s">
        <v>65</v>
      </c>
      <c r="W37" s="1342">
        <f t="shared" si="14"/>
        <v>100</v>
      </c>
      <c r="X37" s="287"/>
      <c r="Y37" s="3582"/>
      <c r="Z37" s="288" t="str">
        <f t="shared" si="15"/>
        <v>市政基础设施</v>
      </c>
      <c r="AA37" s="1343">
        <f t="shared" si="3"/>
        <v>1</v>
      </c>
      <c r="AB37" s="1343">
        <f t="shared" si="4"/>
        <v>1</v>
      </c>
      <c r="AC37" s="1343">
        <f t="shared" si="5"/>
        <v>1</v>
      </c>
    </row>
    <row r="38" spans="1:29" ht="15">
      <c r="A38" s="161"/>
      <c r="B38" s="12" t="s">
        <v>135</v>
      </c>
      <c r="C38" s="109" t="s">
        <v>3149</v>
      </c>
      <c r="D38" s="777">
        <v>100</v>
      </c>
      <c r="E38" s="109" t="s">
        <v>3149</v>
      </c>
      <c r="F38" s="803">
        <f>SUMIF(114:114,E38,115:115)-SUMIF(114:114,C38,115:115)+100</f>
        <v>100</v>
      </c>
      <c r="G38" s="109" t="s">
        <v>3149</v>
      </c>
      <c r="H38" s="777">
        <f>SUMIF(114:114,G38,115:115)-SUMIF(114:114,C38,115:115)+100</f>
        <v>100</v>
      </c>
      <c r="I38" s="109" t="s">
        <v>3149</v>
      </c>
      <c r="J38" s="777">
        <f>SUMIF(114:114,I38,115:115)-SUMIF(114:114,C38,115:115)+100</f>
        <v>100</v>
      </c>
      <c r="K38" s="954">
        <v>2</v>
      </c>
      <c r="L38" s="2301"/>
      <c r="M38" s="2296"/>
      <c r="N38" s="2296"/>
      <c r="O38" s="2296"/>
      <c r="P38" s="3580" t="s">
        <v>1032</v>
      </c>
      <c r="Q38" s="1350" t="str">
        <f t="shared" si="11"/>
        <v>业态</v>
      </c>
      <c r="R38" s="1351" t="s">
        <v>65</v>
      </c>
      <c r="S38" s="1352">
        <f t="shared" si="12"/>
        <v>100</v>
      </c>
      <c r="T38" s="1351" t="s">
        <v>65</v>
      </c>
      <c r="U38" s="1352">
        <f t="shared" si="13"/>
        <v>100</v>
      </c>
      <c r="V38" s="1351" t="s">
        <v>65</v>
      </c>
      <c r="W38" s="1352">
        <f t="shared" si="14"/>
        <v>100</v>
      </c>
      <c r="X38" s="1339"/>
      <c r="Y38" s="3582" t="s">
        <v>1032</v>
      </c>
      <c r="Z38" s="1353" t="str">
        <f t="shared" si="15"/>
        <v>业态</v>
      </c>
      <c r="AA38" s="1354">
        <f t="shared" si="3"/>
        <v>1</v>
      </c>
      <c r="AB38" s="1354">
        <f t="shared" si="4"/>
        <v>1</v>
      </c>
      <c r="AC38" s="1354">
        <f t="shared" si="5"/>
        <v>1</v>
      </c>
    </row>
    <row r="39" spans="1:29" ht="15">
      <c r="A39" s="161"/>
      <c r="B39" s="12" t="s">
        <v>1033</v>
      </c>
      <c r="C39" s="109" t="s">
        <v>3163</v>
      </c>
      <c r="D39" s="777">
        <v>100</v>
      </c>
      <c r="E39" s="109" t="s">
        <v>3163</v>
      </c>
      <c r="F39" s="803">
        <f>SUMIF(116:116,E39,117:117)-SUMIF(116:116,C39,117:117)+100</f>
        <v>100</v>
      </c>
      <c r="G39" s="109" t="s">
        <v>3163</v>
      </c>
      <c r="H39" s="777">
        <f>SUMIF(116:116,G39,117:117)-SUMIF(116:116,C39,117:117)+100</f>
        <v>100</v>
      </c>
      <c r="I39" s="109" t="s">
        <v>3163</v>
      </c>
      <c r="J39" s="777">
        <f>SUMIF(116:116,I39,117:117)-SUMIF(116:116,C39,117:117)+100</f>
        <v>100</v>
      </c>
      <c r="K39" s="954">
        <v>1</v>
      </c>
      <c r="L39" s="2301"/>
      <c r="M39" s="2296"/>
      <c r="N39" s="2296"/>
      <c r="O39" s="2296"/>
      <c r="P39" s="3580"/>
      <c r="Q39" s="1350" t="str">
        <f t="shared" si="11"/>
        <v>层高</v>
      </c>
      <c r="R39" s="1351" t="s">
        <v>65</v>
      </c>
      <c r="S39" s="1352">
        <f t="shared" si="12"/>
        <v>100</v>
      </c>
      <c r="T39" s="1351" t="s">
        <v>65</v>
      </c>
      <c r="U39" s="1352">
        <f t="shared" si="13"/>
        <v>100</v>
      </c>
      <c r="V39" s="1351" t="s">
        <v>65</v>
      </c>
      <c r="W39" s="1352">
        <f t="shared" si="14"/>
        <v>100</v>
      </c>
      <c r="X39" s="1339"/>
      <c r="Y39" s="3582"/>
      <c r="Z39" s="1353" t="str">
        <f t="shared" si="15"/>
        <v>层高</v>
      </c>
      <c r="AA39" s="1354">
        <f t="shared" si="3"/>
        <v>1</v>
      </c>
      <c r="AB39" s="1354">
        <f t="shared" si="4"/>
        <v>1</v>
      </c>
      <c r="AC39" s="1354">
        <f t="shared" si="5"/>
        <v>1</v>
      </c>
    </row>
    <row r="40" spans="1:29" ht="14.25">
      <c r="A40" s="161"/>
      <c r="B40" s="12"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580"/>
      <c r="Q40" s="1350" t="str">
        <f t="shared" si="11"/>
        <v>单套建筑面积</v>
      </c>
      <c r="R40" s="1351" t="s">
        <v>65</v>
      </c>
      <c r="S40" s="1352">
        <f t="shared" si="12"/>
        <v>100</v>
      </c>
      <c r="T40" s="1351" t="s">
        <v>65</v>
      </c>
      <c r="U40" s="1352">
        <f t="shared" si="13"/>
        <v>100</v>
      </c>
      <c r="V40" s="1351" t="s">
        <v>65</v>
      </c>
      <c r="W40" s="1352">
        <f t="shared" si="14"/>
        <v>100</v>
      </c>
      <c r="X40" s="1339"/>
      <c r="Y40" s="3582"/>
      <c r="Z40" s="1353" t="str">
        <f t="shared" si="15"/>
        <v>单套建筑面积</v>
      </c>
      <c r="AA40" s="1354">
        <f t="shared" si="3"/>
        <v>1</v>
      </c>
      <c r="AB40" s="1354">
        <f t="shared" si="4"/>
        <v>1</v>
      </c>
      <c r="AC40" s="1354">
        <f t="shared" si="5"/>
        <v>1</v>
      </c>
    </row>
    <row r="41" spans="1:29" s="1038" customFormat="1" ht="15">
      <c r="A41" s="1042"/>
      <c r="B41" s="191" t="s">
        <v>1035</v>
      </c>
      <c r="C41" s="182" t="s">
        <v>3151</v>
      </c>
      <c r="D41" s="777">
        <v>100</v>
      </c>
      <c r="E41" s="182" t="s">
        <v>3151</v>
      </c>
      <c r="F41" s="803">
        <f>SUMIF(120:120,E41,121:121)-SUMIF(120:120,C41,121:121)+100</f>
        <v>100</v>
      </c>
      <c r="G41" s="182" t="s">
        <v>3151</v>
      </c>
      <c r="H41" s="777">
        <f>SUMIF(120:120,G41,121:121)-SUMIF(120:120,C41,121:121)+100</f>
        <v>100</v>
      </c>
      <c r="I41" s="182" t="s">
        <v>3151</v>
      </c>
      <c r="J41" s="777">
        <f>SUMIF(120:120,I41,121:121)-SUMIF(120:120,C41,121:121)+100</f>
        <v>100</v>
      </c>
      <c r="K41" s="954">
        <v>3</v>
      </c>
      <c r="L41" s="2300"/>
      <c r="M41" s="2302"/>
      <c r="N41" s="2302"/>
      <c r="O41" s="2302"/>
      <c r="P41" s="3580"/>
      <c r="Q41" s="1358" t="str">
        <f t="shared" si="11"/>
        <v>进深比</v>
      </c>
      <c r="R41" s="1359" t="s">
        <v>65</v>
      </c>
      <c r="S41" s="1360">
        <f t="shared" si="12"/>
        <v>100</v>
      </c>
      <c r="T41" s="1359" t="s">
        <v>65</v>
      </c>
      <c r="U41" s="1360">
        <f t="shared" si="13"/>
        <v>100</v>
      </c>
      <c r="V41" s="1359" t="s">
        <v>65</v>
      </c>
      <c r="W41" s="1360">
        <f t="shared" si="14"/>
        <v>100</v>
      </c>
      <c r="X41" s="1361"/>
      <c r="Y41" s="3582"/>
      <c r="Z41" s="1362" t="str">
        <f t="shared" si="15"/>
        <v>进深比</v>
      </c>
      <c r="AA41" s="1354">
        <f t="shared" si="3"/>
        <v>1</v>
      </c>
      <c r="AB41" s="1354">
        <f t="shared" si="4"/>
        <v>1</v>
      </c>
      <c r="AC41" s="1354">
        <f t="shared" si="5"/>
        <v>1</v>
      </c>
    </row>
    <row r="42" spans="1:29" ht="15">
      <c r="A42" s="161"/>
      <c r="B42" s="12" t="s">
        <v>1036</v>
      </c>
      <c r="C42" s="109" t="s">
        <v>3122</v>
      </c>
      <c r="D42" s="777">
        <v>100</v>
      </c>
      <c r="E42" s="109" t="s">
        <v>3122</v>
      </c>
      <c r="F42" s="803">
        <f>SUMIF(122:122,E42,123:123)-SUMIF(122:122,C42,123:123)+100</f>
        <v>100</v>
      </c>
      <c r="G42" s="109" t="s">
        <v>3122</v>
      </c>
      <c r="H42" s="777">
        <f>SUMIF(122:122,G42,123:123)-SUMIF(122:122,C42,123:123)+100</f>
        <v>100</v>
      </c>
      <c r="I42" s="109" t="s">
        <v>3122</v>
      </c>
      <c r="J42" s="777">
        <f>SUMIF(122:122,I42,123:123)-SUMIF(122:122,C42,123:123)+100</f>
        <v>100</v>
      </c>
      <c r="K42" s="954">
        <v>2</v>
      </c>
      <c r="L42" s="2301"/>
      <c r="M42" s="2296"/>
      <c r="N42" s="2296"/>
      <c r="O42" s="2296"/>
      <c r="P42" s="3580"/>
      <c r="Q42" s="1350" t="str">
        <f t="shared" si="11"/>
        <v>内部装修</v>
      </c>
      <c r="R42" s="1351" t="s">
        <v>65</v>
      </c>
      <c r="S42" s="1352">
        <f t="shared" si="12"/>
        <v>100</v>
      </c>
      <c r="T42" s="1351" t="s">
        <v>65</v>
      </c>
      <c r="U42" s="1352">
        <f t="shared" si="13"/>
        <v>100</v>
      </c>
      <c r="V42" s="1351" t="s">
        <v>65</v>
      </c>
      <c r="W42" s="1352">
        <f t="shared" si="14"/>
        <v>100</v>
      </c>
      <c r="X42" s="1339"/>
      <c r="Y42" s="3582"/>
      <c r="Z42" s="1353" t="str">
        <f t="shared" si="15"/>
        <v>内部装修</v>
      </c>
      <c r="AA42" s="1354">
        <f t="shared" si="3"/>
        <v>1</v>
      </c>
      <c r="AB42" s="1354">
        <f t="shared" si="4"/>
        <v>1</v>
      </c>
      <c r="AC42" s="1354">
        <f t="shared" si="5"/>
        <v>1</v>
      </c>
    </row>
    <row r="43" spans="1:29" ht="27">
      <c r="A43" s="161"/>
      <c r="B43" s="12" t="s">
        <v>84</v>
      </c>
      <c r="C43" s="109" t="s">
        <v>3108</v>
      </c>
      <c r="D43" s="777">
        <v>100</v>
      </c>
      <c r="E43" s="109" t="s">
        <v>3108</v>
      </c>
      <c r="F43" s="803">
        <f>SUMIF(124:124,E43,125:125)-SUMIF(124:124,C43,125:125)+100</f>
        <v>100</v>
      </c>
      <c r="G43" s="109" t="s">
        <v>3108</v>
      </c>
      <c r="H43" s="777">
        <f>SUMIF(124:124,G43,125:125)-SUMIF(124:124,C43,125:125)+100</f>
        <v>100</v>
      </c>
      <c r="I43" s="109" t="s">
        <v>3108</v>
      </c>
      <c r="J43" s="777">
        <f>SUMIF(124:124,I43,125:125)-SUMIF(124:124,C43,125:125)+100</f>
        <v>100</v>
      </c>
      <c r="K43" s="954">
        <v>1</v>
      </c>
      <c r="L43" s="2301"/>
      <c r="M43" s="2296"/>
      <c r="N43" s="2296"/>
      <c r="O43" s="2296"/>
      <c r="P43" s="3580"/>
      <c r="Q43" s="1350" t="str">
        <f t="shared" si="11"/>
        <v>内部装修维护情况</v>
      </c>
      <c r="R43" s="1351" t="s">
        <v>65</v>
      </c>
      <c r="S43" s="1352">
        <f t="shared" si="12"/>
        <v>100</v>
      </c>
      <c r="T43" s="1351" t="s">
        <v>65</v>
      </c>
      <c r="U43" s="1352">
        <f t="shared" si="13"/>
        <v>100</v>
      </c>
      <c r="V43" s="1351" t="s">
        <v>65</v>
      </c>
      <c r="W43" s="1352">
        <f t="shared" si="14"/>
        <v>100</v>
      </c>
      <c r="X43" s="1339"/>
      <c r="Y43" s="3582"/>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80"/>
      <c r="Q44" s="7">
        <f t="shared" si="11"/>
        <v>111</v>
      </c>
      <c r="R44" s="1341" t="s">
        <v>65</v>
      </c>
      <c r="S44" s="1342">
        <f t="shared" si="12"/>
        <v>100</v>
      </c>
      <c r="T44" s="1341" t="s">
        <v>65</v>
      </c>
      <c r="U44" s="1342">
        <f t="shared" si="13"/>
        <v>100</v>
      </c>
      <c r="V44" s="1341" t="s">
        <v>65</v>
      </c>
      <c r="W44" s="1342">
        <f t="shared" si="14"/>
        <v>100</v>
      </c>
      <c r="X44" s="287"/>
      <c r="Y44" s="3582"/>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580"/>
      <c r="Q45" s="1350">
        <f t="shared" si="11"/>
        <v>111</v>
      </c>
      <c r="R45" s="1351" t="s">
        <v>65</v>
      </c>
      <c r="S45" s="1352">
        <f t="shared" si="12"/>
        <v>100</v>
      </c>
      <c r="T45" s="1351" t="s">
        <v>65</v>
      </c>
      <c r="U45" s="1352">
        <f t="shared" si="13"/>
        <v>100</v>
      </c>
      <c r="V45" s="1351" t="s">
        <v>65</v>
      </c>
      <c r="W45" s="1352">
        <f t="shared" si="14"/>
        <v>100</v>
      </c>
      <c r="X45" s="1339"/>
      <c r="Y45" s="3582"/>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581"/>
      <c r="Q46" s="1350">
        <f t="shared" si="11"/>
        <v>111</v>
      </c>
      <c r="R46" s="1351" t="s">
        <v>65</v>
      </c>
      <c r="S46" s="1352">
        <f t="shared" si="12"/>
        <v>100</v>
      </c>
      <c r="T46" s="1351" t="s">
        <v>65</v>
      </c>
      <c r="U46" s="1352">
        <f t="shared" si="13"/>
        <v>100</v>
      </c>
      <c r="V46" s="1351" t="s">
        <v>65</v>
      </c>
      <c r="W46" s="1352">
        <f t="shared" si="14"/>
        <v>100</v>
      </c>
      <c r="X46" s="1339"/>
      <c r="Y46" s="3583"/>
      <c r="Z46" s="1353">
        <f t="shared" si="15"/>
        <v>111</v>
      </c>
      <c r="AA46" s="1354">
        <f t="shared" si="3"/>
        <v>1</v>
      </c>
      <c r="AB46" s="1354">
        <f t="shared" si="4"/>
        <v>1</v>
      </c>
      <c r="AC46" s="1354">
        <f t="shared" si="5"/>
        <v>1</v>
      </c>
    </row>
    <row r="47" spans="1:29" ht="15">
      <c r="A47" s="163" t="s">
        <v>1037</v>
      </c>
      <c r="B47" s="164"/>
      <c r="C47" s="2836" t="s">
        <v>23</v>
      </c>
      <c r="D47" s="2837"/>
      <c r="E47" s="2838">
        <v>54465</v>
      </c>
      <c r="F47" s="2839"/>
      <c r="G47" s="2840">
        <v>62500</v>
      </c>
      <c r="H47" s="2841"/>
      <c r="I47" s="2838">
        <v>58870</v>
      </c>
      <c r="J47" s="2841"/>
      <c r="K47" s="1392"/>
      <c r="L47" s="2303"/>
      <c r="M47" s="2304"/>
      <c r="N47" s="2296"/>
      <c r="O47" s="2304"/>
      <c r="P47" s="3570" t="str">
        <f>A47</f>
        <v>成交单价（元/平方米）</v>
      </c>
      <c r="Q47" s="3570"/>
      <c r="R47" s="3584">
        <f>E47</f>
        <v>54465</v>
      </c>
      <c r="S47" s="3584"/>
      <c r="T47" s="3584">
        <f>G47</f>
        <v>62500</v>
      </c>
      <c r="U47" s="3584"/>
      <c r="V47" s="3584">
        <f>I47</f>
        <v>58870</v>
      </c>
      <c r="W47" s="3584"/>
      <c r="X47" s="1364"/>
      <c r="Y47" s="1365"/>
      <c r="Z47" s="1364"/>
      <c r="AA47" s="1364"/>
      <c r="AB47" s="1364"/>
      <c r="AC47" s="1364"/>
    </row>
    <row r="48" spans="1:29" ht="15.75" thickBot="1">
      <c r="A48" s="165" t="s">
        <v>1038</v>
      </c>
      <c r="B48" s="166"/>
      <c r="C48" s="2842">
        <f>R49</f>
        <v>60998</v>
      </c>
      <c r="D48" s="2843"/>
      <c r="E48" s="2844">
        <f>R48</f>
        <v>58502</v>
      </c>
      <c r="F48" s="2844"/>
      <c r="G48" s="2842">
        <f>T48</f>
        <v>63776</v>
      </c>
      <c r="H48" s="2843"/>
      <c r="I48" s="2844">
        <f>V48</f>
        <v>60716</v>
      </c>
      <c r="J48" s="2843"/>
      <c r="K48" s="1393"/>
      <c r="L48" s="2303"/>
      <c r="M48" s="2304"/>
      <c r="N48" s="2296"/>
      <c r="O48" s="2304"/>
      <c r="P48" s="3570" t="str">
        <f>A48</f>
        <v>比较价值（元/平方米）</v>
      </c>
      <c r="Q48" s="3570"/>
      <c r="R48" s="3571">
        <f>IF(F1="售价",ROUND(PRODUCT(R47,AA7:AA46),0),ROUND(PRODUCT(R47,AA7:AA46),1))</f>
        <v>58502</v>
      </c>
      <c r="S48" s="3571"/>
      <c r="T48" s="3571">
        <f>IF(F1="售价",ROUND(PRODUCT(T47,AB7:AB46),0),ROUND(PRODUCT(T47,AB7:AB46),1))</f>
        <v>63776</v>
      </c>
      <c r="U48" s="3571"/>
      <c r="V48" s="3571">
        <f>IF(F1="售价",ROUND(PRODUCT(V47,AC7:AC46),0),ROUND(PRODUCT(V47,AC7:AC46),1))</f>
        <v>60716</v>
      </c>
      <c r="W48" s="3571"/>
      <c r="X48" s="1364"/>
      <c r="Y48" s="1364"/>
      <c r="Z48" s="1364"/>
      <c r="AA48" s="1364"/>
      <c r="AB48" s="1364"/>
      <c r="AC48" s="1364"/>
    </row>
    <row r="49" spans="1:29" ht="15.75" thickBot="1">
      <c r="A49" s="115" t="s">
        <v>3157</v>
      </c>
      <c r="B49" s="116"/>
      <c r="C49" s="2846">
        <f>R49</f>
        <v>60998</v>
      </c>
      <c r="D49" s="2846"/>
      <c r="E49" s="2846"/>
      <c r="F49" s="2846"/>
      <c r="G49" s="2846"/>
      <c r="H49" s="2846"/>
      <c r="I49" s="2846"/>
      <c r="J49" s="2846"/>
      <c r="K49" s="1394"/>
      <c r="L49" s="2303"/>
      <c r="M49" s="2304"/>
      <c r="N49" s="2296"/>
      <c r="O49" s="2304"/>
      <c r="P49" s="3572" t="str">
        <f>A49</f>
        <v>估价对象商业用房的比较价值（楼面单价，元/平方米）</v>
      </c>
      <c r="Q49" s="3573"/>
      <c r="R49" s="3574">
        <f>IF(F1="售价",ROUND(AVERAGE(R48:V48),0),ROUND(AVERAGE(R48:V48),1))</f>
        <v>60998</v>
      </c>
      <c r="S49" s="3574"/>
      <c r="T49" s="3574"/>
      <c r="U49" s="3574"/>
      <c r="V49" s="3574"/>
      <c r="W49" s="3574"/>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1007</v>
      </c>
      <c r="D52" s="840"/>
      <c r="E52" s="841">
        <f>IF(E47&lt;E48,E48/E47-1,E47/E48-1)</f>
        <v>7.4120995134490109E-2</v>
      </c>
      <c r="F52" s="842" t="str">
        <f>IF(OR(E52&gt;=0.3,E52&lt;=-0.3),"超过30%","")</f>
        <v/>
      </c>
      <c r="G52" s="841">
        <f>IF(G47&lt;G48,G48/G47-1,G47/G48-1)</f>
        <v>2.041599999999999E-2</v>
      </c>
      <c r="H52" s="842" t="str">
        <f>IF(OR(G52&gt;=0.3,G52&lt;=-0.3),"超过30%","")</f>
        <v/>
      </c>
      <c r="I52" s="841">
        <f>IF(I47&lt;I48,I48/I47-1,I47/I48-1)</f>
        <v>3.1357227790045794E-2</v>
      </c>
      <c r="J52" s="842" t="str">
        <f>IF(OR(I52&gt;=0.3,I52&lt;=-0.3),"超过30%","")</f>
        <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1008</v>
      </c>
      <c r="D53" s="843"/>
      <c r="E53" s="841">
        <f>IF(E48&lt;G48,G48/E48-1,E48/G48-1)</f>
        <v>9.0150764076441847E-2</v>
      </c>
      <c r="F53" s="842" t="str">
        <f>IF(OR(E53&gt;=0.2,E53&lt;=-0.2),"超过20%","")</f>
        <v/>
      </c>
      <c r="G53" s="841">
        <f>IF(G48&lt;I48,I48/G48-1,G48/I48-1)</f>
        <v>5.0398576981355747E-2</v>
      </c>
      <c r="H53" s="842" t="str">
        <f>IF(OR(G53&gt;=0.2,G53&lt;=-0.2),"超过20%","")</f>
        <v/>
      </c>
      <c r="I53" s="841">
        <f>IF(I48&lt;E48,E48/I48-1,I48/E48-1)</f>
        <v>3.7844860004786263E-2</v>
      </c>
      <c r="J53" s="842" t="str">
        <f>IF(OR(I53&gt;=0.2,I53&lt;=-0.2),"超过20%","")</f>
        <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1009</v>
      </c>
      <c r="D54" s="843"/>
      <c r="E54" s="841">
        <f>IF(E47&lt;G47,G47/E47-1,E47/G47-1)</f>
        <v>0.14752593408611037</v>
      </c>
      <c r="F54" s="842" t="str">
        <f>IF(OR(E54&gt;=0.3,E54&lt;=-0.3),"超过30%","")</f>
        <v/>
      </c>
      <c r="G54" s="841">
        <f>IF(G47&lt;I47,I47/G47-1,G47/I47-1)</f>
        <v>6.1661287582809532E-2</v>
      </c>
      <c r="H54" s="842" t="str">
        <f>IF(OR(G54&gt;=0.3,G54&lt;=-0.3),"超过30%","")</f>
        <v/>
      </c>
      <c r="I54" s="841">
        <f>IF(I47&lt;E47,E47/I47-1,I47/E47-1)</f>
        <v>8.087762783438901E-2</v>
      </c>
      <c r="J54" s="842" t="str">
        <f>IF(OR(I54&gt;=0.3,I54&lt;=-0.3),"超过30%","")</f>
        <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1039</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2797</v>
      </c>
      <c r="B58" s="848"/>
      <c r="C58" s="3045" t="str">
        <f>YEAR(C7)&amp;"-"&amp;MONTH(C7)</f>
        <v>2017-11</v>
      </c>
      <c r="D58" s="3046">
        <f>EDATE(C58,-1)</f>
        <v>43009</v>
      </c>
      <c r="E58" s="3046">
        <f t="shared" ref="E58:N58" si="16">EDATE(D58,-1)</f>
        <v>42979</v>
      </c>
      <c r="F58" s="3046">
        <f t="shared" si="16"/>
        <v>42948</v>
      </c>
      <c r="G58" s="3046">
        <f t="shared" si="16"/>
        <v>42917</v>
      </c>
      <c r="H58" s="3046">
        <f t="shared" si="16"/>
        <v>42887</v>
      </c>
      <c r="I58" s="3046">
        <f t="shared" si="16"/>
        <v>42856</v>
      </c>
      <c r="J58" s="3046">
        <f t="shared" si="16"/>
        <v>42826</v>
      </c>
      <c r="K58" s="3046">
        <f t="shared" si="16"/>
        <v>42795</v>
      </c>
      <c r="L58" s="3046">
        <f t="shared" si="16"/>
        <v>42767</v>
      </c>
      <c r="M58" s="3046">
        <f t="shared" si="16"/>
        <v>42736</v>
      </c>
      <c r="N58" s="3046">
        <f t="shared" si="16"/>
        <v>42705</v>
      </c>
      <c r="O58" s="3046">
        <f>EDATE(N58,-1)</f>
        <v>42675</v>
      </c>
      <c r="P58" s="3039"/>
    </row>
    <row r="59" spans="1:29" s="40" customFormat="1" ht="14.25">
      <c r="A59" s="1044"/>
      <c r="B59" s="1045"/>
      <c r="C59" s="3043">
        <v>100</v>
      </c>
      <c r="D59" s="854"/>
      <c r="E59" s="854"/>
      <c r="F59" s="854"/>
      <c r="G59" s="854"/>
      <c r="H59" s="854"/>
      <c r="I59" s="854"/>
      <c r="J59" s="854"/>
      <c r="K59" s="854"/>
      <c r="L59" s="854"/>
      <c r="M59" s="855"/>
      <c r="N59" s="854"/>
      <c r="O59" s="855"/>
      <c r="P59" s="1376"/>
    </row>
    <row r="60" spans="1:29" s="40" customFormat="1" ht="15" thickBot="1">
      <c r="A60" s="1046" t="s">
        <v>1040</v>
      </c>
      <c r="B60" s="1047"/>
      <c r="C60" s="859"/>
      <c r="D60" s="860"/>
      <c r="E60" s="860"/>
      <c r="F60" s="860"/>
      <c r="G60" s="860"/>
      <c r="H60" s="860"/>
      <c r="I60" s="860"/>
      <c r="J60" s="860"/>
      <c r="K60" s="860"/>
      <c r="L60" s="860"/>
      <c r="M60" s="861"/>
      <c r="N60" s="860"/>
      <c r="O60" s="861"/>
      <c r="P60" s="1376"/>
      <c r="Q60" s="121"/>
    </row>
    <row r="61" spans="1:29" s="40" customFormat="1">
      <c r="A61" s="1048" t="s">
        <v>1041</v>
      </c>
      <c r="B61" s="1045"/>
      <c r="C61" s="1049" t="s">
        <v>1042</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1043</v>
      </c>
      <c r="B63" s="286" t="s">
        <v>1044</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1045</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t="s">
        <v>138</v>
      </c>
      <c r="D66" s="886" t="s">
        <v>139</v>
      </c>
      <c r="E66" s="886" t="s">
        <v>140</v>
      </c>
      <c r="F66" s="886">
        <v>100</v>
      </c>
      <c r="G66" s="886">
        <f>F66-$K10</f>
        <v>98</v>
      </c>
      <c r="H66" s="886">
        <f>G66-$K10</f>
        <v>96</v>
      </c>
      <c r="I66" s="886">
        <f>H66-$K10</f>
        <v>94</v>
      </c>
      <c r="J66" s="886"/>
      <c r="K66" s="886"/>
      <c r="L66" s="886"/>
      <c r="M66" s="887"/>
      <c r="N66" s="1389"/>
      <c r="O66" s="1389"/>
      <c r="P66" s="1378"/>
      <c r="Q66" s="121"/>
    </row>
    <row r="67" spans="1:17" ht="15" thickTop="1">
      <c r="A67" s="173"/>
      <c r="B67" s="1055" t="s">
        <v>1046</v>
      </c>
      <c r="C67" s="889" t="str">
        <f>C68&amp;"（含）"&amp;"-"&amp;D68</f>
        <v>0（含）-1</v>
      </c>
      <c r="D67" s="889" t="str">
        <f t="shared" ref="D67:L67" si="17">D68&amp;"（含）"&amp;"-"&amp;E68</f>
        <v>1（含）-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1</v>
      </c>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1047</v>
      </c>
      <c r="B76" s="286" t="s">
        <v>1048</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98</v>
      </c>
      <c r="E77" s="886">
        <f>D77-$K15</f>
        <v>96</v>
      </c>
      <c r="F77" s="886">
        <f>E77-$K15</f>
        <v>94</v>
      </c>
      <c r="G77" s="886">
        <f>F77-$K15</f>
        <v>92</v>
      </c>
      <c r="H77" s="886"/>
      <c r="I77" s="886"/>
      <c r="J77" s="886"/>
      <c r="K77" s="886"/>
      <c r="L77" s="886"/>
      <c r="M77" s="887"/>
      <c r="N77" s="1389"/>
      <c r="O77" s="1389"/>
      <c r="P77" s="1378"/>
      <c r="Q77" s="121"/>
    </row>
    <row r="78" spans="1:17" ht="15" thickTop="1">
      <c r="A78" s="173"/>
      <c r="B78" s="1053" t="s">
        <v>1054</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95</v>
      </c>
      <c r="E79" s="886">
        <f>D79-$K17</f>
        <v>90</v>
      </c>
      <c r="F79" s="886">
        <f>E79-$K17</f>
        <v>85</v>
      </c>
      <c r="G79" s="886">
        <f>F79-$K17</f>
        <v>80</v>
      </c>
      <c r="H79" s="886"/>
      <c r="I79" s="886"/>
      <c r="J79" s="886"/>
      <c r="K79" s="886"/>
      <c r="L79" s="886"/>
      <c r="M79" s="887"/>
      <c r="N79" s="1389"/>
      <c r="O79" s="1389"/>
      <c r="P79" s="1378"/>
      <c r="Q79" s="121"/>
    </row>
    <row r="80" spans="1:17" ht="15" thickTop="1">
      <c r="A80" s="173"/>
      <c r="B80" s="1053" t="s">
        <v>2641</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2660</v>
      </c>
      <c r="C82" s="213" t="s">
        <v>2661</v>
      </c>
      <c r="D82" s="213" t="s">
        <v>2662</v>
      </c>
      <c r="E82" s="213" t="s">
        <v>2663</v>
      </c>
      <c r="F82" s="213" t="s">
        <v>2664</v>
      </c>
      <c r="G82" s="213" t="s">
        <v>2665</v>
      </c>
      <c r="H82" s="881"/>
      <c r="I82" s="881"/>
      <c r="J82" s="881"/>
      <c r="K82" s="881"/>
      <c r="L82" s="881"/>
      <c r="M82" s="2765"/>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1055</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1056</v>
      </c>
      <c r="C86" s="139" t="s">
        <v>3127</v>
      </c>
      <c r="D86" s="139" t="s">
        <v>3128</v>
      </c>
      <c r="E86" s="139" t="s">
        <v>3130</v>
      </c>
      <c r="F86" s="139" t="s">
        <v>3131</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97</v>
      </c>
      <c r="E87" s="886">
        <f t="shared" si="20"/>
        <v>94</v>
      </c>
      <c r="F87" s="886">
        <f t="shared" si="20"/>
        <v>91</v>
      </c>
      <c r="G87" s="886">
        <f t="shared" si="20"/>
        <v>88</v>
      </c>
      <c r="H87" s="886">
        <f t="shared" si="20"/>
        <v>85</v>
      </c>
      <c r="I87" s="886">
        <f t="shared" si="20"/>
        <v>82</v>
      </c>
      <c r="J87" s="886">
        <f t="shared" si="20"/>
        <v>79</v>
      </c>
      <c r="K87" s="886">
        <f t="shared" si="20"/>
        <v>76</v>
      </c>
      <c r="L87" s="886">
        <f t="shared" si="20"/>
        <v>73</v>
      </c>
      <c r="M87" s="886">
        <f t="shared" si="20"/>
        <v>70</v>
      </c>
      <c r="N87" s="1389"/>
      <c r="O87" s="1389"/>
      <c r="P87" s="1378"/>
      <c r="Q87" s="121"/>
    </row>
    <row r="88" spans="1:17" s="40" customFormat="1" ht="14.25" thickTop="1">
      <c r="A88" s="1071"/>
      <c r="B88" s="1053" t="str">
        <f>B26</f>
        <v>平面位置/可视性</v>
      </c>
      <c r="C88" s="3367" t="s">
        <v>425</v>
      </c>
      <c r="D88" s="3367" t="s">
        <v>426</v>
      </c>
      <c r="E88" s="3367" t="s">
        <v>427</v>
      </c>
      <c r="F88" s="3367" t="s">
        <v>428</v>
      </c>
      <c r="G88" s="3367" t="s">
        <v>429</v>
      </c>
      <c r="H88" s="139"/>
      <c r="I88" s="139"/>
      <c r="J88" s="139"/>
      <c r="K88" s="139"/>
      <c r="L88" s="139"/>
      <c r="M88" s="1384"/>
      <c r="N88" s="1387"/>
      <c r="O88" s="1387"/>
      <c r="P88" s="1378"/>
      <c r="Q88" s="121"/>
    </row>
    <row r="89" spans="1:17" s="40" customFormat="1" ht="15" thickBot="1">
      <c r="A89" s="1071"/>
      <c r="B89" s="1054"/>
      <c r="C89" s="902">
        <v>100</v>
      </c>
      <c r="D89" s="878">
        <v>98</v>
      </c>
      <c r="E89" s="902">
        <v>96</v>
      </c>
      <c r="F89" s="878">
        <v>94</v>
      </c>
      <c r="G89" s="902">
        <v>92</v>
      </c>
      <c r="H89" s="878"/>
      <c r="I89" s="878"/>
      <c r="J89" s="878"/>
      <c r="K89" s="878"/>
      <c r="L89" s="878"/>
      <c r="M89" s="878"/>
      <c r="N89" s="1389"/>
      <c r="O89" s="1389"/>
      <c r="P89" s="1378"/>
      <c r="Q89" s="121"/>
    </row>
    <row r="90" spans="1:17" s="1038" customFormat="1" ht="14.25" thickTop="1">
      <c r="A90" s="1057"/>
      <c r="B90" s="1053" t="str">
        <f>B27</f>
        <v>人流量</v>
      </c>
      <c r="C90" s="3368" t="s">
        <v>2582</v>
      </c>
      <c r="D90" s="3368" t="s">
        <v>3133</v>
      </c>
      <c r="E90" s="3367" t="s">
        <v>427</v>
      </c>
      <c r="F90" s="3367" t="s">
        <v>428</v>
      </c>
      <c r="G90" s="3367" t="s">
        <v>429</v>
      </c>
      <c r="H90" s="1058"/>
      <c r="I90" s="1058"/>
      <c r="J90" s="1058"/>
      <c r="K90" s="1058"/>
      <c r="L90" s="1059"/>
      <c r="M90" s="1060"/>
      <c r="N90" s="1390"/>
      <c r="O90" s="1390"/>
      <c r="P90" s="1379"/>
      <c r="Q90" s="1062"/>
    </row>
    <row r="91" spans="1:17" s="1038" customFormat="1" ht="15" thickBot="1">
      <c r="A91" s="1057"/>
      <c r="B91" s="1054"/>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90"/>
      <c r="O91" s="1390"/>
      <c r="P91" s="1379"/>
      <c r="Q91" s="1062"/>
    </row>
    <row r="92" spans="1:17" ht="14.25" thickTop="1">
      <c r="A92" s="173"/>
      <c r="B92" s="1053" t="str">
        <f>B28</f>
        <v>楼层</v>
      </c>
      <c r="C92" s="139" t="s">
        <v>3134</v>
      </c>
      <c r="D92" s="139" t="s">
        <v>3135</v>
      </c>
      <c r="E92" s="139"/>
      <c r="F92" s="139"/>
      <c r="G92" s="139"/>
      <c r="H92" s="139"/>
      <c r="I92" s="139"/>
      <c r="J92" s="139"/>
      <c r="K92" s="139"/>
      <c r="L92" s="1383"/>
      <c r="M92" s="1384"/>
      <c r="N92" s="1388"/>
      <c r="O92" s="1388"/>
      <c r="P92" s="1378"/>
      <c r="Q92" s="121"/>
    </row>
    <row r="93" spans="1:17" ht="15" thickBot="1">
      <c r="A93" s="173"/>
      <c r="B93" s="1054"/>
      <c r="C93" s="878">
        <v>100</v>
      </c>
      <c r="D93" s="878">
        <v>75</v>
      </c>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1057</v>
      </c>
      <c r="B100" s="286" t="s">
        <v>1058</v>
      </c>
      <c r="C100" s="122" t="s">
        <v>3136</v>
      </c>
      <c r="D100" s="122" t="s">
        <v>3137</v>
      </c>
      <c r="E100" s="122" t="s">
        <v>3138</v>
      </c>
      <c r="F100" s="122" t="s">
        <v>3139</v>
      </c>
      <c r="G100" s="122" t="s">
        <v>3141</v>
      </c>
      <c r="H100" s="122"/>
      <c r="I100" s="122"/>
      <c r="J100" s="122"/>
      <c r="K100" s="123"/>
      <c r="L100" s="124"/>
      <c r="M100" s="125"/>
      <c r="N100" s="1388"/>
      <c r="O100" s="1388"/>
      <c r="P100" s="1378"/>
      <c r="Q100" s="121"/>
    </row>
    <row r="101" spans="1:17" ht="15" thickBot="1">
      <c r="A101" s="173"/>
      <c r="B101" s="1054"/>
      <c r="C101" s="886">
        <v>100</v>
      </c>
      <c r="D101" s="886">
        <f t="shared" ref="D101:M101" si="22">C101-$K32</f>
        <v>99</v>
      </c>
      <c r="E101" s="886">
        <f t="shared" si="22"/>
        <v>98</v>
      </c>
      <c r="F101" s="886">
        <f t="shared" si="22"/>
        <v>97</v>
      </c>
      <c r="G101" s="886">
        <f t="shared" si="22"/>
        <v>96</v>
      </c>
      <c r="H101" s="886">
        <f t="shared" si="22"/>
        <v>95</v>
      </c>
      <c r="I101" s="886">
        <f t="shared" si="22"/>
        <v>94</v>
      </c>
      <c r="J101" s="886">
        <f t="shared" si="22"/>
        <v>93</v>
      </c>
      <c r="K101" s="886">
        <f t="shared" si="22"/>
        <v>92</v>
      </c>
      <c r="L101" s="886">
        <f t="shared" si="22"/>
        <v>91</v>
      </c>
      <c r="M101" s="887">
        <f t="shared" si="22"/>
        <v>90</v>
      </c>
      <c r="N101" s="1389"/>
      <c r="O101" s="1389"/>
      <c r="P101" s="1378"/>
      <c r="Q101" s="121"/>
    </row>
    <row r="102" spans="1:17" ht="15" thickTop="1">
      <c r="A102" s="173"/>
      <c r="B102" s="1053" t="s">
        <v>1059</v>
      </c>
      <c r="C102" s="920" t="str">
        <f>C103&amp;"(含)"&amp;"-"&amp;D103</f>
        <v>0(含)-50</v>
      </c>
      <c r="D102" s="920" t="str">
        <f t="shared" ref="D102:L102" si="23">D103&amp;"(含)"&amp;"-"&amp;E103</f>
        <v>50(含)-100</v>
      </c>
      <c r="E102" s="920" t="str">
        <f t="shared" si="23"/>
        <v>100(含)-200</v>
      </c>
      <c r="F102" s="920" t="str">
        <f t="shared" si="23"/>
        <v>200(含)-300</v>
      </c>
      <c r="G102" s="920" t="str">
        <f t="shared" si="23"/>
        <v>300(含)-400</v>
      </c>
      <c r="H102" s="920" t="str">
        <f t="shared" si="23"/>
        <v>400(含)-500</v>
      </c>
      <c r="I102" s="920" t="str">
        <f t="shared" si="23"/>
        <v>500(含)-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300</v>
      </c>
      <c r="H103" s="937">
        <v>400</v>
      </c>
      <c r="I103" s="937">
        <v>500</v>
      </c>
      <c r="J103" s="938"/>
      <c r="K103" s="938"/>
      <c r="L103" s="939"/>
      <c r="M103" s="940"/>
      <c r="N103" s="1390"/>
      <c r="O103" s="1390"/>
      <c r="P103" s="1379"/>
      <c r="Q103" s="1062"/>
    </row>
    <row r="104" spans="1:17" s="1038" customFormat="1" ht="15" thickBot="1">
      <c r="A104" s="1057"/>
      <c r="B104" s="1054"/>
      <c r="C104" s="902">
        <v>100</v>
      </c>
      <c r="D104" s="878">
        <v>98</v>
      </c>
      <c r="E104" s="902">
        <v>96</v>
      </c>
      <c r="F104" s="878">
        <v>94</v>
      </c>
      <c r="G104" s="902">
        <v>92</v>
      </c>
      <c r="H104" s="878">
        <v>90</v>
      </c>
      <c r="I104" s="902">
        <v>88</v>
      </c>
      <c r="J104" s="878"/>
      <c r="K104" s="878"/>
      <c r="L104" s="878"/>
      <c r="M104" s="879"/>
      <c r="N104" s="1389"/>
      <c r="O104" s="1389"/>
      <c r="P104" s="1379"/>
      <c r="Q104" s="1062"/>
    </row>
    <row r="105" spans="1:17" ht="14.25" thickTop="1">
      <c r="A105" s="175"/>
      <c r="B105" s="1053" t="s">
        <v>1060</v>
      </c>
      <c r="C105" s="139" t="s">
        <v>3142</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1061</v>
      </c>
      <c r="C107" s="139" t="s">
        <v>3143</v>
      </c>
      <c r="D107" s="139" t="s">
        <v>3144</v>
      </c>
      <c r="E107" s="139" t="s">
        <v>3145</v>
      </c>
      <c r="F107" s="131" t="s">
        <v>3146</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99</v>
      </c>
      <c r="E108" s="886">
        <f t="shared" si="25"/>
        <v>98</v>
      </c>
      <c r="F108" s="886">
        <f t="shared" si="25"/>
        <v>97</v>
      </c>
      <c r="G108" s="886">
        <f t="shared" si="25"/>
        <v>96</v>
      </c>
      <c r="H108" s="886">
        <f t="shared" si="25"/>
        <v>95</v>
      </c>
      <c r="I108" s="886">
        <f t="shared" si="25"/>
        <v>94</v>
      </c>
      <c r="J108" s="886">
        <f t="shared" si="25"/>
        <v>93</v>
      </c>
      <c r="K108" s="886">
        <f t="shared" si="25"/>
        <v>92</v>
      </c>
      <c r="L108" s="886">
        <f t="shared" si="25"/>
        <v>91</v>
      </c>
      <c r="M108" s="887">
        <f t="shared" si="25"/>
        <v>90</v>
      </c>
      <c r="N108" s="1389"/>
      <c r="O108" s="1389"/>
      <c r="P108" s="1378"/>
      <c r="Q108" s="121"/>
    </row>
    <row r="109" spans="1:17" ht="15" thickTop="1">
      <c r="A109" s="175"/>
      <c r="B109" s="1053" t="s">
        <v>1062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9"/>
      <c r="O111" s="1389"/>
      <c r="P111" s="1378"/>
      <c r="Q111" s="121"/>
    </row>
    <row r="112" spans="1:17" s="1038" customFormat="1" ht="14.25" thickTop="1">
      <c r="A112" s="1072"/>
      <c r="B112" s="1053" t="s">
        <v>2643</v>
      </c>
      <c r="C112" s="139" t="s">
        <v>3147</v>
      </c>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1063</v>
      </c>
      <c r="C114" s="139" t="s">
        <v>3148</v>
      </c>
      <c r="D114" s="139" t="s">
        <v>3150</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98</v>
      </c>
      <c r="E115" s="886">
        <f t="shared" si="28"/>
        <v>96</v>
      </c>
      <c r="F115" s="886">
        <f t="shared" si="28"/>
        <v>94</v>
      </c>
      <c r="G115" s="886">
        <f t="shared" si="28"/>
        <v>92</v>
      </c>
      <c r="H115" s="886">
        <f t="shared" si="28"/>
        <v>90</v>
      </c>
      <c r="I115" s="886">
        <f t="shared" si="28"/>
        <v>88</v>
      </c>
      <c r="J115" s="886">
        <f t="shared" si="28"/>
        <v>86</v>
      </c>
      <c r="K115" s="886">
        <f t="shared" si="28"/>
        <v>84</v>
      </c>
      <c r="L115" s="886">
        <f t="shared" si="28"/>
        <v>82</v>
      </c>
      <c r="M115" s="887">
        <f t="shared" si="28"/>
        <v>80</v>
      </c>
      <c r="N115" s="1389"/>
      <c r="O115" s="1389"/>
      <c r="P115" s="1378"/>
      <c r="Q115" s="121"/>
    </row>
    <row r="116" spans="1:17" ht="14.25" thickTop="1">
      <c r="A116" s="175"/>
      <c r="B116" s="1053" t="s">
        <v>1064</v>
      </c>
      <c r="C116" s="139" t="s">
        <v>3162</v>
      </c>
      <c r="D116" s="139" t="s">
        <v>3164</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99</v>
      </c>
      <c r="E117" s="886">
        <f>D117-$K39</f>
        <v>98</v>
      </c>
      <c r="F117" s="886">
        <f>E117-$K39</f>
        <v>97</v>
      </c>
      <c r="G117" s="886">
        <f>F117-$K39</f>
        <v>96</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1066</v>
      </c>
      <c r="C120" s="131" t="s">
        <v>3152</v>
      </c>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97</v>
      </c>
      <c r="E121" s="886">
        <f t="shared" ref="E121:M121" si="29">D121-$K41</f>
        <v>94</v>
      </c>
      <c r="F121" s="886">
        <f t="shared" si="29"/>
        <v>91</v>
      </c>
      <c r="G121" s="886">
        <f t="shared" si="29"/>
        <v>88</v>
      </c>
      <c r="H121" s="886">
        <f t="shared" si="29"/>
        <v>85</v>
      </c>
      <c r="I121" s="886">
        <f t="shared" si="29"/>
        <v>82</v>
      </c>
      <c r="J121" s="886">
        <f t="shared" si="29"/>
        <v>79</v>
      </c>
      <c r="K121" s="886">
        <f t="shared" si="29"/>
        <v>76</v>
      </c>
      <c r="L121" s="886">
        <f t="shared" si="29"/>
        <v>73</v>
      </c>
      <c r="M121" s="887">
        <f t="shared" si="29"/>
        <v>70</v>
      </c>
      <c r="N121" s="1390"/>
      <c r="O121" s="1390"/>
      <c r="P121" s="1379"/>
      <c r="Q121" s="1062"/>
    </row>
    <row r="122" spans="1:17" ht="14.25" thickTop="1">
      <c r="A122" s="175"/>
      <c r="B122" s="1053" t="s">
        <v>1067</v>
      </c>
      <c r="C122" s="139" t="s">
        <v>3143</v>
      </c>
      <c r="D122" s="139" t="s">
        <v>3144</v>
      </c>
      <c r="E122" s="139" t="s">
        <v>3145</v>
      </c>
      <c r="F122" s="131" t="s">
        <v>3146</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9"/>
      <c r="O123" s="1389"/>
      <c r="P123" s="1378"/>
      <c r="Q123" s="121"/>
    </row>
    <row r="124" spans="1:17" ht="27.75" thickTop="1">
      <c r="A124" s="175"/>
      <c r="B124" s="1053" t="s">
        <v>1068</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99</v>
      </c>
      <c r="E125" s="886">
        <f>D125-$K43</f>
        <v>98</v>
      </c>
      <c r="F125" s="886">
        <f>E125-$K43</f>
        <v>97</v>
      </c>
      <c r="G125" s="886">
        <f>F125-$K43</f>
        <v>96</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79" priority="17" stopIfTrue="1" operator="containsText" text="超过">
      <formula>NOT(ISERROR(SEARCH("超过",F52)))</formula>
    </cfRule>
  </conditionalFormatting>
  <conditionalFormatting sqref="H54">
    <cfRule type="containsText" dxfId="178" priority="15" stopIfTrue="1" operator="containsText" text="超过">
      <formula>NOT(ISERROR(SEARCH("超过",H54)))</formula>
    </cfRule>
  </conditionalFormatting>
  <conditionalFormatting sqref="F54">
    <cfRule type="containsText" dxfId="177" priority="14" stopIfTrue="1" operator="containsText" text="超过">
      <formula>NOT(ISERROR(SEARCH("超过",F54)))</formula>
    </cfRule>
  </conditionalFormatting>
  <conditionalFormatting sqref="F53 H53">
    <cfRule type="containsText" dxfId="176" priority="13" stopIfTrue="1" operator="containsText" text="超过">
      <formula>NOT(ISERROR(SEARCH("超过",F53)))</formula>
    </cfRule>
  </conditionalFormatting>
  <conditionalFormatting sqref="E52">
    <cfRule type="expression" dxfId="175" priority="12" stopIfTrue="1">
      <formula>$F$52="超过30%"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4">
    <cfRule type="expression" dxfId="172" priority="9" stopIfTrue="1">
      <formula>$H$54="超过30%"</formula>
    </cfRule>
  </conditionalFormatting>
  <conditionalFormatting sqref="G52">
    <cfRule type="expression" dxfId="171" priority="8" stopIfTrue="1">
      <formula>$H$52="超过30%"</formula>
    </cfRule>
  </conditionalFormatting>
  <conditionalFormatting sqref="G53">
    <cfRule type="expression" dxfId="170" priority="7" stopIfTrue="1">
      <formula>$H$53="超过20%"</formula>
    </cfRule>
  </conditionalFormatting>
  <conditionalFormatting sqref="J52">
    <cfRule type="containsText" dxfId="169" priority="6" stopIfTrue="1" operator="containsText" text="超过">
      <formula>NOT(ISERROR(SEARCH("超过",J52)))</formula>
    </cfRule>
  </conditionalFormatting>
  <conditionalFormatting sqref="J54">
    <cfRule type="containsText" dxfId="168" priority="5" stopIfTrue="1" operator="containsText" text="超过">
      <formula>NOT(ISERROR(SEARCH("超过",J54)))</formula>
    </cfRule>
  </conditionalFormatting>
  <conditionalFormatting sqref="J53">
    <cfRule type="containsText" dxfId="167" priority="4" stopIfTrue="1" operator="containsText" text="超过">
      <formula>NOT(ISERROR(SEARCH("超过",J53)))</formula>
    </cfRule>
  </conditionalFormatting>
  <conditionalFormatting sqref="I52">
    <cfRule type="expression" dxfId="166" priority="3" stopIfTrue="1">
      <formula>$J$52="超过30%"</formula>
    </cfRule>
  </conditionalFormatting>
  <conditionalFormatting sqref="I53">
    <cfRule type="expression" dxfId="165" priority="2" stopIfTrue="1">
      <formula>$J$53="超过20%"</formula>
    </cfRule>
  </conditionalFormatting>
  <conditionalFormatting sqref="I54">
    <cfRule type="expression" dxfId="16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D11" sqref="D1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92" t="s">
        <v>3048</v>
      </c>
      <c r="D1" s="1273"/>
      <c r="E1" s="2585" t="s">
        <v>538</v>
      </c>
      <c r="F1" s="2586">
        <f ca="1">J53</f>
        <v>25.98</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f ca="1">ROUND(D2/10000,0)</f>
        <v>203</v>
      </c>
      <c r="C2" s="1299" t="s">
        <v>1104</v>
      </c>
      <c r="D2" s="2724">
        <f ca="1">C40+J29+L46</f>
        <v>2025539</v>
      </c>
      <c r="E2" s="2575" t="s">
        <v>2627</v>
      </c>
      <c r="F2" s="1276"/>
      <c r="G2" s="2287"/>
      <c r="H2" s="1274"/>
      <c r="I2" s="1274"/>
      <c r="J2" s="1274"/>
      <c r="K2" s="1298"/>
      <c r="L2" s="1274"/>
      <c r="M2" s="1274"/>
    </row>
    <row r="3" spans="1:37" ht="18" customHeight="1" thickBot="1">
      <c r="A3" s="675" t="s">
        <v>346</v>
      </c>
      <c r="B3" s="1407">
        <f ca="1">IF(ISERROR(D2/F43),0,ROUND(D2/F43,0))</f>
        <v>40953</v>
      </c>
      <c r="C3" s="1299" t="s">
        <v>1105</v>
      </c>
      <c r="D3" s="1275"/>
      <c r="E3" s="2575"/>
      <c r="F3" s="1276"/>
      <c r="G3" s="2287"/>
      <c r="H3" s="676" t="s">
        <v>911</v>
      </c>
      <c r="I3" s="1274"/>
      <c r="J3" s="1274"/>
      <c r="K3" s="1298"/>
      <c r="L3" s="1274"/>
      <c r="M3" s="1274"/>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2339</v>
      </c>
      <c r="C5" s="2626">
        <f ca="1">C6+C10+C12</f>
        <v>110637</v>
      </c>
      <c r="D5" s="2636" t="s">
        <v>2541</v>
      </c>
      <c r="E5" s="2627"/>
      <c r="F5" s="2628"/>
      <c r="G5" s="2288"/>
      <c r="H5" s="681">
        <v>1</v>
      </c>
      <c r="I5" s="682" t="s">
        <v>2339</v>
      </c>
      <c r="J5" s="2626">
        <f ca="1">J6+J10+J12</f>
        <v>0</v>
      </c>
      <c r="K5" s="2629" t="s">
        <v>2541</v>
      </c>
      <c r="L5" s="2627"/>
      <c r="M5" s="2628"/>
    </row>
    <row r="6" spans="1:37" ht="18" customHeight="1">
      <c r="A6" s="2622" t="s">
        <v>2380</v>
      </c>
      <c r="B6" s="3616" t="s">
        <v>2540</v>
      </c>
      <c r="C6" s="2631">
        <f ca="1">ROUND(F6*F8*F7*(1-F9),0)</f>
        <v>110484</v>
      </c>
      <c r="D6" s="2625" t="s">
        <v>2542</v>
      </c>
      <c r="E6" s="684" t="s">
        <v>917</v>
      </c>
      <c r="F6" s="685">
        <f ca="1">INDIRECT("'数据-取费表'!u"&amp;$G$1)</f>
        <v>6.8</v>
      </c>
      <c r="G6" s="2288"/>
      <c r="H6" s="2622" t="s">
        <v>2380</v>
      </c>
      <c r="I6" s="3616" t="s">
        <v>2540</v>
      </c>
      <c r="J6" s="683">
        <f ca="1">ROUND(M6*M8*M7*(1-M9),0)</f>
        <v>0</v>
      </c>
      <c r="K6" s="2625" t="s">
        <v>2542</v>
      </c>
      <c r="L6" s="684" t="s">
        <v>917</v>
      </c>
      <c r="M6" s="685">
        <f ca="1">INDIRECT("'数据-取费表'!z"&amp;$G$1)</f>
        <v>0</v>
      </c>
    </row>
    <row r="7" spans="1:37" ht="18" customHeight="1">
      <c r="A7" s="2630"/>
      <c r="B7" s="3617"/>
      <c r="C7" s="2632"/>
      <c r="D7" s="2061"/>
      <c r="E7" s="2633" t="s">
        <v>918</v>
      </c>
      <c r="F7" s="685">
        <f ca="1">IF(INDIRECT("'数据-取费表'!ah"&amp;$G$1)="",INDIRECT("'数据-取费表'!k"&amp;$G$1),INDIRECT("'数据-取费表'!ah"&amp;$G$1))</f>
        <v>49.46</v>
      </c>
      <c r="G7" s="2288"/>
      <c r="H7" s="686"/>
      <c r="I7" s="3617"/>
      <c r="J7" s="688"/>
      <c r="K7" s="689"/>
      <c r="L7" s="684" t="s">
        <v>918</v>
      </c>
      <c r="M7" s="685">
        <f ca="1">F7</f>
        <v>49.46</v>
      </c>
    </row>
    <row r="8" spans="1:37" ht="18" customHeight="1">
      <c r="A8" s="686"/>
      <c r="B8" s="3617"/>
      <c r="C8" s="688"/>
      <c r="D8" s="689"/>
      <c r="E8" s="684" t="s">
        <v>919</v>
      </c>
      <c r="F8" s="685">
        <f ca="1">INDIRECT("'数据-取费表'!ai"&amp;$G$1)</f>
        <v>365</v>
      </c>
      <c r="G8" s="2288"/>
      <c r="H8" s="686"/>
      <c r="I8" s="3617"/>
      <c r="J8" s="688"/>
      <c r="K8" s="689"/>
      <c r="L8" s="684" t="s">
        <v>919</v>
      </c>
      <c r="M8" s="685">
        <f ca="1">INDIRECT("'数据-取费表'!ai"&amp;$G$1)</f>
        <v>365</v>
      </c>
    </row>
    <row r="9" spans="1:37" ht="18" customHeight="1">
      <c r="A9" s="686"/>
      <c r="B9" s="3618"/>
      <c r="C9" s="688"/>
      <c r="D9" s="689"/>
      <c r="E9" s="684" t="s">
        <v>920</v>
      </c>
      <c r="F9" s="694">
        <f ca="1">INDIRECT("'数据-取费表'!w"&amp;$G$1)</f>
        <v>0.1</v>
      </c>
      <c r="G9" s="2288"/>
      <c r="H9" s="686"/>
      <c r="I9" s="3618"/>
      <c r="J9" s="688"/>
      <c r="K9" s="689"/>
      <c r="L9" s="695" t="s">
        <v>920</v>
      </c>
      <c r="M9" s="696">
        <f ca="1">INDIRECT("'数据-取费表'!ab"&amp;$G$1)</f>
        <v>0</v>
      </c>
    </row>
    <row r="10" spans="1:37" ht="18" customHeight="1">
      <c r="A10" s="2622" t="s">
        <v>2387</v>
      </c>
      <c r="B10" s="2623" t="s">
        <v>2535</v>
      </c>
      <c r="C10" s="698">
        <f ca="1">ROUND(IF(F10="押一",F6*F8*F7/12*F11,IF(F10="押二",F6*F8*F7/12*2*F11,IF(F10="押三",F6*F8*F7/12*3*F11,C11*F11))),0)</f>
        <v>153</v>
      </c>
      <c r="D10" s="2634" t="s">
        <v>2543</v>
      </c>
      <c r="E10" s="2097" t="s">
        <v>2537</v>
      </c>
      <c r="F10" s="2831" t="s">
        <v>3099</v>
      </c>
      <c r="G10" s="2288"/>
      <c r="H10" s="2622" t="s">
        <v>2387</v>
      </c>
      <c r="I10" s="2623" t="s">
        <v>2535</v>
      </c>
      <c r="J10" s="683">
        <f ca="1">ROUND(IF(M10="押一",M6*M8*M7/12*M11,IF(M10="押二",M6*M8*M7/12*2*M11,IF(M10="押三",M6*M8*M7/12*3*M11,J11*M11))),0)</f>
        <v>0</v>
      </c>
      <c r="K10" s="2634" t="s">
        <v>2543</v>
      </c>
      <c r="L10" s="2097" t="s">
        <v>2537</v>
      </c>
      <c r="M10" s="2831" t="s">
        <v>2699</v>
      </c>
    </row>
    <row r="11" spans="1:37" ht="18" customHeight="1">
      <c r="A11" s="690"/>
      <c r="B11" s="2624" t="s">
        <v>2545</v>
      </c>
      <c r="C11" s="2415"/>
      <c r="D11" s="689"/>
      <c r="E11" s="2097" t="s">
        <v>2538</v>
      </c>
      <c r="F11" s="696">
        <f ca="1">'数据-取费表'!B39</f>
        <v>1.4999999999999999E-2</v>
      </c>
      <c r="G11" s="2288"/>
      <c r="H11" s="2635"/>
      <c r="I11" s="2624" t="s">
        <v>2700</v>
      </c>
      <c r="J11" s="2415"/>
      <c r="K11" s="1280"/>
      <c r="L11" s="2097" t="s">
        <v>2538</v>
      </c>
      <c r="M11" s="2096">
        <f ca="1">'数据-取费表'!B39</f>
        <v>1.4999999999999999E-2</v>
      </c>
    </row>
    <row r="12" spans="1:37" ht="18" customHeight="1" thickBot="1">
      <c r="A12" s="2670" t="s">
        <v>2548</v>
      </c>
      <c r="B12" s="2671" t="s">
        <v>2536</v>
      </c>
      <c r="C12" s="2672"/>
      <c r="D12" s="2673"/>
      <c r="E12" s="2674"/>
      <c r="F12" s="2675"/>
      <c r="G12" s="2288"/>
      <c r="H12" s="2670" t="s">
        <v>2548</v>
      </c>
      <c r="I12" s="2671" t="s">
        <v>2536</v>
      </c>
      <c r="J12" s="2672"/>
      <c r="K12" s="2689"/>
      <c r="L12" s="2674"/>
      <c r="M12" s="2690"/>
    </row>
    <row r="13" spans="1:37" ht="18" customHeight="1" thickTop="1">
      <c r="A13" s="2666">
        <v>2</v>
      </c>
      <c r="B13" s="2667" t="s">
        <v>921</v>
      </c>
      <c r="C13" s="692">
        <f ca="1">ROUND(C29*F13,0)</f>
        <v>201641</v>
      </c>
      <c r="D13" s="2668" t="s">
        <v>922</v>
      </c>
      <c r="E13" s="2668" t="s">
        <v>923</v>
      </c>
      <c r="F13" s="2669">
        <f ca="1">INDIRECT("'数据-取费表'!y"&amp;$G$1)</f>
        <v>0.9</v>
      </c>
      <c r="G13" s="2288"/>
      <c r="H13" s="2666">
        <v>2</v>
      </c>
      <c r="I13" s="2667" t="s">
        <v>921</v>
      </c>
      <c r="J13" s="2621">
        <f ca="1">ROUND(J14*J15,0)</f>
        <v>0</v>
      </c>
      <c r="K13" s="2676" t="s">
        <v>922</v>
      </c>
      <c r="L13" s="2687"/>
      <c r="M13" s="2688"/>
    </row>
    <row r="14" spans="1:37" ht="18" customHeight="1">
      <c r="A14" s="2438" t="s">
        <v>2377</v>
      </c>
      <c r="B14" s="684" t="s">
        <v>359</v>
      </c>
      <c r="C14" s="702">
        <f ca="1">ROUND(INDIRECT("'数据-取费表'!l"&amp;$G$1)*F43+'数据-取费表'!L14*INDIRECT("'数据-取费表'!S"&amp;$G$1),0)</f>
        <v>138488</v>
      </c>
      <c r="D14" s="2719" t="s">
        <v>924</v>
      </c>
      <c r="E14" s="2718"/>
      <c r="F14" s="703"/>
      <c r="G14" s="2288"/>
      <c r="H14" s="2438" t="s">
        <v>2380</v>
      </c>
      <c r="I14" s="684" t="s">
        <v>925</v>
      </c>
      <c r="J14" s="313">
        <f ca="1">C29</f>
        <v>224046</v>
      </c>
      <c r="K14" s="303"/>
      <c r="L14" s="700"/>
      <c r="M14" s="701"/>
    </row>
    <row r="15" spans="1:37" s="706" customFormat="1" ht="18" customHeight="1" thickBot="1">
      <c r="A15" s="2438" t="s">
        <v>2612</v>
      </c>
      <c r="B15" s="684" t="s">
        <v>360</v>
      </c>
      <c r="C15" s="313">
        <f ca="1">ROUND(C14*F15,0)</f>
        <v>6924</v>
      </c>
      <c r="D15" s="704" t="s">
        <v>926</v>
      </c>
      <c r="E15" s="704" t="s">
        <v>365</v>
      </c>
      <c r="F15" s="705">
        <f>'数据-取费表'!B33</f>
        <v>0.05</v>
      </c>
      <c r="G15" s="2289"/>
      <c r="H15" s="2678" t="s">
        <v>2387</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2613</v>
      </c>
      <c r="B16" s="684" t="s">
        <v>361</v>
      </c>
      <c r="C16" s="313">
        <f ca="1">ROUND(INDIRECT("'数据-取费表'!l"&amp;$G$1)*F43*F16,0)</f>
        <v>0</v>
      </c>
      <c r="D16" s="684" t="s">
        <v>926</v>
      </c>
      <c r="E16" s="684" t="s">
        <v>365</v>
      </c>
      <c r="F16" s="707">
        <f ca="1">IF(INDIRECT("'数据-取费表'!c"&amp;$G$1)="住宅",'数据-取费表'!B34,0)</f>
        <v>0</v>
      </c>
      <c r="G16" s="2288"/>
      <c r="H16" s="2666" t="s">
        <v>2345</v>
      </c>
      <c r="I16" s="2667" t="s">
        <v>928</v>
      </c>
      <c r="J16" s="692">
        <f ca="1">ROUND(J17+J22+J23+J24,0)</f>
        <v>5243</v>
      </c>
      <c r="K16" s="2676" t="s">
        <v>929</v>
      </c>
      <c r="L16" s="2677"/>
      <c r="M16" s="2628"/>
    </row>
    <row r="17" spans="1:37" s="706" customFormat="1" ht="18" customHeight="1">
      <c r="A17" s="2438" t="s">
        <v>2614</v>
      </c>
      <c r="B17" s="684" t="s">
        <v>362</v>
      </c>
      <c r="C17" s="313">
        <f ca="1">ROUND(F17*(F43+INDIRECT("'数据-取费表'!S"&amp;$G$1)),0)</f>
        <v>9892</v>
      </c>
      <c r="D17" s="684" t="s">
        <v>930</v>
      </c>
      <c r="E17" s="684" t="s">
        <v>931</v>
      </c>
      <c r="F17" s="315">
        <f>'数据-取费表'!B35</f>
        <v>200</v>
      </c>
      <c r="G17" s="2289"/>
      <c r="H17" s="2438" t="s">
        <v>2380</v>
      </c>
      <c r="I17" s="684" t="s">
        <v>363</v>
      </c>
      <c r="J17" s="313">
        <f ca="1">ROUND(IF(项目基本情况!B11="自然人",J5*M17,J18+J19+J20),0)</f>
        <v>1882</v>
      </c>
      <c r="K17" s="2719" t="s">
        <v>932</v>
      </c>
      <c r="L17" s="2720"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2615</v>
      </c>
      <c r="B18" s="684" t="s">
        <v>364</v>
      </c>
      <c r="C18" s="313">
        <f ca="1">ROUND(C14*F18,0)</f>
        <v>2077</v>
      </c>
      <c r="D18" s="684" t="s">
        <v>926</v>
      </c>
      <c r="E18" s="684" t="s">
        <v>365</v>
      </c>
      <c r="F18" s="707">
        <f>'数据-取费表'!B36</f>
        <v>1.4999999999999999E-2</v>
      </c>
      <c r="G18" s="2289"/>
      <c r="H18" s="2438" t="s">
        <v>2377</v>
      </c>
      <c r="I18" s="684" t="s">
        <v>934</v>
      </c>
      <c r="J18" s="313">
        <f ca="1">ROUND(J5*M18/(1+'数据-取费表'!C42),0)</f>
        <v>0</v>
      </c>
      <c r="K18" s="2720" t="s">
        <v>935</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2380</v>
      </c>
      <c r="B19" s="684" t="s">
        <v>366</v>
      </c>
      <c r="C19" s="313">
        <f ca="1">SUM(C14:C18)</f>
        <v>157381</v>
      </c>
      <c r="D19" s="471" t="s">
        <v>936</v>
      </c>
      <c r="E19" s="2722"/>
      <c r="F19" s="315"/>
      <c r="G19" s="2288"/>
      <c r="H19" s="2438" t="s">
        <v>2612</v>
      </c>
      <c r="I19" s="684" t="s">
        <v>937</v>
      </c>
      <c r="J19" s="313">
        <f ca="1">IF(K19="按租金收入计税",ROUND(J5*M19,0),ROUND(C29*M19*0.7,0))</f>
        <v>1882</v>
      </c>
      <c r="K19" s="1300" t="s">
        <v>2420</v>
      </c>
      <c r="L19" s="684" t="s">
        <v>365</v>
      </c>
      <c r="M19" s="707">
        <f>IF(K19="按租金收入计税",'数据-取费表'!B51,'数据-取费表'!B50)</f>
        <v>1.2E-2</v>
      </c>
    </row>
    <row r="20" spans="1:37" s="706" customFormat="1" ht="18" customHeight="1">
      <c r="A20" s="2438" t="s">
        <v>2616</v>
      </c>
      <c r="B20" s="684" t="s">
        <v>367</v>
      </c>
      <c r="C20" s="313">
        <f ca="1">ROUND(C19*F20,0)</f>
        <v>3148</v>
      </c>
      <c r="D20" s="709" t="s">
        <v>938</v>
      </c>
      <c r="E20" s="684" t="s">
        <v>365</v>
      </c>
      <c r="F20" s="707">
        <f>'数据-取费表'!B37</f>
        <v>0.02</v>
      </c>
      <c r="G20" s="2289"/>
      <c r="H20" s="2438" t="s">
        <v>2613</v>
      </c>
      <c r="I20" s="496" t="s">
        <v>939</v>
      </c>
      <c r="J20" s="314">
        <f ca="1">ROUND(M20*M21,0)</f>
        <v>0</v>
      </c>
      <c r="K20" s="710" t="s">
        <v>940</v>
      </c>
      <c r="L20" s="684" t="s">
        <v>941</v>
      </c>
      <c r="M20" s="711">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2617</v>
      </c>
      <c r="B21" s="684" t="s">
        <v>942</v>
      </c>
      <c r="C21" s="313" t="s">
        <v>23</v>
      </c>
      <c r="D21" s="709" t="s">
        <v>943</v>
      </c>
      <c r="E21" s="684" t="s">
        <v>944</v>
      </c>
      <c r="F21" s="707">
        <f>'数据-取费表'!B38</f>
        <v>0.02</v>
      </c>
      <c r="G21" s="2289"/>
      <c r="H21" s="712"/>
      <c r="I21" s="693"/>
      <c r="J21" s="318"/>
      <c r="K21" s="713"/>
      <c r="L21" s="684" t="s">
        <v>945</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2618</v>
      </c>
      <c r="B22" s="684" t="s">
        <v>946</v>
      </c>
      <c r="C22" s="313"/>
      <c r="D22" s="2701" t="str">
        <f>IF(F23&lt;=1,"单利计息。","复利计息。")&amp;"建造成本、管理费用、销售费用产生的利息。"</f>
        <v>复利计息。建造成本、管理费用、销售费用产生的利息。</v>
      </c>
      <c r="E22" s="2722"/>
      <c r="F22" s="315"/>
      <c r="G22" s="2288"/>
      <c r="H22" s="2438" t="s">
        <v>2387</v>
      </c>
      <c r="I22" s="684" t="s">
        <v>947</v>
      </c>
      <c r="J22" s="313">
        <f ca="1">ROUND(J14*M22,0)</f>
        <v>3361</v>
      </c>
      <c r="K22" s="2720" t="s">
        <v>948</v>
      </c>
      <c r="L22" s="684" t="s">
        <v>365</v>
      </c>
      <c r="M22" s="714">
        <f ca="1">INDIRECT("'数据-取费表'!Ak"&amp;$G$1)</f>
        <v>1.4999999999999999E-2</v>
      </c>
    </row>
    <row r="23" spans="1:37" s="706" customFormat="1" ht="18" customHeight="1">
      <c r="A23" s="2438" t="s">
        <v>2377</v>
      </c>
      <c r="B23" s="684" t="s">
        <v>2532</v>
      </c>
      <c r="C23" s="313">
        <f ca="1">IF('数据-取费表'!B22&lt;=1,ROUND(C19*F24*F23/2,0)+ROUND(C20*F24*F23/2,0),ROUND(C19*(POWER((1+F24),F23/2)-1),0)+ROUND(C20*(POWER((1+F24),F23/2)-1),0))</f>
        <v>5685</v>
      </c>
      <c r="D23" s="2705" t="str">
        <f>IF(F23&lt;=1,"(建造成本+管理费用)×利率×(建设周期÷2)","(建造成本+管理费用)×((1+利率)^(建设周期÷2)-1)")</f>
        <v>(建造成本+管理费用)×((1+利率)^(建设周期÷2)-1)</v>
      </c>
      <c r="E23" s="684" t="s">
        <v>949</v>
      </c>
      <c r="F23" s="711">
        <f>'数据-取费表'!B20</f>
        <v>1.5</v>
      </c>
      <c r="G23" s="2289"/>
      <c r="H23" s="2438" t="s">
        <v>2617</v>
      </c>
      <c r="I23" s="684" t="s">
        <v>368</v>
      </c>
      <c r="J23" s="313">
        <f ca="1">ROUND(J13*M23,0)</f>
        <v>0</v>
      </c>
      <c r="K23" s="2720" t="s">
        <v>369</v>
      </c>
      <c r="L23" s="684" t="s">
        <v>365</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2383</v>
      </c>
      <c r="B24" s="684" t="s">
        <v>951</v>
      </c>
      <c r="C24" s="313">
        <f ca="1">ROUND(IF('数据-取费表'!B22&lt;=1,F21*F24*F23/2,F21*(POWER((1+F24),F23/2)-1)),4)</f>
        <v>6.9999999999999999E-4</v>
      </c>
      <c r="D24" s="2705" t="str">
        <f>IF(F23&lt;=1,"销售费用×利率×(建设周期÷2)","销售费用×((1+利率)^(建设周期÷2)-1)")</f>
        <v>销售费用×((1+利率)^(建设周期÷2)-1)</v>
      </c>
      <c r="E24" s="684" t="s">
        <v>952</v>
      </c>
      <c r="F24" s="717">
        <f ca="1">'数据-取费表'!B40</f>
        <v>4.7500000000000001E-2</v>
      </c>
      <c r="G24" s="2289"/>
      <c r="H24" s="2678" t="s">
        <v>2618</v>
      </c>
      <c r="I24" s="2679" t="s">
        <v>367</v>
      </c>
      <c r="J24" s="2680">
        <f ca="1">ROUND(J5*M24,0)</f>
        <v>0</v>
      </c>
      <c r="K24" s="2681" t="s">
        <v>371</v>
      </c>
      <c r="L24" s="2679" t="s">
        <v>365</v>
      </c>
      <c r="M24" s="2675">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2384</v>
      </c>
      <c r="B25" s="684" t="s">
        <v>372</v>
      </c>
      <c r="C25" s="313"/>
      <c r="D25" s="471" t="s">
        <v>954</v>
      </c>
      <c r="E25" s="2722"/>
      <c r="F25" s="315"/>
      <c r="G25" s="2288"/>
      <c r="H25" s="2666" t="s">
        <v>2360</v>
      </c>
      <c r="I25" s="2683" t="s">
        <v>377</v>
      </c>
      <c r="J25" s="692">
        <f ca="1">J5-J16</f>
        <v>-5243</v>
      </c>
      <c r="K25" s="2684" t="s">
        <v>378</v>
      </c>
      <c r="L25" s="2685"/>
      <c r="M25" s="2686"/>
    </row>
    <row r="26" spans="1:37" ht="18" customHeight="1">
      <c r="A26" s="2438" t="s">
        <v>2377</v>
      </c>
      <c r="B26" s="684" t="s">
        <v>2533</v>
      </c>
      <c r="C26" s="313">
        <f ca="1">ROUND((C19+C20)*F26,0)</f>
        <v>40132</v>
      </c>
      <c r="D26" s="709" t="s">
        <v>957</v>
      </c>
      <c r="E26" s="695" t="s">
        <v>958</v>
      </c>
      <c r="F26" s="694">
        <f ca="1">INDIRECT("'数据-取费表'!q"&amp;$G$1)</f>
        <v>0.25</v>
      </c>
      <c r="G26" s="2288"/>
      <c r="H26" s="681" t="s">
        <v>2363</v>
      </c>
      <c r="I26" s="682" t="s">
        <v>959</v>
      </c>
      <c r="J26" s="683">
        <f ca="1">IF(J5&lt;&gt;0,ROUND(J25*(1-((1+M28)/(1+M26))^M27)/(M26-M28),0),0)</f>
        <v>0</v>
      </c>
      <c r="K26" s="710" t="s">
        <v>373</v>
      </c>
      <c r="L26" s="684" t="s">
        <v>374</v>
      </c>
      <c r="M26" s="694">
        <f ca="1">INDIRECT("'数据-取费表'!I"&amp;$G$1)</f>
        <v>0.05</v>
      </c>
    </row>
    <row r="27" spans="1:37" ht="18" customHeight="1">
      <c r="A27" s="2438" t="s">
        <v>2383</v>
      </c>
      <c r="B27" s="684" t="s">
        <v>375</v>
      </c>
      <c r="C27" s="313">
        <f ca="1">ROUND(F21*F26,4)</f>
        <v>5.0000000000000001E-3</v>
      </c>
      <c r="D27" s="709" t="s">
        <v>961</v>
      </c>
      <c r="E27" s="704"/>
      <c r="F27" s="705"/>
      <c r="G27" s="2288"/>
      <c r="H27" s="686"/>
      <c r="I27" s="687"/>
      <c r="J27" s="688"/>
      <c r="K27" s="718" t="s">
        <v>962</v>
      </c>
      <c r="L27" s="684" t="s">
        <v>381</v>
      </c>
      <c r="M27" s="719">
        <f ca="1">INDIRECT("'数据-取费表'!ag"&amp;$G$1)</f>
        <v>0</v>
      </c>
    </row>
    <row r="28" spans="1:37" s="706" customFormat="1" ht="18" customHeight="1">
      <c r="A28" s="2438" t="s">
        <v>2385</v>
      </c>
      <c r="B28" s="684" t="s">
        <v>376</v>
      </c>
      <c r="C28" s="313">
        <f>ROUND(F28/(1+'数据-取费表'!C42),4)</f>
        <v>5.33E-2</v>
      </c>
      <c r="D28" s="709" t="s">
        <v>968</v>
      </c>
      <c r="E28" s="684" t="s">
        <v>365</v>
      </c>
      <c r="F28" s="707">
        <f>'数据-取费表'!B41</f>
        <v>5.6000000000000001E-2</v>
      </c>
      <c r="G28" s="2289"/>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2386</v>
      </c>
      <c r="B29" s="2679" t="s">
        <v>970</v>
      </c>
      <c r="C29" s="2680">
        <f ca="1">ROUND((C19+C20+C23+C26)/(1-F21-C24-C27-C28),0)</f>
        <v>224046</v>
      </c>
      <c r="D29" s="2681"/>
      <c r="E29" s="2679"/>
      <c r="F29" s="2682"/>
      <c r="G29" s="2289"/>
      <c r="H29" s="720" t="s">
        <v>2370</v>
      </c>
      <c r="I29" s="721" t="s">
        <v>963</v>
      </c>
      <c r="J29" s="722">
        <f ca="1">ROUND(J26/(1+F40)^F41,0)</f>
        <v>0</v>
      </c>
      <c r="K29" s="723" t="s">
        <v>964</v>
      </c>
      <c r="L29" s="724"/>
      <c r="M29" s="725">
        <f ca="1">INDIRECT("'数据-取费表'!k"&amp;$G$1)</f>
        <v>49.46</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2345</v>
      </c>
      <c r="B30" s="2667" t="s">
        <v>928</v>
      </c>
      <c r="C30" s="692">
        <f ca="1">ROUND(C31+C36+C37+C38,0)</f>
        <v>13760</v>
      </c>
      <c r="D30" s="2676" t="s">
        <v>929</v>
      </c>
      <c r="E30" s="2677"/>
      <c r="F30" s="2628"/>
      <c r="G30" s="2288"/>
      <c r="H30" s="1277"/>
      <c r="I30" s="1278"/>
      <c r="J30" s="1279"/>
      <c r="K30" s="1280"/>
      <c r="L30" s="1281"/>
      <c r="M30" s="1282"/>
    </row>
    <row r="31" spans="1:37" ht="18" customHeight="1">
      <c r="A31" s="2438" t="s">
        <v>2380</v>
      </c>
      <c r="B31" s="684" t="s">
        <v>363</v>
      </c>
      <c r="C31" s="313">
        <f ca="1">ROUND(IF(项目基本情况!B11="自然人",C5*F31,C32+C33+C34),0)</f>
        <v>7783</v>
      </c>
      <c r="D31" s="2719" t="s">
        <v>932</v>
      </c>
      <c r="E31" s="2720" t="s">
        <v>971</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2377</v>
      </c>
      <c r="B32" s="684" t="s">
        <v>934</v>
      </c>
      <c r="C32" s="313">
        <f ca="1">IF(项目基本情况!B11="自然人","——",ROUND(C5*F32/(1+'数据-取费表'!C42),0))</f>
        <v>5901</v>
      </c>
      <c r="D32" s="2720" t="s">
        <v>935</v>
      </c>
      <c r="E32" s="684" t="s">
        <v>365</v>
      </c>
      <c r="F32" s="717">
        <f>'数据-取费表'!B41</f>
        <v>5.6000000000000001E-2</v>
      </c>
      <c r="G32" s="2288"/>
      <c r="H32" s="1283"/>
      <c r="I32" s="1284"/>
      <c r="J32" s="1285"/>
      <c r="K32" s="1286"/>
      <c r="L32" s="1287"/>
      <c r="M32" s="1288"/>
    </row>
    <row r="33" spans="1:18" ht="18" customHeight="1">
      <c r="A33" s="2438" t="s">
        <v>2612</v>
      </c>
      <c r="B33" s="684" t="s">
        <v>937</v>
      </c>
      <c r="C33" s="313">
        <f ca="1">IF(项目基本情况!B11="自然人","——",IF(D33="按租金收入计税",ROUND(C5*F33,0),IF(D33="按房产原值计税",ROUND(C29*F33*0.7,0),INDIRECT("'数据-取费表'!Aj"&amp;$G$1))))</f>
        <v>1882</v>
      </c>
      <c r="D33" s="1300" t="s">
        <v>2420</v>
      </c>
      <c r="E33" s="684" t="s">
        <v>365</v>
      </c>
      <c r="F33" s="707">
        <f>IF(D33="按票据","——",IF(D33="按租金收入计税",'数据-取费表'!B51,'数据-取费表'!B50))</f>
        <v>1.2E-2</v>
      </c>
      <c r="G33" s="2288"/>
      <c r="H33" s="1289"/>
      <c r="I33" s="2884"/>
      <c r="J33" s="2885"/>
      <c r="K33" s="1290"/>
      <c r="L33" s="1289"/>
      <c r="M33" s="1289"/>
    </row>
    <row r="34" spans="1:18" ht="18" customHeight="1">
      <c r="A34" s="2622" t="s">
        <v>2613</v>
      </c>
      <c r="B34" s="496" t="s">
        <v>939</v>
      </c>
      <c r="C34" s="314">
        <f ca="1">IF(项目基本情况!B11="自然人","——",ROUND(F34*F35,))</f>
        <v>0</v>
      </c>
      <c r="D34" s="710" t="s">
        <v>940</v>
      </c>
      <c r="E34" s="684" t="s">
        <v>941</v>
      </c>
      <c r="F34" s="711">
        <f>'数据-取费表'!B52</f>
        <v>24</v>
      </c>
      <c r="G34" s="2288"/>
      <c r="H34" s="1277"/>
      <c r="I34" s="2884"/>
      <c r="J34" s="2885"/>
      <c r="K34" s="1291"/>
      <c r="L34" s="1292"/>
      <c r="M34" s="1292"/>
    </row>
    <row r="35" spans="1:18" ht="18" customHeight="1">
      <c r="A35" s="2696"/>
      <c r="B35" s="2694"/>
      <c r="C35" s="318"/>
      <c r="D35" s="713"/>
      <c r="E35" s="684" t="s">
        <v>945</v>
      </c>
      <c r="F35" s="685">
        <f ca="1">INDIRECT("'数据-取费表'!r"&amp;$G$1)</f>
        <v>0</v>
      </c>
      <c r="G35" s="2288"/>
      <c r="H35" s="1277"/>
      <c r="I35" s="2884"/>
      <c r="J35" s="2885"/>
      <c r="K35" s="1290"/>
      <c r="L35" s="1289"/>
      <c r="M35" s="1289"/>
    </row>
    <row r="36" spans="1:18" ht="18" customHeight="1">
      <c r="A36" s="2695" t="s">
        <v>2387</v>
      </c>
      <c r="B36" s="684" t="s">
        <v>947</v>
      </c>
      <c r="C36" s="313">
        <f ca="1">ROUND(C29*F36,0)</f>
        <v>3361</v>
      </c>
      <c r="D36" s="2720" t="s">
        <v>977</v>
      </c>
      <c r="E36" s="684" t="s">
        <v>365</v>
      </c>
      <c r="F36" s="714">
        <f ca="1">INDIRECT("'数据-取费表'!Ak"&amp;$G$1)</f>
        <v>1.4999999999999999E-2</v>
      </c>
      <c r="G36" s="2288"/>
      <c r="H36" s="1289"/>
      <c r="I36" s="2884"/>
      <c r="J36" s="2885"/>
      <c r="K36" s="1293"/>
      <c r="L36" s="1289"/>
      <c r="M36" s="1289"/>
    </row>
    <row r="37" spans="1:18" ht="18" customHeight="1">
      <c r="A37" s="2438" t="s">
        <v>2617</v>
      </c>
      <c r="B37" s="684" t="s">
        <v>368</v>
      </c>
      <c r="C37" s="313">
        <f ca="1">ROUND(C13*F37,0)</f>
        <v>403</v>
      </c>
      <c r="D37" s="2720" t="s">
        <v>369</v>
      </c>
      <c r="E37" s="684" t="s">
        <v>365</v>
      </c>
      <c r="F37" s="716">
        <f ca="1">INDIRECT("'数据-取费表'!Al"&amp;$G$1)</f>
        <v>2E-3</v>
      </c>
      <c r="G37" s="2288"/>
      <c r="H37" s="1289"/>
      <c r="I37" s="2884"/>
      <c r="J37" s="2885"/>
      <c r="K37" s="1293"/>
      <c r="L37" s="1289"/>
      <c r="M37" s="1289"/>
    </row>
    <row r="38" spans="1:18" ht="18" customHeight="1" thickBot="1">
      <c r="A38" s="2678" t="s">
        <v>2618</v>
      </c>
      <c r="B38" s="2679" t="s">
        <v>367</v>
      </c>
      <c r="C38" s="2680">
        <f ca="1">ROUND(C5*F38,1)</f>
        <v>2212.6999999999998</v>
      </c>
      <c r="D38" s="2681" t="s">
        <v>371</v>
      </c>
      <c r="E38" s="2679" t="s">
        <v>365</v>
      </c>
      <c r="F38" s="2675">
        <f ca="1">INDIRECT("'数据-取费表'!Am"&amp;$G$1)</f>
        <v>0.02</v>
      </c>
      <c r="G38" s="2288"/>
      <c r="H38" s="1289"/>
      <c r="I38" s="2884"/>
      <c r="J38" s="2885"/>
      <c r="K38" s="1294"/>
      <c r="L38" s="1289"/>
      <c r="M38" s="1289"/>
    </row>
    <row r="39" spans="1:18" ht="24.6" customHeight="1" thickTop="1">
      <c r="A39" s="2666" t="s">
        <v>2360</v>
      </c>
      <c r="B39" s="2683" t="s">
        <v>377</v>
      </c>
      <c r="C39" s="692">
        <f ca="1">C5-C30</f>
        <v>96877</v>
      </c>
      <c r="D39" s="2684" t="s">
        <v>378</v>
      </c>
      <c r="E39" s="2685"/>
      <c r="F39" s="2686"/>
      <c r="G39" s="2288"/>
      <c r="H39" s="1289"/>
      <c r="I39" s="2884"/>
      <c r="J39" s="2885"/>
      <c r="K39" s="1294"/>
      <c r="L39" s="1289"/>
      <c r="M39" s="1289"/>
    </row>
    <row r="40" spans="1:18" ht="18" customHeight="1">
      <c r="A40" s="681" t="s">
        <v>2363</v>
      </c>
      <c r="B40" s="682" t="s">
        <v>379</v>
      </c>
      <c r="C40" s="683">
        <f ca="1">ROUND(C39*(1-((1+F42)/(1+F40))^F41)/(F40-F42),0)</f>
        <v>2014388</v>
      </c>
      <c r="D40" s="710" t="s">
        <v>373</v>
      </c>
      <c r="E40" s="684" t="s">
        <v>374</v>
      </c>
      <c r="F40" s="694">
        <f ca="1">INDIRECT("'数据-取费表'!I"&amp;$G$1)</f>
        <v>0.05</v>
      </c>
      <c r="G40" s="2288"/>
      <c r="H40" s="1295"/>
      <c r="I40" s="2884"/>
      <c r="J40" s="2885"/>
      <c r="K40" s="1294"/>
      <c r="L40" s="1295"/>
      <c r="M40" s="1295"/>
    </row>
    <row r="41" spans="1:18" ht="18" customHeight="1">
      <c r="A41" s="686"/>
      <c r="B41" s="687"/>
      <c r="C41" s="688"/>
      <c r="D41" s="718" t="s">
        <v>380</v>
      </c>
      <c r="E41" s="684" t="s">
        <v>381</v>
      </c>
      <c r="F41" s="719">
        <f ca="1">IF(INDIRECT("'数据-取费表'!af"&amp;$G$1)=0,INDIRECT("'数据-取费表'!ae"&amp;$G$1),INDIRECT("'数据-取费表'!af"&amp;$G$1))</f>
        <v>25.98</v>
      </c>
      <c r="G41" s="2288"/>
      <c r="H41" s="1191"/>
      <c r="I41" s="2884"/>
      <c r="J41" s="2885"/>
      <c r="K41" s="1293"/>
      <c r="L41" s="1191"/>
      <c r="M41" s="1191"/>
    </row>
    <row r="42" spans="1:18" ht="18" customHeight="1">
      <c r="A42" s="690"/>
      <c r="B42" s="691"/>
      <c r="C42" s="692"/>
      <c r="D42" s="713"/>
      <c r="E42" s="684" t="s">
        <v>382</v>
      </c>
      <c r="F42" s="694">
        <f ca="1">INDIRECT("'数据-取费表'!v"&amp;$G$1)</f>
        <v>3.5000000000000003E-2</v>
      </c>
      <c r="G42" s="2288"/>
      <c r="H42" s="1191"/>
      <c r="I42" s="2884"/>
      <c r="J42" s="2885"/>
      <c r="K42" s="1293"/>
      <c r="L42" s="1191"/>
      <c r="M42" s="1191"/>
    </row>
    <row r="43" spans="1:18" ht="18" customHeight="1" thickBot="1">
      <c r="A43" s="720" t="s">
        <v>2370</v>
      </c>
      <c r="B43" s="721" t="s">
        <v>383</v>
      </c>
      <c r="C43" s="722">
        <f ca="1">ROUND(C40/F43,0)</f>
        <v>40728</v>
      </c>
      <c r="D43" s="723" t="s">
        <v>384</v>
      </c>
      <c r="E43" s="724" t="s">
        <v>385</v>
      </c>
      <c r="F43" s="725">
        <f ca="1">INDIRECT("'数据-取费表'!k"&amp;$G$1)</f>
        <v>49.46</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f ca="1">C68-C40</f>
        <v>0</v>
      </c>
      <c r="D45" s="2728" t="s">
        <v>2628</v>
      </c>
      <c r="E45" s="1432"/>
      <c r="F45" s="1432"/>
      <c r="O45" s="2591" t="s">
        <v>2493</v>
      </c>
      <c r="P45" s="1295"/>
      <c r="Q45" s="1295"/>
      <c r="R45" s="1295"/>
    </row>
    <row r="46" spans="1:18" s="1454" customFormat="1" ht="21" thickBot="1">
      <c r="A46" s="2396" t="s">
        <v>2332</v>
      </c>
      <c r="B46" s="2397"/>
      <c r="C46" s="2725">
        <f ca="1">ROUND(C45/10000,0)</f>
        <v>0</v>
      </c>
      <c r="D46" s="2726" t="str">
        <f>C2</f>
        <v>万元</v>
      </c>
      <c r="I46" s="2578" t="s">
        <v>2428</v>
      </c>
      <c r="J46" s="2579"/>
      <c r="K46" s="2580"/>
      <c r="L46" s="2582">
        <f ca="1">IF(M47="住宅",0,IF(L48&gt;J51,L60,J60))</f>
        <v>11151</v>
      </c>
      <c r="O46" s="2594" t="s">
        <v>2471</v>
      </c>
      <c r="P46" s="2595" t="s">
        <v>2472</v>
      </c>
      <c r="Q46" s="2596" t="s">
        <v>2470</v>
      </c>
      <c r="R46" s="2596" t="s">
        <v>2473</v>
      </c>
    </row>
    <row r="47" spans="1:18" s="1454" customFormat="1" ht="15.75" thickBot="1">
      <c r="A47" s="2398" t="s">
        <v>912</v>
      </c>
      <c r="B47" s="2434" t="s">
        <v>913</v>
      </c>
      <c r="C47" s="2434" t="s">
        <v>914</v>
      </c>
      <c r="D47" s="2434" t="s">
        <v>915</v>
      </c>
      <c r="E47" s="2537" t="s">
        <v>916</v>
      </c>
      <c r="F47" s="2538"/>
      <c r="G47" s="1456"/>
      <c r="I47" s="2553" t="s">
        <v>2421</v>
      </c>
      <c r="J47" s="2554" t="s">
        <v>3083</v>
      </c>
      <c r="K47" s="2563" t="s">
        <v>2444</v>
      </c>
      <c r="L47" s="2564">
        <f ca="1">INDIRECT("'数据-取费表'!d"&amp;$G$1)</f>
        <v>40</v>
      </c>
      <c r="M47" s="2584" t="str">
        <f>IF(ISNUMBER(FIND("住宅",C1)),"住宅","非住宅")</f>
        <v>非住宅</v>
      </c>
      <c r="O47" s="2587" t="s">
        <v>2456</v>
      </c>
      <c r="P47" s="2597" t="s">
        <v>2474</v>
      </c>
      <c r="Q47" s="2588">
        <f ca="1">C40+J29</f>
        <v>2014388</v>
      </c>
      <c r="R47" s="2588" t="s">
        <v>2475</v>
      </c>
    </row>
    <row r="48" spans="1:18" s="1454" customFormat="1" ht="47.25" thickBot="1">
      <c r="A48" s="2711" t="s">
        <v>2623</v>
      </c>
      <c r="B48" s="682" t="s">
        <v>2339</v>
      </c>
      <c r="C48" s="2721">
        <f ca="1">C49+C53+C55</f>
        <v>110637</v>
      </c>
      <c r="D48" s="2715"/>
      <c r="E48" s="2716"/>
      <c r="F48" s="2418"/>
      <c r="G48" s="1456"/>
      <c r="H48" s="1457"/>
      <c r="I48" s="2544" t="s">
        <v>2422</v>
      </c>
      <c r="J48" s="2555" t="s">
        <v>2423</v>
      </c>
      <c r="K48" s="2565" t="s">
        <v>681</v>
      </c>
      <c r="L48" s="2168">
        <f ca="1">INDIRECT("'数据-取费表'!f"&amp;$G$1)</f>
        <v>25.98</v>
      </c>
      <c r="O48" s="2587" t="s">
        <v>2457</v>
      </c>
      <c r="P48" s="2597" t="s">
        <v>2476</v>
      </c>
      <c r="Q48" s="2588">
        <f ca="1">J60</f>
        <v>11151</v>
      </c>
      <c r="R48" s="2588" t="s">
        <v>2484</v>
      </c>
    </row>
    <row r="49" spans="1:18" s="1454" customFormat="1" ht="15.75" thickBot="1">
      <c r="A49" s="2431" t="s">
        <v>2624</v>
      </c>
      <c r="B49" s="2714" t="s">
        <v>2626</v>
      </c>
      <c r="C49" s="2723">
        <f ca="1">ROUND(F49*F51*F50*(1-F52),0)</f>
        <v>110484</v>
      </c>
      <c r="D49" s="2533" t="s">
        <v>2340</v>
      </c>
      <c r="E49" s="2536" t="s">
        <v>2333</v>
      </c>
      <c r="F49" s="2539">
        <f ca="1">F6</f>
        <v>6.8</v>
      </c>
      <c r="G49" s="1458"/>
      <c r="H49" s="1457"/>
      <c r="I49" s="2544" t="s">
        <v>2442</v>
      </c>
      <c r="J49" s="2556">
        <v>2011</v>
      </c>
      <c r="K49" s="2566" t="s">
        <v>2447</v>
      </c>
      <c r="L49" s="2567"/>
      <c r="O49" s="2589" t="s">
        <v>2458</v>
      </c>
      <c r="P49" s="2597" t="s">
        <v>2477</v>
      </c>
      <c r="Q49" s="2588">
        <f ca="1">C29</f>
        <v>224046</v>
      </c>
      <c r="R49" s="2588" t="s">
        <v>2475</v>
      </c>
    </row>
    <row r="50" spans="1:18" s="1454" customFormat="1" ht="15.75" thickBot="1">
      <c r="A50" s="2432"/>
      <c r="B50" s="2435"/>
      <c r="C50" s="2436"/>
      <c r="D50" s="2405"/>
      <c r="E50" s="2534" t="s">
        <v>918</v>
      </c>
      <c r="F50" s="2535">
        <f ca="1">F7</f>
        <v>49.46</v>
      </c>
      <c r="H50" s="1457"/>
      <c r="I50" s="2544" t="s">
        <v>2424</v>
      </c>
      <c r="J50" s="2557">
        <f>SUMPRODUCT((I63:I65=J47)*(J62:L62=J48)*(J63:L65))</f>
        <v>60</v>
      </c>
      <c r="K50" s="2566" t="s">
        <v>2448</v>
      </c>
      <c r="L50" s="2567"/>
      <c r="M50" s="2561"/>
      <c r="O50" s="2589" t="s">
        <v>2459</v>
      </c>
      <c r="P50" s="2597" t="s">
        <v>2485</v>
      </c>
      <c r="Q50" s="2590">
        <f ca="1">J58</f>
        <v>0.46700000000000003</v>
      </c>
      <c r="R50" s="2588"/>
    </row>
    <row r="51" spans="1:18" s="1454" customFormat="1" ht="15.75" thickBot="1">
      <c r="A51" s="2433"/>
      <c r="B51" s="2435"/>
      <c r="C51" s="2436"/>
      <c r="D51" s="2405"/>
      <c r="E51" s="2437" t="s">
        <v>919</v>
      </c>
      <c r="F51" s="685">
        <f ca="1">F8</f>
        <v>365</v>
      </c>
      <c r="I51" s="2558" t="s">
        <v>2429</v>
      </c>
      <c r="J51" s="2559">
        <f>IF(J49="",J50,J49+J50-YEAR('数据-取费表'!B2))</f>
        <v>54</v>
      </c>
      <c r="K51" s="2568" t="s">
        <v>2449</v>
      </c>
      <c r="L51" s="2581">
        <f ca="1">ROUND(-PV(INDIRECT("'数据-取费表'!h"&amp;$G$1),L48,(C39-C13*C76),0),0)</f>
        <v>1273862</v>
      </c>
      <c r="M51" s="2562"/>
      <c r="O51" s="2589" t="s">
        <v>2460</v>
      </c>
      <c r="P51" s="2597" t="s">
        <v>2486</v>
      </c>
      <c r="Q51" s="2590">
        <f>J52</f>
        <v>0.09</v>
      </c>
      <c r="R51" s="2588"/>
    </row>
    <row r="52" spans="1:18" s="1454" customFormat="1" ht="15.75" thickBot="1">
      <c r="A52" s="2433"/>
      <c r="B52" s="2435"/>
      <c r="C52" s="2436"/>
      <c r="D52" s="2405"/>
      <c r="E52" s="2437" t="s">
        <v>920</v>
      </c>
      <c r="F52" s="2532">
        <f ca="1">F9</f>
        <v>0.1</v>
      </c>
      <c r="I52" s="2560" t="s">
        <v>2452</v>
      </c>
      <c r="J52" s="2574">
        <v>0.09</v>
      </c>
      <c r="K52" s="2560" t="s">
        <v>2437</v>
      </c>
      <c r="L52" s="2574"/>
      <c r="M52" s="2397"/>
      <c r="O52" s="2589" t="s">
        <v>2461</v>
      </c>
      <c r="P52" s="2597" t="s">
        <v>2478</v>
      </c>
      <c r="Q52" s="2588">
        <f ca="1">J53</f>
        <v>25.98</v>
      </c>
      <c r="R52" s="2588" t="s">
        <v>2479</v>
      </c>
    </row>
    <row r="53" spans="1:18" s="1454" customFormat="1" ht="43.5" thickBot="1">
      <c r="A53" s="2712" t="s">
        <v>2625</v>
      </c>
      <c r="B53" s="2713" t="s">
        <v>2535</v>
      </c>
      <c r="C53" s="698">
        <f ca="1">ROUND(IF(F53="押一",F49*F51*F50/12*F11,IF(F53="押二",F49*F51*F50/12*2*F11,IF(F53="押三",F49*F51*F50/12*3*F11,C54*F11))),0)</f>
        <v>153</v>
      </c>
      <c r="D53" s="2634" t="s">
        <v>2543</v>
      </c>
      <c r="E53" s="2097" t="s">
        <v>2537</v>
      </c>
      <c r="F53" s="2831" t="s">
        <v>3099</v>
      </c>
      <c r="I53" s="2570" t="s">
        <v>2454</v>
      </c>
      <c r="J53" s="2571">
        <f ca="1">IF(M47="住宅",J51,MIN(J51,L48))</f>
        <v>25.98</v>
      </c>
      <c r="K53" s="3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0"/>
      <c r="O53" s="2587" t="s">
        <v>2462</v>
      </c>
      <c r="P53" s="2597" t="s">
        <v>2480</v>
      </c>
      <c r="Q53" s="2588">
        <f ca="1">Q47+Q48</f>
        <v>2025539</v>
      </c>
      <c r="R53" s="2588" t="s">
        <v>2463</v>
      </c>
    </row>
    <row r="54" spans="1:18" s="1454" customFormat="1" ht="16.5" thickBot="1">
      <c r="A54" s="2431"/>
      <c r="B54" s="2828" t="s">
        <v>2700</v>
      </c>
      <c r="C54" s="2415"/>
      <c r="D54" s="2634"/>
      <c r="E54" s="2778"/>
      <c r="F54" s="2540"/>
      <c r="I54" s="2412"/>
      <c r="J54" s="2569"/>
      <c r="K54" s="2569"/>
      <c r="L54" s="2569"/>
      <c r="M54" s="1458"/>
      <c r="O54" s="2591" t="s">
        <v>2487</v>
      </c>
      <c r="P54" s="1295"/>
      <c r="Q54" s="1295"/>
      <c r="R54" s="1295"/>
    </row>
    <row r="55" spans="1:18" s="1454" customFormat="1" ht="15.75" thickBot="1">
      <c r="A55" s="2670" t="s">
        <v>2548</v>
      </c>
      <c r="B55" s="2671" t="s">
        <v>2536</v>
      </c>
      <c r="C55" s="2672"/>
      <c r="D55" s="2634"/>
      <c r="E55" s="2717"/>
      <c r="F55" s="2540"/>
      <c r="I55" s="3323" t="s">
        <v>2430</v>
      </c>
      <c r="J55" s="3322">
        <f ca="1">ROUND(IF(J47="钢混",J57/J50,1-(1-2%)*(J50-J57)/J50),3)</f>
        <v>0.46700000000000003</v>
      </c>
      <c r="K55" s="2551" t="s">
        <v>2431</v>
      </c>
      <c r="L55" s="2573"/>
      <c r="O55" s="2594" t="s">
        <v>2471</v>
      </c>
      <c r="P55" s="2595" t="s">
        <v>2472</v>
      </c>
      <c r="Q55" s="2596" t="s">
        <v>2470</v>
      </c>
      <c r="R55" s="2596" t="s">
        <v>2473</v>
      </c>
    </row>
    <row r="56" spans="1:18" s="1454" customFormat="1" ht="44.25" thickTop="1" thickBot="1">
      <c r="A56" s="2409">
        <v>2</v>
      </c>
      <c r="B56" s="2410" t="s">
        <v>921</v>
      </c>
      <c r="C56" s="608">
        <f ca="1">C13</f>
        <v>201641</v>
      </c>
      <c r="D56" s="2698"/>
      <c r="E56" s="2411"/>
      <c r="F56" s="2540"/>
      <c r="I56" s="2543" t="s">
        <v>2432</v>
      </c>
      <c r="J56" s="2572" t="s">
        <v>41</v>
      </c>
      <c r="K56" s="2544" t="s">
        <v>2436</v>
      </c>
      <c r="L56" s="2168" t="str">
        <f ca="1">IF(L48&lt;J51,"——",L48-J51)</f>
        <v>——</v>
      </c>
      <c r="O56" s="2587" t="s">
        <v>2456</v>
      </c>
      <c r="P56" s="2597" t="s">
        <v>2474</v>
      </c>
      <c r="Q56" s="2588">
        <f ca="1">C40+J29</f>
        <v>2014388</v>
      </c>
      <c r="R56" s="2588" t="s">
        <v>2475</v>
      </c>
    </row>
    <row r="57" spans="1:18" s="1454" customFormat="1" ht="29.25" thickBot="1">
      <c r="A57" s="2541"/>
      <c r="B57" s="2402" t="s">
        <v>970</v>
      </c>
      <c r="C57" s="614">
        <f ca="1">C29</f>
        <v>224046</v>
      </c>
      <c r="D57" s="2413"/>
      <c r="E57" s="2414"/>
      <c r="F57" s="2542"/>
      <c r="I57" s="2545" t="s">
        <v>2453</v>
      </c>
      <c r="J57" s="2549">
        <f ca="1">IF(OR(M47="住宅",J51&lt;L48,J56="是"),"——",J51-L48)</f>
        <v>28.02</v>
      </c>
      <c r="K57" s="2544" t="s">
        <v>2446</v>
      </c>
      <c r="L57" s="2168" t="str">
        <f ca="1">IF(L48&lt;J51,"——",IF(L55="比较法",L49,IF(L55="基准地价",L50,L51)))</f>
        <v>——</v>
      </c>
      <c r="O57" s="2587" t="s">
        <v>2457</v>
      </c>
      <c r="P57" s="2597" t="s">
        <v>2481</v>
      </c>
      <c r="Q57" s="2588">
        <f ca="1">L60</f>
        <v>0</v>
      </c>
      <c r="R57" s="2588" t="s">
        <v>2496</v>
      </c>
    </row>
    <row r="58" spans="1:18" s="1454" customFormat="1" ht="29.25" thickBot="1">
      <c r="A58" s="697" t="s">
        <v>2345</v>
      </c>
      <c r="B58" s="2410" t="s">
        <v>928</v>
      </c>
      <c r="C58" s="698">
        <f ca="1">ROUND(C59+C64+C65+C66,0)</f>
        <v>13760</v>
      </c>
      <c r="D58" s="2416" t="s">
        <v>929</v>
      </c>
      <c r="E58" s="2417"/>
      <c r="F58" s="2418"/>
      <c r="I58" s="2545" t="s">
        <v>2433</v>
      </c>
      <c r="J58" s="3324">
        <f ca="1">IF(J55&lt;0.4,0.4,J55)</f>
        <v>0.46700000000000003</v>
      </c>
      <c r="K58" s="2568" t="s">
        <v>2455</v>
      </c>
      <c r="L58" s="2168">
        <f ca="1">IF(ISERROR(POWER(1+L52,L47-L48)*(POWER(1+L52,L48)-1)/(POWER(1+L52,L47)-1)),0,POWER(1+L52,L47-L48)*(POWER(1+L52,L48)-1)/(POWER(1+L52,L47)-1))</f>
        <v>0</v>
      </c>
      <c r="O58" s="2589" t="s">
        <v>2458</v>
      </c>
      <c r="P58" s="2597" t="s">
        <v>2488</v>
      </c>
      <c r="Q58" s="2588">
        <f>IF(L55="比较法",L49,IF(L55="基准地价",L50,0))</f>
        <v>0</v>
      </c>
      <c r="R58" s="2588" t="s">
        <v>2475</v>
      </c>
    </row>
    <row r="59" spans="1:18" s="1454" customFormat="1" ht="29.25" thickBot="1">
      <c r="A59" s="2438" t="s">
        <v>2380</v>
      </c>
      <c r="B59" s="2402" t="s">
        <v>363</v>
      </c>
      <c r="C59" s="313">
        <f ca="1">ROUND(IF(项目基本情况!B11="自然人",C48*F59,C60+C61+C62),0)</f>
        <v>7783</v>
      </c>
      <c r="D59" s="2419" t="s">
        <v>932</v>
      </c>
      <c r="E59" s="2420" t="s">
        <v>933</v>
      </c>
      <c r="F59" s="708" t="str">
        <f ca="1">IF(项目基本情况!B11="企业","",IF(INDIRECT("'数据-取费表'!c"&amp;$G$1)="住宅",5%,IF(F49*F50*F51/12/(1+'数据-取费表'!C42)&gt;20000,12%,7%)))</f>
        <v/>
      </c>
      <c r="I59" s="2545" t="s">
        <v>2434</v>
      </c>
      <c r="J59" s="2549">
        <f ca="1">IF(OR(M47="住宅",J51&lt;L48,J56="是"),"——",ROUND(C29*J58,0))</f>
        <v>104629</v>
      </c>
      <c r="K59" s="2568" t="s">
        <v>2443</v>
      </c>
      <c r="L59" s="2168">
        <f ca="1">IF(ISERROR(POWER(1+L52,L47-J51)*(POWER(1+L52,J51)-1)/(POWER(1+L52,L47)-1)),0,POWER(1+L52,L47-J51)*(POWER(1+L52,J51)-1)/(POWER(1+L52,L47)-1))</f>
        <v>0</v>
      </c>
      <c r="O59" s="2589" t="s">
        <v>2459</v>
      </c>
      <c r="P59" s="2597" t="s">
        <v>2489</v>
      </c>
      <c r="Q59" s="2590">
        <f>L52</f>
        <v>0</v>
      </c>
      <c r="R59" s="2588"/>
    </row>
    <row r="60" spans="1:18" s="1454" customFormat="1" ht="20.25" thickBot="1">
      <c r="A60" s="2438" t="s">
        <v>2377</v>
      </c>
      <c r="B60" s="2402" t="s">
        <v>934</v>
      </c>
      <c r="C60" s="313">
        <f ca="1">IF(项目基本情况!B11="自然人","——",ROUND(C48*F60/(1+'数据-取费表'!C42),0))</f>
        <v>5901</v>
      </c>
      <c r="D60" s="2420" t="s">
        <v>935</v>
      </c>
      <c r="E60" s="2402" t="s">
        <v>365</v>
      </c>
      <c r="F60" s="717">
        <f t="shared" ref="F60:F66" si="0">F32</f>
        <v>5.6000000000000001E-2</v>
      </c>
      <c r="I60" s="2546" t="s">
        <v>2435</v>
      </c>
      <c r="J60" s="2550">
        <f ca="1">IF(OR(M47="住宅",J51&lt;L48,J56="是"),"0",ROUND(J59/(1+J52)^J53,0))</f>
        <v>11151</v>
      </c>
      <c r="K60" s="2552" t="s">
        <v>2438</v>
      </c>
      <c r="L60" s="2550">
        <f ca="1">IF(OR(M47="住宅",L48&lt;J51),0,ROUND(L57*(L58/L59-1),0))</f>
        <v>0</v>
      </c>
      <c r="O60" s="2589" t="s">
        <v>2460</v>
      </c>
      <c r="P60" s="2597" t="s">
        <v>2490</v>
      </c>
      <c r="Q60" s="2588">
        <f ca="1">L58</f>
        <v>0</v>
      </c>
      <c r="R60" s="2588" t="s">
        <v>2465</v>
      </c>
    </row>
    <row r="61" spans="1:18" s="1454" customFormat="1" ht="20.25" thickBot="1">
      <c r="A61" s="2438" t="s">
        <v>2378</v>
      </c>
      <c r="B61" s="2402" t="s">
        <v>937</v>
      </c>
      <c r="C61" s="313">
        <f ca="1">IF(项目基本情况!B11="自然人","——",IF(D61="按租金收入计税",ROUND(C48*F61,0),IF(D61="按房产原值计税",ROUND(C57*F61*0.7,0),INDIRECT("'数据-取费表'!Aj"&amp;$G$1))))</f>
        <v>1882</v>
      </c>
      <c r="D61" s="1300" t="s">
        <v>2420</v>
      </c>
      <c r="E61" s="2402" t="s">
        <v>365</v>
      </c>
      <c r="F61" s="707">
        <f t="shared" si="0"/>
        <v>1.2E-2</v>
      </c>
      <c r="I61" s="2412"/>
      <c r="J61" s="2412"/>
      <c r="K61" s="2412"/>
      <c r="L61" s="2412"/>
      <c r="O61" s="2589" t="s">
        <v>2461</v>
      </c>
      <c r="P61" s="2597" t="s">
        <v>2491</v>
      </c>
      <c r="Q61" s="2588">
        <f ca="1">L59</f>
        <v>0</v>
      </c>
      <c r="R61" s="2588" t="s">
        <v>2466</v>
      </c>
    </row>
    <row r="62" spans="1:18" s="1454" customFormat="1" ht="15.75" thickBot="1">
      <c r="A62" s="2438" t="s">
        <v>2379</v>
      </c>
      <c r="B62" s="2401" t="s">
        <v>939</v>
      </c>
      <c r="C62" s="314">
        <f ca="1">IF(项目基本情况!B11="自然人","——",ROUND(F62*F63,0))</f>
        <v>0</v>
      </c>
      <c r="D62" s="2421" t="s">
        <v>940</v>
      </c>
      <c r="E62" s="2402" t="s">
        <v>941</v>
      </c>
      <c r="F62" s="711">
        <f t="shared" si="0"/>
        <v>24</v>
      </c>
      <c r="I62" s="2547" t="s">
        <v>2425</v>
      </c>
      <c r="J62" s="2548" t="s">
        <v>2426</v>
      </c>
      <c r="K62" s="2548" t="s">
        <v>2427</v>
      </c>
      <c r="L62" s="2548" t="s">
        <v>2423</v>
      </c>
      <c r="M62" s="3325" t="s">
        <v>3042</v>
      </c>
      <c r="O62" s="2587" t="s">
        <v>2462</v>
      </c>
      <c r="P62" s="2597" t="s">
        <v>2480</v>
      </c>
      <c r="Q62" s="2588">
        <f ca="1">Q56+Q57</f>
        <v>2014388</v>
      </c>
      <c r="R62" s="2588" t="s">
        <v>2463</v>
      </c>
    </row>
    <row r="63" spans="1:18" s="1454" customFormat="1" ht="16.5" thickBot="1">
      <c r="A63" s="712"/>
      <c r="B63" s="2408"/>
      <c r="C63" s="318"/>
      <c r="D63" s="2422"/>
      <c r="E63" s="2402" t="s">
        <v>945</v>
      </c>
      <c r="F63" s="685">
        <f t="shared" ca="1" si="0"/>
        <v>0</v>
      </c>
      <c r="I63" s="2547" t="s">
        <v>2439</v>
      </c>
      <c r="J63" s="3328">
        <v>70</v>
      </c>
      <c r="K63" s="3328">
        <v>50</v>
      </c>
      <c r="L63" s="3328">
        <v>80</v>
      </c>
      <c r="M63" s="3326">
        <v>0.02</v>
      </c>
      <c r="O63" s="2591" t="s">
        <v>2494</v>
      </c>
      <c r="P63" s="1295"/>
      <c r="Q63" s="1295"/>
      <c r="R63" s="1295"/>
    </row>
    <row r="64" spans="1:18" s="1454" customFormat="1" ht="15.75" thickBot="1">
      <c r="A64" s="2438" t="s">
        <v>2387</v>
      </c>
      <c r="B64" s="2402" t="s">
        <v>947</v>
      </c>
      <c r="C64" s="313">
        <f ca="1">ROUND(C57*F64,0)</f>
        <v>3361</v>
      </c>
      <c r="D64" s="2420" t="s">
        <v>977</v>
      </c>
      <c r="E64" s="2402" t="s">
        <v>365</v>
      </c>
      <c r="F64" s="714">
        <f t="shared" ca="1" si="0"/>
        <v>1.4999999999999999E-2</v>
      </c>
      <c r="I64" s="2547" t="s">
        <v>107</v>
      </c>
      <c r="J64" s="3328">
        <v>50</v>
      </c>
      <c r="K64" s="3328">
        <v>35</v>
      </c>
      <c r="L64" s="3328">
        <v>60</v>
      </c>
      <c r="M64" s="3327">
        <v>0</v>
      </c>
      <c r="O64" s="2594" t="s">
        <v>2471</v>
      </c>
      <c r="P64" s="2595" t="s">
        <v>2472</v>
      </c>
      <c r="Q64" s="2596" t="s">
        <v>2470</v>
      </c>
      <c r="R64" s="2596" t="s">
        <v>2473</v>
      </c>
    </row>
    <row r="65" spans="1:18" s="1454" customFormat="1" ht="15.75" thickBot="1">
      <c r="A65" s="2438" t="s">
        <v>2381</v>
      </c>
      <c r="B65" s="2402" t="s">
        <v>368</v>
      </c>
      <c r="C65" s="313">
        <f ca="1">ROUND(C56*F65,0)</f>
        <v>403</v>
      </c>
      <c r="D65" s="2420" t="s">
        <v>369</v>
      </c>
      <c r="E65" s="2402" t="s">
        <v>365</v>
      </c>
      <c r="F65" s="716">
        <f t="shared" ca="1" si="0"/>
        <v>2E-3</v>
      </c>
      <c r="I65" s="2547" t="s">
        <v>2441</v>
      </c>
      <c r="J65" s="3328">
        <v>40</v>
      </c>
      <c r="K65" s="3328">
        <v>30</v>
      </c>
      <c r="L65" s="3328">
        <v>50</v>
      </c>
      <c r="M65" s="3326">
        <v>0.02</v>
      </c>
      <c r="O65" s="2587" t="s">
        <v>2456</v>
      </c>
      <c r="P65" s="2597" t="s">
        <v>2474</v>
      </c>
      <c r="Q65" s="2588">
        <f ca="1">C40+J29</f>
        <v>2014388</v>
      </c>
      <c r="R65" s="2588" t="s">
        <v>2475</v>
      </c>
    </row>
    <row r="66" spans="1:18" s="1454" customFormat="1" ht="20.25" thickBot="1">
      <c r="A66" s="2438" t="s">
        <v>2382</v>
      </c>
      <c r="B66" s="2402" t="s">
        <v>367</v>
      </c>
      <c r="C66" s="313">
        <f ca="1">ROUND(C48*F66,0)</f>
        <v>2213</v>
      </c>
      <c r="D66" s="2420" t="s">
        <v>371</v>
      </c>
      <c r="E66" s="2402" t="s">
        <v>365</v>
      </c>
      <c r="F66" s="694">
        <f t="shared" ca="1" si="0"/>
        <v>0.02</v>
      </c>
      <c r="O66" s="2587" t="s">
        <v>2457</v>
      </c>
      <c r="P66" s="2597" t="s">
        <v>2481</v>
      </c>
      <c r="Q66" s="2588">
        <f ca="1">L60</f>
        <v>0</v>
      </c>
      <c r="R66" s="2588" t="s">
        <v>2464</v>
      </c>
    </row>
    <row r="67" spans="1:18" s="1454" customFormat="1" ht="24.75" thickBot="1">
      <c r="A67" s="2409" t="s">
        <v>2360</v>
      </c>
      <c r="B67" s="2423" t="s">
        <v>377</v>
      </c>
      <c r="C67" s="698">
        <f ca="1">C48-C58</f>
        <v>96877</v>
      </c>
      <c r="D67" s="2419" t="s">
        <v>378</v>
      </c>
      <c r="E67" s="2424"/>
      <c r="F67" s="2425"/>
      <c r="O67" s="2589" t="s">
        <v>2458</v>
      </c>
      <c r="P67" s="2597" t="s">
        <v>2488</v>
      </c>
      <c r="Q67" s="2592">
        <f ca="1">L51</f>
        <v>1273862</v>
      </c>
      <c r="R67" s="2593" t="s">
        <v>2498</v>
      </c>
    </row>
    <row r="68" spans="1:18" s="1454" customFormat="1" ht="20.25" thickBot="1">
      <c r="A68" s="2399" t="s">
        <v>2363</v>
      </c>
      <c r="B68" s="2400" t="s">
        <v>379</v>
      </c>
      <c r="C68" s="683">
        <f ca="1">ROUND(C67*(1-((1+F70)/(1+F68))^F69)/(F68-F70),0)</f>
        <v>2014388</v>
      </c>
      <c r="D68" s="2421" t="s">
        <v>373</v>
      </c>
      <c r="E68" s="2402" t="s">
        <v>374</v>
      </c>
      <c r="F68" s="694">
        <f ca="1">F40</f>
        <v>0.05</v>
      </c>
      <c r="O68" s="2589" t="s">
        <v>2459</v>
      </c>
      <c r="P68" s="2598" t="s">
        <v>2492</v>
      </c>
      <c r="Q68" s="2588">
        <f ca="1">ROUND(Q69-Q70*Q71,0)</f>
        <v>79738</v>
      </c>
      <c r="R68" s="2588" t="s">
        <v>2497</v>
      </c>
    </row>
    <row r="69" spans="1:18" s="1454" customFormat="1" ht="15.75" thickBot="1">
      <c r="A69" s="2403"/>
      <c r="B69" s="2404"/>
      <c r="C69" s="688"/>
      <c r="D69" s="2426" t="s">
        <v>962</v>
      </c>
      <c r="E69" s="2402" t="s">
        <v>381</v>
      </c>
      <c r="F69" s="719">
        <f ca="1">F41</f>
        <v>25.98</v>
      </c>
      <c r="O69" s="2589" t="s">
        <v>2467</v>
      </c>
      <c r="P69" s="2598" t="s">
        <v>2482</v>
      </c>
      <c r="Q69" s="2588">
        <f ca="1">C39</f>
        <v>96877</v>
      </c>
      <c r="R69" s="2588" t="s">
        <v>2475</v>
      </c>
    </row>
    <row r="70" spans="1:18" s="1454" customFormat="1" ht="15.75" thickBot="1">
      <c r="A70" s="2406"/>
      <c r="B70" s="2407"/>
      <c r="C70" s="692"/>
      <c r="D70" s="2422"/>
      <c r="E70" s="2402" t="s">
        <v>382</v>
      </c>
      <c r="F70" s="2532">
        <f ca="1">F42</f>
        <v>3.5000000000000003E-2</v>
      </c>
      <c r="O70" s="2589" t="s">
        <v>2468</v>
      </c>
      <c r="P70" s="2598" t="s">
        <v>2483</v>
      </c>
      <c r="Q70" s="2588">
        <f ca="1">C13</f>
        <v>201641</v>
      </c>
      <c r="R70" s="2588" t="s">
        <v>2475</v>
      </c>
    </row>
    <row r="71" spans="1:18" s="1454" customFormat="1" ht="15.75" thickBot="1">
      <c r="A71" s="2427" t="s">
        <v>2370</v>
      </c>
      <c r="B71" s="2428" t="s">
        <v>383</v>
      </c>
      <c r="C71" s="722">
        <f ca="1">ROUND(C68/F71,0)</f>
        <v>40728</v>
      </c>
      <c r="D71" s="2429" t="s">
        <v>384</v>
      </c>
      <c r="E71" s="2430" t="s">
        <v>385</v>
      </c>
      <c r="F71" s="725">
        <f ca="1">F43</f>
        <v>49.46</v>
      </c>
      <c r="I71" s="2397"/>
      <c r="K71" s="2397"/>
      <c r="O71" s="2589" t="s">
        <v>2469</v>
      </c>
      <c r="P71" s="2598" t="s">
        <v>2495</v>
      </c>
      <c r="Q71" s="2590">
        <f ca="1">C76</f>
        <v>8.5000000000000006E-2</v>
      </c>
      <c r="R71" s="2588"/>
    </row>
    <row r="72" spans="1:18" s="1454" customFormat="1" ht="15.75" thickBot="1">
      <c r="B72" s="1459"/>
      <c r="C72" s="1459"/>
      <c r="I72" s="2397"/>
      <c r="O72" s="2589" t="s">
        <v>2460</v>
      </c>
      <c r="P72" s="2597" t="s">
        <v>2489</v>
      </c>
      <c r="Q72" s="2590">
        <f>L52</f>
        <v>0</v>
      </c>
      <c r="R72" s="2588"/>
    </row>
    <row r="73" spans="1:18" ht="20.25" thickBot="1">
      <c r="A73" s="1454"/>
      <c r="B73" s="1459"/>
      <c r="C73" s="1459"/>
      <c r="D73" s="1454"/>
      <c r="E73" s="1454"/>
      <c r="F73" s="1454"/>
      <c r="I73" s="2583"/>
      <c r="O73" s="2589" t="s">
        <v>2461</v>
      </c>
      <c r="P73" s="2597" t="s">
        <v>2490</v>
      </c>
      <c r="Q73" s="2588">
        <f ca="1">L58</f>
        <v>0</v>
      </c>
      <c r="R73" s="2588" t="s">
        <v>2465</v>
      </c>
    </row>
    <row r="74" spans="1:18" ht="20.25" thickBot="1">
      <c r="A74" s="1454"/>
      <c r="B74" s="727" t="s">
        <v>386</v>
      </c>
      <c r="C74" s="728"/>
      <c r="D74" s="1454"/>
      <c r="E74" s="1454"/>
      <c r="F74" s="1454"/>
      <c r="O74" s="2589" t="s">
        <v>2499</v>
      </c>
      <c r="P74" s="2597" t="s">
        <v>2491</v>
      </c>
      <c r="Q74" s="2588">
        <f ca="1">L59</f>
        <v>0</v>
      </c>
      <c r="R74" s="2588" t="s">
        <v>2466</v>
      </c>
    </row>
    <row r="75" spans="1:18" ht="15.75" thickBot="1">
      <c r="A75" s="1454"/>
      <c r="B75" s="729" t="s">
        <v>975</v>
      </c>
      <c r="C75" s="730">
        <f ca="1">ROUND(C13*C76,0)</f>
        <v>17139</v>
      </c>
      <c r="D75" s="1454"/>
      <c r="E75" s="1454"/>
      <c r="F75" s="1454"/>
      <c r="K75" s="1455"/>
      <c r="L75" s="1454"/>
      <c r="O75" s="2587" t="s">
        <v>2462</v>
      </c>
      <c r="P75" s="2597" t="s">
        <v>2480</v>
      </c>
      <c r="Q75" s="2588">
        <f ca="1">Q65+Q66</f>
        <v>2014388</v>
      </c>
      <c r="R75" s="2588" t="s">
        <v>2463</v>
      </c>
    </row>
    <row r="76" spans="1:18">
      <c r="B76" s="731" t="s">
        <v>976</v>
      </c>
      <c r="C76" s="732">
        <f ca="1">INDIRECT("'数据-取费表'!j"&amp;$G$1)</f>
        <v>8.5000000000000006E-2</v>
      </c>
      <c r="I76" s="1454"/>
      <c r="J76" s="1454"/>
      <c r="K76" s="1455"/>
      <c r="L76" s="1454"/>
    </row>
    <row r="77" spans="1:18">
      <c r="B77" s="733" t="s">
        <v>979</v>
      </c>
      <c r="C77" s="734"/>
      <c r="I77" s="1454"/>
      <c r="J77" s="1454"/>
      <c r="K77" s="1455"/>
      <c r="L77" s="1454"/>
    </row>
    <row r="78" spans="1:18">
      <c r="B78" s="646" t="s">
        <v>965</v>
      </c>
      <c r="C78" s="735"/>
    </row>
    <row r="79" spans="1:18">
      <c r="B79" s="2876" t="s">
        <v>2707</v>
      </c>
      <c r="C79" s="650">
        <f ca="1">1-C80</f>
        <v>0.82299999999999995</v>
      </c>
    </row>
    <row r="80" spans="1:18">
      <c r="B80" s="2876" t="s">
        <v>2708</v>
      </c>
      <c r="C80" s="650">
        <f ca="1">ROUND(C75/C39,3)</f>
        <v>0.17699999999999999</v>
      </c>
    </row>
    <row r="81" spans="2:3">
      <c r="B81" s="646" t="s">
        <v>387</v>
      </c>
      <c r="C81" s="647"/>
    </row>
    <row r="82" spans="2:3">
      <c r="B82" s="2875" t="s">
        <v>2705</v>
      </c>
      <c r="C82" s="651">
        <f ca="1">1-C83</f>
        <v>0.9</v>
      </c>
    </row>
    <row r="83" spans="2:3">
      <c r="B83" s="2875" t="s">
        <v>2704</v>
      </c>
      <c r="C83" s="650">
        <f ca="1">ROUND(C13/C40,3)</f>
        <v>0.1</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F7" sqref="F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92" t="s">
        <v>3048</v>
      </c>
      <c r="D1" s="1273"/>
      <c r="E1" s="2585" t="s">
        <v>538</v>
      </c>
      <c r="F1" s="2586">
        <f ca="1">J53</f>
        <v>25.98</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820</v>
      </c>
      <c r="B2" s="1406">
        <f ca="1">C40+J29+L46</f>
        <v>209</v>
      </c>
      <c r="C2" s="1299" t="s">
        <v>1104</v>
      </c>
      <c r="D2" s="1275"/>
      <c r="E2" s="2575"/>
      <c r="F2" s="1276"/>
      <c r="G2" s="2287"/>
      <c r="H2" s="1274"/>
      <c r="I2" s="1274"/>
      <c r="J2" s="1274"/>
      <c r="K2" s="1298"/>
      <c r="L2" s="1274"/>
      <c r="M2" s="1274"/>
    </row>
    <row r="3" spans="1:37" ht="18" customHeight="1" thickBot="1">
      <c r="A3" s="675" t="s">
        <v>346</v>
      </c>
      <c r="B3" s="1407">
        <f ca="1">IF(ISERROR(B2*10000/F43),0,ROUND(B2*10000/F43,0))</f>
        <v>42256</v>
      </c>
      <c r="C3" s="1299" t="s">
        <v>1105</v>
      </c>
      <c r="D3" s="1275"/>
      <c r="E3" s="2575"/>
      <c r="F3" s="1276"/>
      <c r="G3" s="2287"/>
      <c r="H3" s="676" t="s">
        <v>911</v>
      </c>
      <c r="I3" s="1274"/>
      <c r="J3" s="1274"/>
      <c r="K3" s="1298"/>
      <c r="L3" s="1274"/>
      <c r="M3" s="1274"/>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2339</v>
      </c>
      <c r="C5" s="2626">
        <f ca="1">C6+C10+C12</f>
        <v>11</v>
      </c>
      <c r="D5" s="2636" t="s">
        <v>2541</v>
      </c>
      <c r="E5" s="2627"/>
      <c r="F5" s="2628"/>
      <c r="G5" s="2288"/>
      <c r="H5" s="681">
        <v>1</v>
      </c>
      <c r="I5" s="682" t="s">
        <v>2339</v>
      </c>
      <c r="J5" s="2626">
        <f ca="1">J6+J10+J12</f>
        <v>0</v>
      </c>
      <c r="K5" s="2629" t="s">
        <v>2541</v>
      </c>
      <c r="L5" s="2627"/>
      <c r="M5" s="2628"/>
    </row>
    <row r="6" spans="1:37" ht="18" customHeight="1">
      <c r="A6" s="2622" t="s">
        <v>2380</v>
      </c>
      <c r="B6" s="3616" t="s">
        <v>2540</v>
      </c>
      <c r="C6" s="2631">
        <f ca="1">ROUND(F6*F8*F7*(1-F9)/10000,0)</f>
        <v>11</v>
      </c>
      <c r="D6" s="2625" t="s">
        <v>2542</v>
      </c>
      <c r="E6" s="684" t="s">
        <v>917</v>
      </c>
      <c r="F6" s="685">
        <f ca="1">INDIRECT("'数据-取费表'!u"&amp;$G$1)</f>
        <v>6.8</v>
      </c>
      <c r="G6" s="2288"/>
      <c r="H6" s="2622" t="s">
        <v>2380</v>
      </c>
      <c r="I6" s="3616" t="s">
        <v>2540</v>
      </c>
      <c r="J6" s="683">
        <f ca="1">ROUND(M6*M8*M7*(1-M9)/10000,0)</f>
        <v>0</v>
      </c>
      <c r="K6" s="2625" t="s">
        <v>2542</v>
      </c>
      <c r="L6" s="684" t="s">
        <v>917</v>
      </c>
      <c r="M6" s="685">
        <f ca="1">INDIRECT("'数据-取费表'!z"&amp;$G$1)</f>
        <v>0</v>
      </c>
    </row>
    <row r="7" spans="1:37" ht="18" customHeight="1">
      <c r="A7" s="2630"/>
      <c r="B7" s="3617"/>
      <c r="C7" s="2632"/>
      <c r="D7" s="2061"/>
      <c r="E7" s="2633" t="s">
        <v>918</v>
      </c>
      <c r="F7" s="685">
        <f ca="1">IF(INDIRECT("'数据-取费表'!ah"&amp;$G$1)="",INDIRECT("'数据-取费表'!k"&amp;$G$1),INDIRECT("'数据-取费表'!ah"&amp;$G$1))</f>
        <v>49.46</v>
      </c>
      <c r="G7" s="2288"/>
      <c r="H7" s="686"/>
      <c r="I7" s="3617"/>
      <c r="J7" s="688"/>
      <c r="K7" s="689"/>
      <c r="L7" s="684" t="s">
        <v>918</v>
      </c>
      <c r="M7" s="685">
        <f ca="1">F7</f>
        <v>49.46</v>
      </c>
    </row>
    <row r="8" spans="1:37" ht="18" customHeight="1">
      <c r="A8" s="686"/>
      <c r="B8" s="3617"/>
      <c r="C8" s="688"/>
      <c r="D8" s="689"/>
      <c r="E8" s="684" t="s">
        <v>919</v>
      </c>
      <c r="F8" s="685">
        <f ca="1">INDIRECT("'数据-取费表'!ai"&amp;$G$1)</f>
        <v>365</v>
      </c>
      <c r="G8" s="2288"/>
      <c r="H8" s="686"/>
      <c r="I8" s="3617"/>
      <c r="J8" s="688"/>
      <c r="K8" s="689"/>
      <c r="L8" s="684" t="s">
        <v>919</v>
      </c>
      <c r="M8" s="685">
        <f ca="1">INDIRECT("'数据-取费表'!ai"&amp;$G$1)</f>
        <v>365</v>
      </c>
    </row>
    <row r="9" spans="1:37" ht="18" customHeight="1">
      <c r="A9" s="686"/>
      <c r="B9" s="3618"/>
      <c r="C9" s="688"/>
      <c r="D9" s="689"/>
      <c r="E9" s="684" t="s">
        <v>920</v>
      </c>
      <c r="F9" s="694">
        <f ca="1">INDIRECT("'数据-取费表'!w"&amp;$G$1)</f>
        <v>0.1</v>
      </c>
      <c r="G9" s="2288"/>
      <c r="H9" s="686"/>
      <c r="I9" s="3618"/>
      <c r="J9" s="688"/>
      <c r="K9" s="689"/>
      <c r="L9" s="695" t="s">
        <v>920</v>
      </c>
      <c r="M9" s="696">
        <f ca="1">INDIRECT("'数据-取费表'!ab"&amp;$G$1)</f>
        <v>0</v>
      </c>
    </row>
    <row r="10" spans="1:37" ht="18" customHeight="1">
      <c r="A10" s="2622" t="s">
        <v>2387</v>
      </c>
      <c r="B10" s="2623" t="s">
        <v>2535</v>
      </c>
      <c r="C10" s="698">
        <f ca="1">ROUND(IF(F10="押一",F6*F8*F7/12*F11,IF(F10="押二",F6*F8*F7/12*2*F11,IF(F10="押三",F6*F8*F7/12*3*F11,C11*F11)))/10000,0)</f>
        <v>0</v>
      </c>
      <c r="D10" s="2634" t="s">
        <v>2543</v>
      </c>
      <c r="E10" s="2097" t="s">
        <v>2537</v>
      </c>
      <c r="F10" s="2831" t="s">
        <v>3099</v>
      </c>
      <c r="G10" s="2288"/>
      <c r="H10" s="2622" t="s">
        <v>2387</v>
      </c>
      <c r="I10" s="2623" t="s">
        <v>2535</v>
      </c>
      <c r="J10" s="683">
        <f ca="1">ROUND(IF(M10="押一",M6*M8*M7/12*M11,IF(M10="押二",M6*M8*M7/12*2*M11,IF(M10="押三",M6*M8*M7/12*3*M11,J11*M11)))/10000,0)</f>
        <v>0</v>
      </c>
      <c r="K10" s="2634" t="s">
        <v>2543</v>
      </c>
      <c r="L10" s="2097" t="s">
        <v>2537</v>
      </c>
      <c r="M10" s="2729" t="s">
        <v>2629</v>
      </c>
    </row>
    <row r="11" spans="1:37" ht="18" customHeight="1">
      <c r="A11" s="690"/>
      <c r="B11" s="2624" t="s">
        <v>2702</v>
      </c>
      <c r="C11" s="2415"/>
      <c r="D11" s="2870"/>
      <c r="E11" s="2097" t="s">
        <v>2538</v>
      </c>
      <c r="F11" s="696">
        <f ca="1">'数据-取费表'!B39</f>
        <v>1.4999999999999999E-2</v>
      </c>
      <c r="G11" s="2288"/>
      <c r="H11" s="2635"/>
      <c r="I11" s="2624" t="s">
        <v>2702</v>
      </c>
      <c r="J11" s="2415"/>
      <c r="K11" s="1280"/>
      <c r="L11" s="2097" t="s">
        <v>2538</v>
      </c>
      <c r="M11" s="2096">
        <f ca="1">'数据-取费表'!B39</f>
        <v>1.4999999999999999E-2</v>
      </c>
    </row>
    <row r="12" spans="1:37" ht="18" customHeight="1" thickBot="1">
      <c r="A12" s="2670" t="s">
        <v>2548</v>
      </c>
      <c r="B12" s="2671" t="s">
        <v>2536</v>
      </c>
      <c r="C12" s="2672"/>
      <c r="D12" s="2673"/>
      <c r="E12" s="2674"/>
      <c r="F12" s="2675"/>
      <c r="G12" s="2288"/>
      <c r="H12" s="2670" t="s">
        <v>2548</v>
      </c>
      <c r="I12" s="2671" t="s">
        <v>2536</v>
      </c>
      <c r="J12" s="2672"/>
      <c r="K12" s="2689"/>
      <c r="L12" s="2674"/>
      <c r="M12" s="2690"/>
    </row>
    <row r="13" spans="1:37" ht="18" customHeight="1" thickTop="1">
      <c r="A13" s="2666">
        <v>2</v>
      </c>
      <c r="B13" s="2667" t="s">
        <v>921</v>
      </c>
      <c r="C13" s="692">
        <f ca="1">ROUND(C29*F13,0)</f>
        <v>21</v>
      </c>
      <c r="D13" s="2668" t="s">
        <v>922</v>
      </c>
      <c r="E13" s="2668" t="s">
        <v>923</v>
      </c>
      <c r="F13" s="2669">
        <f ca="1">INDIRECT("'数据-取费表'!y"&amp;$G$1)</f>
        <v>0.9</v>
      </c>
      <c r="G13" s="2288"/>
      <c r="H13" s="2666">
        <v>2</v>
      </c>
      <c r="I13" s="2667" t="s">
        <v>921</v>
      </c>
      <c r="J13" s="2621">
        <f ca="1">ROUND(J14*J15,0)</f>
        <v>0</v>
      </c>
      <c r="K13" s="2676" t="s">
        <v>922</v>
      </c>
      <c r="L13" s="2687"/>
      <c r="M13" s="2688"/>
    </row>
    <row r="14" spans="1:37" ht="18" customHeight="1">
      <c r="A14" s="2438" t="s">
        <v>2377</v>
      </c>
      <c r="B14" s="684" t="s">
        <v>359</v>
      </c>
      <c r="C14" s="702">
        <f ca="1">INDIRECT("'数据-取费表'!m"&amp;$G$1)+INDIRECT("'数据-取费表'!t"&amp;$G$1)</f>
        <v>14</v>
      </c>
      <c r="D14" s="3355" t="s">
        <v>924</v>
      </c>
      <c r="E14" s="3354"/>
      <c r="F14" s="703"/>
      <c r="G14" s="2288"/>
      <c r="H14" s="2438" t="s">
        <v>2380</v>
      </c>
      <c r="I14" s="684" t="s">
        <v>925</v>
      </c>
      <c r="J14" s="313">
        <f ca="1">C29</f>
        <v>23</v>
      </c>
      <c r="K14" s="303"/>
      <c r="L14" s="700"/>
      <c r="M14" s="701"/>
    </row>
    <row r="15" spans="1:37" s="706" customFormat="1" ht="18" customHeight="1" thickBot="1">
      <c r="A15" s="2438" t="s">
        <v>2612</v>
      </c>
      <c r="B15" s="684" t="s">
        <v>360</v>
      </c>
      <c r="C15" s="313">
        <f ca="1">ROUND(C14*F15,0)</f>
        <v>1</v>
      </c>
      <c r="D15" s="704" t="s">
        <v>926</v>
      </c>
      <c r="E15" s="704" t="s">
        <v>370</v>
      </c>
      <c r="F15" s="705">
        <f>'数据-取费表'!B33</f>
        <v>0.05</v>
      </c>
      <c r="G15" s="2289"/>
      <c r="H15" s="2678" t="s">
        <v>2387</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2613</v>
      </c>
      <c r="B16" s="684" t="s">
        <v>361</v>
      </c>
      <c r="C16" s="313">
        <f ca="1">ROUND(INDIRECT("'数据-取费表'!m"&amp;$G$1)*F16,0)</f>
        <v>0</v>
      </c>
      <c r="D16" s="684" t="s">
        <v>926</v>
      </c>
      <c r="E16" s="684" t="s">
        <v>370</v>
      </c>
      <c r="F16" s="707">
        <f ca="1">IF(INDIRECT("'数据-取费表'!c"&amp;$G$1)="住宅",'数据-取费表'!B34,0)</f>
        <v>0</v>
      </c>
      <c r="G16" s="2288"/>
      <c r="H16" s="2666" t="s">
        <v>2345</v>
      </c>
      <c r="I16" s="2667" t="s">
        <v>928</v>
      </c>
      <c r="J16" s="692">
        <f ca="1">ROUND(J17+J22+J23+J24,0)</f>
        <v>1</v>
      </c>
      <c r="K16" s="2676" t="s">
        <v>929</v>
      </c>
      <c r="L16" s="2677"/>
      <c r="M16" s="2628"/>
    </row>
    <row r="17" spans="1:37" s="706" customFormat="1" ht="18" customHeight="1">
      <c r="A17" s="2438" t="s">
        <v>2614</v>
      </c>
      <c r="B17" s="684" t="s">
        <v>362</v>
      </c>
      <c r="C17" s="313">
        <f ca="1">ROUND(F17*(F43+INDIRECT("'数据-取费表'!S"&amp;$G$1))/10000,0)</f>
        <v>1</v>
      </c>
      <c r="D17" s="684" t="s">
        <v>930</v>
      </c>
      <c r="E17" s="684" t="s">
        <v>931</v>
      </c>
      <c r="F17" s="315">
        <f>'数据-取费表'!B35</f>
        <v>200</v>
      </c>
      <c r="G17" s="2289"/>
      <c r="H17" s="2438" t="s">
        <v>2380</v>
      </c>
      <c r="I17" s="684" t="s">
        <v>363</v>
      </c>
      <c r="J17" s="313">
        <f ca="1">ROUND(IF(项目基本情况!B11="自然人",J5*M17,J18+J19+J20),1)</f>
        <v>0.2</v>
      </c>
      <c r="K17" s="3355" t="s">
        <v>932</v>
      </c>
      <c r="L17" s="3358"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2615</v>
      </c>
      <c r="B18" s="684" t="s">
        <v>364</v>
      </c>
      <c r="C18" s="313">
        <f ca="1">ROUND(C14*F18,0)</f>
        <v>0</v>
      </c>
      <c r="D18" s="684" t="s">
        <v>926</v>
      </c>
      <c r="E18" s="684" t="s">
        <v>370</v>
      </c>
      <c r="F18" s="707">
        <f>'数据-取费表'!B36</f>
        <v>1.4999999999999999E-2</v>
      </c>
      <c r="G18" s="2289"/>
      <c r="H18" s="2438" t="s">
        <v>2377</v>
      </c>
      <c r="I18" s="684" t="s">
        <v>934</v>
      </c>
      <c r="J18" s="313">
        <f ca="1">ROUND(J5*M18/(1+'数据-取费表'!C42),2)</f>
        <v>0</v>
      </c>
      <c r="K18" s="3358" t="s">
        <v>935</v>
      </c>
      <c r="L18" s="684" t="s">
        <v>370</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2380</v>
      </c>
      <c r="B19" s="684" t="s">
        <v>366</v>
      </c>
      <c r="C19" s="313">
        <f ca="1">SUM(C14:C18)</f>
        <v>16</v>
      </c>
      <c r="D19" s="471" t="s">
        <v>936</v>
      </c>
      <c r="E19" s="3366"/>
      <c r="F19" s="315"/>
      <c r="G19" s="2288"/>
      <c r="H19" s="2438" t="s">
        <v>2612</v>
      </c>
      <c r="I19" s="684" t="s">
        <v>937</v>
      </c>
      <c r="J19" s="313">
        <f ca="1">IF(K19="按租金收入计税",ROUND(J5*M19,2),ROUND(C29*M19*0.7,2))</f>
        <v>0.19</v>
      </c>
      <c r="K19" s="1300" t="s">
        <v>2420</v>
      </c>
      <c r="L19" s="684" t="s">
        <v>370</v>
      </c>
      <c r="M19" s="707">
        <f>IF(K19="按租金收入计税",'数据-取费表'!B51,'数据-取费表'!B50)</f>
        <v>1.2E-2</v>
      </c>
    </row>
    <row r="20" spans="1:37" s="706" customFormat="1" ht="18" customHeight="1">
      <c r="A20" s="2438" t="s">
        <v>2616</v>
      </c>
      <c r="B20" s="684" t="s">
        <v>367</v>
      </c>
      <c r="C20" s="313">
        <f ca="1">ROUND(C19*F20,0)</f>
        <v>0</v>
      </c>
      <c r="D20" s="709" t="s">
        <v>938</v>
      </c>
      <c r="E20" s="684" t="s">
        <v>370</v>
      </c>
      <c r="F20" s="707">
        <f>'数据-取费表'!B37</f>
        <v>0.02</v>
      </c>
      <c r="G20" s="2289"/>
      <c r="H20" s="2438" t="s">
        <v>2613</v>
      </c>
      <c r="I20" s="496" t="s">
        <v>939</v>
      </c>
      <c r="J20" s="314">
        <f ca="1">ROUND(M20*M21/10000,2)</f>
        <v>0</v>
      </c>
      <c r="K20" s="710" t="s">
        <v>940</v>
      </c>
      <c r="L20" s="684" t="s">
        <v>941</v>
      </c>
      <c r="M20" s="711">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2617</v>
      </c>
      <c r="B21" s="684" t="s">
        <v>942</v>
      </c>
      <c r="C21" s="313" t="s">
        <v>23</v>
      </c>
      <c r="D21" s="709" t="s">
        <v>943</v>
      </c>
      <c r="E21" s="684" t="s">
        <v>944</v>
      </c>
      <c r="F21" s="707">
        <f>'数据-取费表'!B38</f>
        <v>0.02</v>
      </c>
      <c r="G21" s="2289"/>
      <c r="H21" s="712"/>
      <c r="I21" s="693"/>
      <c r="J21" s="318"/>
      <c r="K21" s="713"/>
      <c r="L21" s="684" t="s">
        <v>945</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2618</v>
      </c>
      <c r="B22" s="684" t="s">
        <v>946</v>
      </c>
      <c r="C22" s="313"/>
      <c r="D22" s="2701" t="str">
        <f>IF(F23&lt;=1,"单利计息。","复利计息。")&amp;"建造成本、管理费用、销售费用产生的利息。"</f>
        <v>复利计息。建造成本、管理费用、销售费用产生的利息。</v>
      </c>
      <c r="E22" s="3366"/>
      <c r="F22" s="315"/>
      <c r="G22" s="2288"/>
      <c r="H22" s="2438" t="s">
        <v>2387</v>
      </c>
      <c r="I22" s="684" t="s">
        <v>947</v>
      </c>
      <c r="J22" s="313">
        <f ca="1">ROUND(J14*M22,1)</f>
        <v>0.3</v>
      </c>
      <c r="K22" s="3358" t="s">
        <v>948</v>
      </c>
      <c r="L22" s="684" t="s">
        <v>370</v>
      </c>
      <c r="M22" s="714">
        <f ca="1">INDIRECT("'数据-取费表'!Ak"&amp;$G$1)</f>
        <v>1.4999999999999999E-2</v>
      </c>
    </row>
    <row r="23" spans="1:37" s="706" customFormat="1" ht="18" customHeight="1">
      <c r="A23" s="2438" t="s">
        <v>2377</v>
      </c>
      <c r="B23" s="684" t="s">
        <v>2532</v>
      </c>
      <c r="C23" s="313">
        <f ca="1">IF('数据-取费表'!B22&lt;=1,ROUND(C19*F24*F23/2,0)+ROUND(C20*F24*F23/2,0),ROUND(C19*(POWER((1+F24),F23/2)-1),0)+ROUND(C20*(POWER((1+F24),F23/2)-1),0))</f>
        <v>1</v>
      </c>
      <c r="D23" s="2705" t="str">
        <f>IF(F23&lt;=1,"(建造成本+管理费用)×利率×(建设周期÷2)","(建造成本+管理费用)×((1+利率)^(建设周期÷2)-1)")</f>
        <v>(建造成本+管理费用)×((1+利率)^(建设周期÷2)-1)</v>
      </c>
      <c r="E23" s="684" t="s">
        <v>949</v>
      </c>
      <c r="F23" s="711">
        <f>'数据-取费表'!B20</f>
        <v>1.5</v>
      </c>
      <c r="G23" s="2289"/>
      <c r="H23" s="2438" t="s">
        <v>2617</v>
      </c>
      <c r="I23" s="684" t="s">
        <v>368</v>
      </c>
      <c r="J23" s="313">
        <f ca="1">ROUND(J13*M23,1)</f>
        <v>0</v>
      </c>
      <c r="K23" s="3358" t="s">
        <v>369</v>
      </c>
      <c r="L23" s="684" t="s">
        <v>370</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2383</v>
      </c>
      <c r="B24" s="684" t="s">
        <v>951</v>
      </c>
      <c r="C24" s="313">
        <f ca="1">ROUND(IF('数据-取费表'!B22&lt;=1,F21*F24*F23/2,F21*(POWER((1+F24),F23/2)-1)),4)</f>
        <v>6.9999999999999999E-4</v>
      </c>
      <c r="D24" s="2705" t="str">
        <f>IF(F23&lt;=1,"销售费用×利率×(建设周期÷2)","销售费用×((1+利率)^(建设周期÷2)-1)")</f>
        <v>销售费用×((1+利率)^(建设周期÷2)-1)</v>
      </c>
      <c r="E24" s="684" t="s">
        <v>952</v>
      </c>
      <c r="F24" s="717">
        <f ca="1">'数据-取费表'!B40</f>
        <v>4.7500000000000001E-2</v>
      </c>
      <c r="G24" s="2289"/>
      <c r="H24" s="2678" t="s">
        <v>2618</v>
      </c>
      <c r="I24" s="2679" t="s">
        <v>367</v>
      </c>
      <c r="J24" s="2680">
        <f ca="1">ROUND(J5*M24,1)</f>
        <v>0</v>
      </c>
      <c r="K24" s="2681" t="s">
        <v>371</v>
      </c>
      <c r="L24" s="2679" t="s">
        <v>370</v>
      </c>
      <c r="M24" s="2675">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2384</v>
      </c>
      <c r="B25" s="684" t="s">
        <v>372</v>
      </c>
      <c r="C25" s="313"/>
      <c r="D25" s="471" t="s">
        <v>954</v>
      </c>
      <c r="E25" s="3366"/>
      <c r="F25" s="315"/>
      <c r="G25" s="2288"/>
      <c r="H25" s="2666" t="s">
        <v>2360</v>
      </c>
      <c r="I25" s="2683" t="s">
        <v>955</v>
      </c>
      <c r="J25" s="692">
        <f ca="1">J5-J16</f>
        <v>-1</v>
      </c>
      <c r="K25" s="2684" t="s">
        <v>378</v>
      </c>
      <c r="L25" s="2685"/>
      <c r="M25" s="2686"/>
    </row>
    <row r="26" spans="1:37" ht="18" customHeight="1">
      <c r="A26" s="2438" t="s">
        <v>2377</v>
      </c>
      <c r="B26" s="684" t="s">
        <v>2533</v>
      </c>
      <c r="C26" s="313">
        <f ca="1">ROUND((C19+C20)*F26,0)</f>
        <v>4</v>
      </c>
      <c r="D26" s="709" t="s">
        <v>957</v>
      </c>
      <c r="E26" s="695" t="s">
        <v>958</v>
      </c>
      <c r="F26" s="694">
        <f ca="1">INDIRECT("'数据-取费表'!q"&amp;$G$1)</f>
        <v>0.25</v>
      </c>
      <c r="G26" s="2288"/>
      <c r="H26" s="681" t="s">
        <v>2363</v>
      </c>
      <c r="I26" s="682" t="s">
        <v>959</v>
      </c>
      <c r="J26" s="683">
        <f ca="1">IF(J5&lt;&gt;0,ROUND(J25*(1-((1+M28)/(1+M26))^M27)/(M26-M28),0),0)</f>
        <v>0</v>
      </c>
      <c r="K26" s="710" t="s">
        <v>960</v>
      </c>
      <c r="L26" s="684" t="s">
        <v>374</v>
      </c>
      <c r="M26" s="694">
        <f ca="1">INDIRECT("'数据-取费表'!I"&amp;$G$1)</f>
        <v>0.05</v>
      </c>
    </row>
    <row r="27" spans="1:37" ht="18" customHeight="1">
      <c r="A27" s="2438" t="s">
        <v>2383</v>
      </c>
      <c r="B27" s="684" t="s">
        <v>375</v>
      </c>
      <c r="C27" s="313">
        <f ca="1">ROUND(F21*F26,4)</f>
        <v>5.0000000000000001E-3</v>
      </c>
      <c r="D27" s="709" t="s">
        <v>961</v>
      </c>
      <c r="E27" s="704"/>
      <c r="F27" s="705"/>
      <c r="G27" s="2288"/>
      <c r="H27" s="686"/>
      <c r="I27" s="687"/>
      <c r="J27" s="688"/>
      <c r="K27" s="718" t="s">
        <v>962</v>
      </c>
      <c r="L27" s="684" t="s">
        <v>381</v>
      </c>
      <c r="M27" s="719">
        <f ca="1">INDIRECT("'数据-取费表'!ag"&amp;$G$1)</f>
        <v>0</v>
      </c>
    </row>
    <row r="28" spans="1:37" s="706" customFormat="1" ht="18" customHeight="1">
      <c r="A28" s="2438" t="s">
        <v>2385</v>
      </c>
      <c r="B28" s="684" t="s">
        <v>376</v>
      </c>
      <c r="C28" s="313">
        <f>ROUND(F28/(1+'数据-取费表'!C42),4)</f>
        <v>5.33E-2</v>
      </c>
      <c r="D28" s="709" t="s">
        <v>968</v>
      </c>
      <c r="E28" s="684" t="s">
        <v>370</v>
      </c>
      <c r="F28" s="707">
        <f>'数据-取费表'!B41</f>
        <v>5.6000000000000001E-2</v>
      </c>
      <c r="G28" s="2289"/>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2386</v>
      </c>
      <c r="B29" s="2679" t="s">
        <v>970</v>
      </c>
      <c r="C29" s="2680">
        <f ca="1">ROUND((C19+C20+C23+C26)/(1-F21-C24-C27-C28),0)</f>
        <v>23</v>
      </c>
      <c r="D29" s="2681"/>
      <c r="E29" s="2679"/>
      <c r="F29" s="2682"/>
      <c r="G29" s="2289"/>
      <c r="H29" s="720" t="s">
        <v>2370</v>
      </c>
      <c r="I29" s="721" t="s">
        <v>963</v>
      </c>
      <c r="J29" s="722">
        <f ca="1">ROUND(J26/(1+F40)^F41,0)</f>
        <v>0</v>
      </c>
      <c r="K29" s="723" t="s">
        <v>964</v>
      </c>
      <c r="L29" s="724"/>
      <c r="M29" s="725">
        <f ca="1">INDIRECT("'数据-取费表'!k"&amp;$G$1)</f>
        <v>49.46</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2345</v>
      </c>
      <c r="B30" s="2667" t="s">
        <v>928</v>
      </c>
      <c r="C30" s="692">
        <f ca="1">ROUND(C31+C36+C37+C38,0)</f>
        <v>1</v>
      </c>
      <c r="D30" s="2676" t="s">
        <v>929</v>
      </c>
      <c r="E30" s="2677"/>
      <c r="F30" s="2628"/>
      <c r="G30" s="2288"/>
      <c r="H30" s="1277"/>
      <c r="I30" s="1278"/>
      <c r="J30" s="1279"/>
      <c r="K30" s="1280"/>
      <c r="L30" s="1281"/>
      <c r="M30" s="1282"/>
    </row>
    <row r="31" spans="1:37" ht="18" customHeight="1">
      <c r="A31" s="2438" t="s">
        <v>2380</v>
      </c>
      <c r="B31" s="684" t="s">
        <v>363</v>
      </c>
      <c r="C31" s="313">
        <f ca="1">ROUND(IF(项目基本情况!B11="自然人",C5*F31,C32+C33+C34),1)</f>
        <v>0.8</v>
      </c>
      <c r="D31" s="3355" t="s">
        <v>932</v>
      </c>
      <c r="E31" s="3358" t="s">
        <v>971</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2377</v>
      </c>
      <c r="B32" s="684" t="s">
        <v>934</v>
      </c>
      <c r="C32" s="313">
        <f ca="1">IF(项目基本情况!B11="自然人","——",ROUND(C5*F32/(1+'数据-取费表'!C42),2))</f>
        <v>0.59</v>
      </c>
      <c r="D32" s="3358" t="s">
        <v>935</v>
      </c>
      <c r="E32" s="684" t="s">
        <v>370</v>
      </c>
      <c r="F32" s="717">
        <f>'数据-取费表'!B41</f>
        <v>5.6000000000000001E-2</v>
      </c>
      <c r="G32" s="2288"/>
      <c r="H32" s="1283"/>
      <c r="I32" s="1284"/>
      <c r="J32" s="1285"/>
      <c r="K32" s="1286"/>
      <c r="L32" s="1287"/>
      <c r="M32" s="1288"/>
    </row>
    <row r="33" spans="1:18" ht="18" customHeight="1">
      <c r="A33" s="2438" t="s">
        <v>2612</v>
      </c>
      <c r="B33" s="684" t="s">
        <v>937</v>
      </c>
      <c r="C33" s="313">
        <f ca="1">IF(项目基本情况!B11="自然人","——",IF(D33="按租金收入计税",ROUND(C5*F33,2),IF(D33="按房产原值计税",ROUND(C29*F33*0.7,2),INDIRECT("'数据-取费表'!Aj"&amp;$G$1))))</f>
        <v>0.19</v>
      </c>
      <c r="D33" s="1300" t="s">
        <v>2420</v>
      </c>
      <c r="E33" s="684" t="s">
        <v>365</v>
      </c>
      <c r="F33" s="707">
        <f>IF(D33="按票据","——",IF(D33="按租金收入计税",'数据-取费表'!B51,'数据-取费表'!B50))</f>
        <v>1.2E-2</v>
      </c>
      <c r="G33" s="2288"/>
      <c r="H33" s="1289"/>
      <c r="I33" s="2884"/>
      <c r="J33" s="2885"/>
      <c r="K33" s="1290"/>
      <c r="L33" s="1289"/>
      <c r="M33" s="1289"/>
    </row>
    <row r="34" spans="1:18" ht="18" customHeight="1">
      <c r="A34" s="2622" t="s">
        <v>2613</v>
      </c>
      <c r="B34" s="496" t="s">
        <v>939</v>
      </c>
      <c r="C34" s="314">
        <f ca="1">IF(项目基本情况!B11="自然人","——",ROUND(F34*F35/10000,2))</f>
        <v>0</v>
      </c>
      <c r="D34" s="710" t="s">
        <v>940</v>
      </c>
      <c r="E34" s="684" t="s">
        <v>941</v>
      </c>
      <c r="F34" s="711">
        <f>'数据-取费表'!B52</f>
        <v>24</v>
      </c>
      <c r="G34" s="2288"/>
      <c r="H34" s="1277"/>
      <c r="I34" s="2884"/>
      <c r="J34" s="2885"/>
      <c r="K34" s="1291"/>
      <c r="L34" s="1292"/>
      <c r="M34" s="1292"/>
    </row>
    <row r="35" spans="1:18" ht="18" customHeight="1">
      <c r="A35" s="2696"/>
      <c r="B35" s="2694"/>
      <c r="C35" s="318"/>
      <c r="D35" s="713"/>
      <c r="E35" s="684" t="s">
        <v>945</v>
      </c>
      <c r="F35" s="685">
        <f ca="1">INDIRECT("'数据-取费表'!r"&amp;$G$1)</f>
        <v>0</v>
      </c>
      <c r="G35" s="2288"/>
      <c r="H35" s="1277"/>
      <c r="I35" s="2884"/>
      <c r="J35" s="2885"/>
      <c r="K35" s="1290"/>
      <c r="L35" s="1289"/>
      <c r="M35" s="1289"/>
    </row>
    <row r="36" spans="1:18" ht="18" customHeight="1">
      <c r="A36" s="2695" t="s">
        <v>2387</v>
      </c>
      <c r="B36" s="684" t="s">
        <v>947</v>
      </c>
      <c r="C36" s="313">
        <f ca="1">ROUND(C29*F36,1)</f>
        <v>0.3</v>
      </c>
      <c r="D36" s="3358" t="s">
        <v>977</v>
      </c>
      <c r="E36" s="684" t="s">
        <v>370</v>
      </c>
      <c r="F36" s="714">
        <f ca="1">INDIRECT("'数据-取费表'!Ak"&amp;$G$1)</f>
        <v>1.4999999999999999E-2</v>
      </c>
      <c r="G36" s="2288"/>
      <c r="H36" s="1289"/>
      <c r="I36" s="2884"/>
      <c r="J36" s="2885"/>
      <c r="K36" s="1293"/>
      <c r="L36" s="1289"/>
      <c r="M36" s="1289"/>
    </row>
    <row r="37" spans="1:18" ht="18" customHeight="1">
      <c r="A37" s="2438" t="s">
        <v>2617</v>
      </c>
      <c r="B37" s="684" t="s">
        <v>368</v>
      </c>
      <c r="C37" s="313">
        <f ca="1">ROUND(C13*F37,1)</f>
        <v>0</v>
      </c>
      <c r="D37" s="3358" t="s">
        <v>369</v>
      </c>
      <c r="E37" s="684" t="s">
        <v>370</v>
      </c>
      <c r="F37" s="716">
        <f ca="1">INDIRECT("'数据-取费表'!Al"&amp;$G$1)</f>
        <v>2E-3</v>
      </c>
      <c r="G37" s="2288"/>
      <c r="H37" s="1289"/>
      <c r="I37" s="2884"/>
      <c r="J37" s="2885"/>
      <c r="K37" s="1293"/>
      <c r="L37" s="1289"/>
      <c r="M37" s="1289"/>
    </row>
    <row r="38" spans="1:18" ht="18" customHeight="1" thickBot="1">
      <c r="A38" s="2678" t="s">
        <v>2618</v>
      </c>
      <c r="B38" s="2679" t="s">
        <v>367</v>
      </c>
      <c r="C38" s="2680">
        <f ca="1">ROUND(C5*F38,1)</f>
        <v>0.2</v>
      </c>
      <c r="D38" s="2681" t="s">
        <v>371</v>
      </c>
      <c r="E38" s="2679" t="s">
        <v>370</v>
      </c>
      <c r="F38" s="2675">
        <f ca="1">INDIRECT("'数据-取费表'!Am"&amp;$G$1)</f>
        <v>0.02</v>
      </c>
      <c r="G38" s="2288"/>
      <c r="H38" s="1289"/>
      <c r="I38" s="2884"/>
      <c r="J38" s="2885"/>
      <c r="K38" s="1294"/>
      <c r="L38" s="1289"/>
      <c r="M38" s="1289"/>
    </row>
    <row r="39" spans="1:18" ht="24.6" customHeight="1" thickTop="1">
      <c r="A39" s="2666" t="s">
        <v>2360</v>
      </c>
      <c r="B39" s="2683" t="s">
        <v>377</v>
      </c>
      <c r="C39" s="692">
        <f ca="1">C5-C30</f>
        <v>10</v>
      </c>
      <c r="D39" s="2684" t="s">
        <v>378</v>
      </c>
      <c r="E39" s="2685"/>
      <c r="F39" s="2686"/>
      <c r="G39" s="2288"/>
      <c r="H39" s="1289"/>
      <c r="I39" s="2884"/>
      <c r="J39" s="2885"/>
      <c r="K39" s="1294"/>
      <c r="L39" s="1289"/>
      <c r="M39" s="1289"/>
    </row>
    <row r="40" spans="1:18" ht="18" customHeight="1">
      <c r="A40" s="681" t="s">
        <v>2363</v>
      </c>
      <c r="B40" s="682" t="s">
        <v>379</v>
      </c>
      <c r="C40" s="683">
        <f ca="1">ROUND(C39*(1-((1+F42)/(1+F40))^F41)/(F40-F42),0)</f>
        <v>208</v>
      </c>
      <c r="D40" s="710" t="s">
        <v>373</v>
      </c>
      <c r="E40" s="684" t="s">
        <v>374</v>
      </c>
      <c r="F40" s="694">
        <f ca="1">INDIRECT("'数据-取费表'!I"&amp;$G$1)</f>
        <v>0.05</v>
      </c>
      <c r="G40" s="2288"/>
      <c r="H40" s="1295"/>
      <c r="I40" s="2884"/>
      <c r="J40" s="2885"/>
      <c r="K40" s="1294"/>
      <c r="L40" s="1295"/>
      <c r="M40" s="1295"/>
    </row>
    <row r="41" spans="1:18" ht="18" customHeight="1">
      <c r="A41" s="686"/>
      <c r="B41" s="687"/>
      <c r="C41" s="688"/>
      <c r="D41" s="718" t="s">
        <v>380</v>
      </c>
      <c r="E41" s="684" t="s">
        <v>381</v>
      </c>
      <c r="F41" s="719">
        <f ca="1">IF(INDIRECT("'数据-取费表'!af"&amp;$G$1)=0,INDIRECT("'数据-取费表'!ae"&amp;$G$1),INDIRECT("'数据-取费表'!af"&amp;$G$1))</f>
        <v>25.98</v>
      </c>
      <c r="G41" s="2288"/>
      <c r="H41" s="1191"/>
      <c r="I41" s="2884"/>
      <c r="J41" s="2885"/>
      <c r="K41" s="1293"/>
      <c r="L41" s="1191"/>
      <c r="M41" s="1191"/>
    </row>
    <row r="42" spans="1:18" ht="18" customHeight="1">
      <c r="A42" s="690"/>
      <c r="B42" s="691"/>
      <c r="C42" s="692"/>
      <c r="D42" s="713"/>
      <c r="E42" s="684" t="s">
        <v>382</v>
      </c>
      <c r="F42" s="694">
        <f ca="1">INDIRECT("'数据-取费表'!v"&amp;$G$1)</f>
        <v>3.5000000000000003E-2</v>
      </c>
      <c r="G42" s="2288"/>
      <c r="H42" s="1191"/>
      <c r="I42" s="2884"/>
      <c r="J42" s="2885"/>
      <c r="K42" s="1293"/>
      <c r="L42" s="1191"/>
      <c r="M42" s="1191"/>
    </row>
    <row r="43" spans="1:18" ht="18" customHeight="1" thickBot="1">
      <c r="A43" s="720" t="s">
        <v>2370</v>
      </c>
      <c r="B43" s="721" t="s">
        <v>383</v>
      </c>
      <c r="C43" s="722">
        <f ca="1">ROUND(C40*10000/F43,0)</f>
        <v>42054</v>
      </c>
      <c r="D43" s="723" t="s">
        <v>384</v>
      </c>
      <c r="E43" s="724" t="s">
        <v>385</v>
      </c>
      <c r="F43" s="725">
        <f ca="1">INDIRECT("'数据-取费表'!k"&amp;$G$1)</f>
        <v>49.46</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2493</v>
      </c>
      <c r="P45" s="1295"/>
      <c r="Q45" s="1295"/>
      <c r="R45" s="1295"/>
    </row>
    <row r="46" spans="1:18" s="1454" customFormat="1" ht="21" thickBot="1">
      <c r="A46" s="2396" t="s">
        <v>2332</v>
      </c>
      <c r="B46" s="2397"/>
      <c r="C46" s="2725">
        <f ca="1">C68-C40</f>
        <v>0</v>
      </c>
      <c r="D46" s="2726" t="str">
        <f>C2</f>
        <v>万元</v>
      </c>
      <c r="E46" s="1432"/>
      <c r="F46" s="1432"/>
      <c r="I46" s="2578" t="s">
        <v>2428</v>
      </c>
      <c r="J46" s="2579"/>
      <c r="K46" s="2580"/>
      <c r="L46" s="2582">
        <f ca="1">IF(M47="住宅",0,IF(L48&gt;J51,L60,J60))</f>
        <v>1</v>
      </c>
      <c r="O46" s="2594" t="s">
        <v>2471</v>
      </c>
      <c r="P46" s="2595" t="s">
        <v>2472</v>
      </c>
      <c r="Q46" s="2596" t="s">
        <v>2470</v>
      </c>
      <c r="R46" s="2596" t="s">
        <v>2473</v>
      </c>
    </row>
    <row r="47" spans="1:18" s="1454" customFormat="1" ht="15.75" thickBot="1">
      <c r="A47" s="2398" t="s">
        <v>912</v>
      </c>
      <c r="B47" s="2434" t="s">
        <v>913</v>
      </c>
      <c r="C47" s="2730" t="s">
        <v>914</v>
      </c>
      <c r="D47" s="2434" t="s">
        <v>915</v>
      </c>
      <c r="E47" s="2537" t="s">
        <v>916</v>
      </c>
      <c r="F47" s="2538"/>
      <c r="G47" s="1456"/>
      <c r="I47" s="2553" t="s">
        <v>2421</v>
      </c>
      <c r="J47" s="2554" t="s">
        <v>3083</v>
      </c>
      <c r="K47" s="2563" t="s">
        <v>2444</v>
      </c>
      <c r="L47" s="2564">
        <f ca="1">INDIRECT("'数据-取费表'!d"&amp;$G$1)</f>
        <v>40</v>
      </c>
      <c r="M47" s="2584" t="str">
        <f>IF(ISNUMBER(FIND("住宅",C1)),"住宅","非住宅")</f>
        <v>非住宅</v>
      </c>
      <c r="O47" s="2587" t="s">
        <v>2456</v>
      </c>
      <c r="P47" s="2597" t="s">
        <v>2474</v>
      </c>
      <c r="Q47" s="2588">
        <f ca="1">C40+J29</f>
        <v>208</v>
      </c>
      <c r="R47" s="2588" t="s">
        <v>2475</v>
      </c>
    </row>
    <row r="48" spans="1:18" s="1454" customFormat="1" ht="47.25" thickBot="1">
      <c r="A48" s="2711" t="s">
        <v>2623</v>
      </c>
      <c r="B48" s="682" t="s">
        <v>2339</v>
      </c>
      <c r="C48" s="3365">
        <f ca="1">C49+C53+C55</f>
        <v>11</v>
      </c>
      <c r="D48" s="2715"/>
      <c r="E48" s="2716"/>
      <c r="F48" s="2418"/>
      <c r="G48" s="1456"/>
      <c r="H48" s="1457"/>
      <c r="I48" s="2544" t="s">
        <v>2422</v>
      </c>
      <c r="J48" s="2555" t="s">
        <v>2423</v>
      </c>
      <c r="K48" s="2565" t="s">
        <v>681</v>
      </c>
      <c r="L48" s="2168">
        <f ca="1">INDIRECT("'数据-取费表'!f"&amp;$G$1)</f>
        <v>25.98</v>
      </c>
      <c r="O48" s="2587" t="s">
        <v>2457</v>
      </c>
      <c r="P48" s="2597" t="s">
        <v>2476</v>
      </c>
      <c r="Q48" s="2588">
        <f ca="1">J60</f>
        <v>1</v>
      </c>
      <c r="R48" s="2588" t="s">
        <v>2484</v>
      </c>
    </row>
    <row r="49" spans="1:18" s="1454" customFormat="1" ht="15.75" thickBot="1">
      <c r="A49" s="2431" t="s">
        <v>2624</v>
      </c>
      <c r="B49" s="2714" t="s">
        <v>2626</v>
      </c>
      <c r="C49" s="2723">
        <f ca="1">ROUND(F49*F51*F50*(1-F52)/10000,0)</f>
        <v>11</v>
      </c>
      <c r="D49" s="2533" t="s">
        <v>2340</v>
      </c>
      <c r="E49" s="2536" t="s">
        <v>2333</v>
      </c>
      <c r="F49" s="2539">
        <f ca="1">F6</f>
        <v>6.8</v>
      </c>
      <c r="G49" s="1458"/>
      <c r="H49" s="1457"/>
      <c r="I49" s="2544" t="s">
        <v>2442</v>
      </c>
      <c r="J49" s="2556">
        <v>2011</v>
      </c>
      <c r="K49" s="2566" t="s">
        <v>2447</v>
      </c>
      <c r="L49" s="2567"/>
      <c r="O49" s="2589" t="s">
        <v>2458</v>
      </c>
      <c r="P49" s="2597" t="s">
        <v>2477</v>
      </c>
      <c r="Q49" s="2588">
        <f ca="1">C29</f>
        <v>23</v>
      </c>
      <c r="R49" s="2588" t="s">
        <v>2475</v>
      </c>
    </row>
    <row r="50" spans="1:18" s="1454" customFormat="1" ht="15.75" thickBot="1">
      <c r="A50" s="2432"/>
      <c r="B50" s="2435"/>
      <c r="C50" s="2731"/>
      <c r="D50" s="2405"/>
      <c r="E50" s="2534" t="s">
        <v>918</v>
      </c>
      <c r="F50" s="2535">
        <f ca="1">F7</f>
        <v>49.46</v>
      </c>
      <c r="H50" s="1457"/>
      <c r="I50" s="2544" t="s">
        <v>2424</v>
      </c>
      <c r="J50" s="2557">
        <f>SUMPRODUCT((I63:I65=J47)*(J62:L62=J48)*(J63:L65))</f>
        <v>60</v>
      </c>
      <c r="K50" s="2566" t="s">
        <v>2448</v>
      </c>
      <c r="L50" s="2567"/>
      <c r="M50" s="2561"/>
      <c r="O50" s="2589" t="s">
        <v>2459</v>
      </c>
      <c r="P50" s="2597" t="s">
        <v>2485</v>
      </c>
      <c r="Q50" s="2590">
        <f ca="1">J58</f>
        <v>0.46700000000000003</v>
      </c>
      <c r="R50" s="2588"/>
    </row>
    <row r="51" spans="1:18" s="1454" customFormat="1" ht="15.75" thickBot="1">
      <c r="A51" s="2433"/>
      <c r="B51" s="2435"/>
      <c r="C51" s="2436"/>
      <c r="D51" s="2405"/>
      <c r="E51" s="2437" t="s">
        <v>919</v>
      </c>
      <c r="F51" s="685">
        <f ca="1">F8</f>
        <v>365</v>
      </c>
      <c r="I51" s="2558" t="s">
        <v>2429</v>
      </c>
      <c r="J51" s="2559">
        <f>IF(J49="",J50,J49+J50-YEAR('数据-取费表'!B2))</f>
        <v>54</v>
      </c>
      <c r="K51" s="2568" t="s">
        <v>2449</v>
      </c>
      <c r="L51" s="2581">
        <f ca="1">ROUND(-PV(INDIRECT("'数据-取费表'!h"&amp;$G$1),L48,(C39-C13*C76),0),0)</f>
        <v>131</v>
      </c>
      <c r="M51" s="2562"/>
      <c r="O51" s="2589" t="s">
        <v>2460</v>
      </c>
      <c r="P51" s="2597" t="s">
        <v>2486</v>
      </c>
      <c r="Q51" s="2590">
        <f>J52</f>
        <v>0.09</v>
      </c>
      <c r="R51" s="2588"/>
    </row>
    <row r="52" spans="1:18" s="1454" customFormat="1" ht="15.75" thickBot="1">
      <c r="A52" s="2433"/>
      <c r="B52" s="2435"/>
      <c r="C52" s="2436"/>
      <c r="D52" s="2405"/>
      <c r="E52" s="2437" t="s">
        <v>920</v>
      </c>
      <c r="F52" s="2532">
        <f ca="1">F9</f>
        <v>0.1</v>
      </c>
      <c r="I52" s="2560" t="s">
        <v>2452</v>
      </c>
      <c r="J52" s="2574">
        <v>0.09</v>
      </c>
      <c r="K52" s="2560" t="s">
        <v>2437</v>
      </c>
      <c r="L52" s="2574"/>
      <c r="M52" s="2397"/>
      <c r="O52" s="2589" t="s">
        <v>2461</v>
      </c>
      <c r="P52" s="2597" t="s">
        <v>2478</v>
      </c>
      <c r="Q52" s="2588">
        <f ca="1">J53</f>
        <v>25.98</v>
      </c>
      <c r="R52" s="2588" t="s">
        <v>2479</v>
      </c>
    </row>
    <row r="53" spans="1:18" s="1454" customFormat="1" ht="43.5" thickBot="1">
      <c r="A53" s="2829" t="s">
        <v>2625</v>
      </c>
      <c r="B53" s="433" t="s">
        <v>2535</v>
      </c>
      <c r="C53" s="698">
        <f ca="1">ROUND(IF(F53="押一",F49*F51*F50/12*F11,IF(F53="押二",F49*F51*F50/12*2*F11,IF(F53="押三",F49*F51*F50/12*3*F11,C54*F11)))/10000,0)</f>
        <v>0</v>
      </c>
      <c r="D53" s="2634" t="s">
        <v>2543</v>
      </c>
      <c r="E53" s="2097" t="s">
        <v>2537</v>
      </c>
      <c r="F53" s="2831" t="s">
        <v>3099</v>
      </c>
      <c r="I53" s="2570" t="s">
        <v>2454</v>
      </c>
      <c r="J53" s="2571">
        <f ca="1">IF(M47="住宅",J51,MIN(J51,L48))</f>
        <v>25.98</v>
      </c>
      <c r="K53" s="3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0"/>
      <c r="O53" s="2587" t="s">
        <v>2462</v>
      </c>
      <c r="P53" s="2597" t="s">
        <v>2480</v>
      </c>
      <c r="Q53" s="2588">
        <f ca="1">Q47+Q48</f>
        <v>209</v>
      </c>
      <c r="R53" s="2588" t="s">
        <v>2463</v>
      </c>
    </row>
    <row r="54" spans="1:18" s="1454" customFormat="1" ht="16.5" thickBot="1">
      <c r="A54" s="2830"/>
      <c r="B54" s="2624" t="s">
        <v>2702</v>
      </c>
      <c r="C54" s="2415"/>
      <c r="D54" s="2634"/>
      <c r="E54" s="3347"/>
      <c r="F54" s="2540"/>
      <c r="I54" s="2412"/>
      <c r="J54" s="2569"/>
      <c r="K54" s="2569"/>
      <c r="L54" s="2569"/>
      <c r="M54" s="1458"/>
      <c r="O54" s="2591" t="s">
        <v>2487</v>
      </c>
      <c r="P54" s="1295"/>
      <c r="Q54" s="1295"/>
      <c r="R54" s="1295"/>
    </row>
    <row r="55" spans="1:18" s="1454" customFormat="1" ht="15.75" thickBot="1">
      <c r="A55" s="2670" t="s">
        <v>2548</v>
      </c>
      <c r="B55" s="2671" t="s">
        <v>2536</v>
      </c>
      <c r="C55" s="2672"/>
      <c r="D55" s="2634"/>
      <c r="E55" s="3347"/>
      <c r="F55" s="2540"/>
      <c r="I55" s="3323" t="s">
        <v>2430</v>
      </c>
      <c r="J55" s="3322">
        <f ca="1">ROUND(IF(J47="钢混",J57/J50,1-(1-2%)*(J50-J57)/J50),3)</f>
        <v>0.46700000000000003</v>
      </c>
      <c r="K55" s="2551" t="s">
        <v>2431</v>
      </c>
      <c r="L55" s="2573"/>
      <c r="O55" s="2594" t="s">
        <v>2471</v>
      </c>
      <c r="P55" s="2595" t="s">
        <v>2472</v>
      </c>
      <c r="Q55" s="2596" t="s">
        <v>2470</v>
      </c>
      <c r="R55" s="2596" t="s">
        <v>2473</v>
      </c>
    </row>
    <row r="56" spans="1:18" s="1454" customFormat="1" ht="44.25" thickTop="1" thickBot="1">
      <c r="A56" s="2409">
        <v>2</v>
      </c>
      <c r="B56" s="2410" t="s">
        <v>921</v>
      </c>
      <c r="C56" s="608">
        <f ca="1">C13</f>
        <v>21</v>
      </c>
      <c r="D56" s="2698"/>
      <c r="E56" s="2411"/>
      <c r="F56" s="2540"/>
      <c r="I56" s="2543" t="s">
        <v>2432</v>
      </c>
      <c r="J56" s="2572" t="s">
        <v>41</v>
      </c>
      <c r="K56" s="2544" t="s">
        <v>2436</v>
      </c>
      <c r="L56" s="2168" t="str">
        <f ca="1">IF(L48&lt;J51,"——",L48-J51)</f>
        <v>——</v>
      </c>
      <c r="O56" s="2587" t="s">
        <v>2456</v>
      </c>
      <c r="P56" s="2597" t="s">
        <v>2474</v>
      </c>
      <c r="Q56" s="2588">
        <f ca="1">C40+J29</f>
        <v>208</v>
      </c>
      <c r="R56" s="2588" t="s">
        <v>2475</v>
      </c>
    </row>
    <row r="57" spans="1:18" s="1454" customFormat="1" ht="29.25" thickBot="1">
      <c r="A57" s="2541"/>
      <c r="B57" s="2402" t="s">
        <v>970</v>
      </c>
      <c r="C57" s="614">
        <f ca="1">C29</f>
        <v>23</v>
      </c>
      <c r="D57" s="2413"/>
      <c r="E57" s="2414"/>
      <c r="F57" s="2542"/>
      <c r="I57" s="2545" t="s">
        <v>2453</v>
      </c>
      <c r="J57" s="2549">
        <f ca="1">IF(OR(M47="住宅",J51&lt;L48,J56="是"),"——",J51-L48)</f>
        <v>28.02</v>
      </c>
      <c r="K57" s="2544" t="s">
        <v>2906</v>
      </c>
      <c r="L57" s="2168" t="str">
        <f ca="1">IF(L48&lt;J51,"——",IF(L55="比较法",L49,IF(L55="基准地价",L50,L51)))</f>
        <v>——</v>
      </c>
      <c r="O57" s="2587" t="s">
        <v>2457</v>
      </c>
      <c r="P57" s="2597" t="s">
        <v>2481</v>
      </c>
      <c r="Q57" s="2588">
        <f ca="1">L60</f>
        <v>0</v>
      </c>
      <c r="R57" s="2588" t="s">
        <v>2496</v>
      </c>
    </row>
    <row r="58" spans="1:18" s="1454" customFormat="1" ht="29.25" thickBot="1">
      <c r="A58" s="697" t="s">
        <v>2345</v>
      </c>
      <c r="B58" s="2410" t="s">
        <v>928</v>
      </c>
      <c r="C58" s="698">
        <f ca="1">ROUND(C59+C64+C65+C66,0)</f>
        <v>1</v>
      </c>
      <c r="D58" s="2416" t="s">
        <v>929</v>
      </c>
      <c r="E58" s="2417"/>
      <c r="F58" s="2418"/>
      <c r="I58" s="2545" t="s">
        <v>2433</v>
      </c>
      <c r="J58" s="3324">
        <f ca="1">IF(J55&lt;0.4,0.4,J55)</f>
        <v>0.46700000000000003</v>
      </c>
      <c r="K58" s="2568" t="s">
        <v>2907</v>
      </c>
      <c r="L58" s="2168">
        <f ca="1">IF(ISERROR(POWER(1+L52,L47-L48)*(POWER(1+L52,L48)-1)/(POWER(1+L52,L47)-1)),0,POWER(1+L52,L47-L48)*(POWER(1+L52,L48)-1)/(POWER(1+L52,L47)-1))</f>
        <v>0</v>
      </c>
      <c r="O58" s="2589" t="s">
        <v>2458</v>
      </c>
      <c r="P58" s="2597" t="s">
        <v>2488</v>
      </c>
      <c r="Q58" s="2588">
        <f>IF(L55="比较法",L49,IF(L55="基准地价",L50,0))</f>
        <v>0</v>
      </c>
      <c r="R58" s="2588" t="s">
        <v>2475</v>
      </c>
    </row>
    <row r="59" spans="1:18" s="1454" customFormat="1" ht="29.25" thickBot="1">
      <c r="A59" s="2438" t="s">
        <v>2380</v>
      </c>
      <c r="B59" s="2402" t="s">
        <v>363</v>
      </c>
      <c r="C59" s="313">
        <f ca="1">ROUND(IF(项目基本情况!B11="自然人",C48*F59,C60+C61+C62),1)</f>
        <v>0.8</v>
      </c>
      <c r="D59" s="2419" t="s">
        <v>932</v>
      </c>
      <c r="E59" s="2420" t="s">
        <v>933</v>
      </c>
      <c r="F59" s="708" t="str">
        <f ca="1">IF(项目基本情况!B11="企业","",IF(INDIRECT("'数据-取费表'!c"&amp;$G$1)="住宅",5%,IF(F49*F50*F51/12/(1+'数据-取费表'!C42)&gt;20000,12%,7%)))</f>
        <v/>
      </c>
      <c r="I59" s="2545" t="s">
        <v>2434</v>
      </c>
      <c r="J59" s="2549">
        <f ca="1">IF(OR(M47="住宅",J51&lt;L48,J56="是"),"——",ROUND(C29*J58,0))</f>
        <v>11</v>
      </c>
      <c r="K59" s="2568" t="s">
        <v>2908</v>
      </c>
      <c r="L59" s="2168">
        <f ca="1">IF(ISERROR(POWER(1+L52,L47-J51)*(POWER(1+L52,J51)-1)/(POWER(1+L52,L47)-1)),0,POWER(1+L52,L47-J51)*(POWER(1+L52,J51)-1)/(POWER(1+L52,L47)-1))</f>
        <v>0</v>
      </c>
      <c r="O59" s="2589" t="s">
        <v>2459</v>
      </c>
      <c r="P59" s="2597" t="s">
        <v>2489</v>
      </c>
      <c r="Q59" s="2590">
        <f>L52</f>
        <v>0</v>
      </c>
      <c r="R59" s="2588"/>
    </row>
    <row r="60" spans="1:18" s="1454" customFormat="1" ht="20.25" thickBot="1">
      <c r="A60" s="2438" t="s">
        <v>2377</v>
      </c>
      <c r="B60" s="2402" t="s">
        <v>934</v>
      </c>
      <c r="C60" s="313">
        <f ca="1">IF(项目基本情况!B11="自然人","——",ROUND(C48*F60/(1+'数据-取费表'!C42),2))</f>
        <v>0.59</v>
      </c>
      <c r="D60" s="2420" t="s">
        <v>935</v>
      </c>
      <c r="E60" s="2402" t="s">
        <v>370</v>
      </c>
      <c r="F60" s="717">
        <f t="shared" ref="F60:F66" si="0">F32</f>
        <v>5.6000000000000001E-2</v>
      </c>
      <c r="I60" s="2546" t="s">
        <v>2435</v>
      </c>
      <c r="J60" s="2550">
        <f ca="1">IF(OR(M47="住宅",J51&lt;L48,J56="是"),"0",ROUND(J59/(1+J52)^J53,0))</f>
        <v>1</v>
      </c>
      <c r="K60" s="2552" t="s">
        <v>2438</v>
      </c>
      <c r="L60" s="2550">
        <f ca="1">IF(OR(M47="住宅",L48&lt;J51),0,ROUND(L57*(L58/L59-1),0))</f>
        <v>0</v>
      </c>
      <c r="O60" s="2589" t="s">
        <v>2460</v>
      </c>
      <c r="P60" s="2597" t="s">
        <v>2490</v>
      </c>
      <c r="Q60" s="2588">
        <f ca="1">L58</f>
        <v>0</v>
      </c>
      <c r="R60" s="2588" t="s">
        <v>2465</v>
      </c>
    </row>
    <row r="61" spans="1:18" s="1454" customFormat="1" ht="20.25" thickBot="1">
      <c r="A61" s="2438" t="s">
        <v>2378</v>
      </c>
      <c r="B61" s="2402" t="s">
        <v>937</v>
      </c>
      <c r="C61" s="313">
        <f ca="1">IF(项目基本情况!B11="自然人","——",IF(D61="按租金收入计税",ROUND(C48*F61,2),IF(D61="按房产原值计税",ROUND(C57*F61*0.7,2),INDIRECT("'数据-取费表'!Aj"&amp;$G$1))))</f>
        <v>0.19</v>
      </c>
      <c r="D61" s="1300" t="s">
        <v>2420</v>
      </c>
      <c r="E61" s="2402" t="s">
        <v>370</v>
      </c>
      <c r="F61" s="707">
        <f t="shared" si="0"/>
        <v>1.2E-2</v>
      </c>
      <c r="I61" s="2412"/>
      <c r="J61" s="2412"/>
      <c r="K61" s="2412"/>
      <c r="L61" s="2412"/>
      <c r="O61" s="2589" t="s">
        <v>2461</v>
      </c>
      <c r="P61" s="2597" t="s">
        <v>2491</v>
      </c>
      <c r="Q61" s="2588">
        <f ca="1">L59</f>
        <v>0</v>
      </c>
      <c r="R61" s="2588" t="s">
        <v>2466</v>
      </c>
    </row>
    <row r="62" spans="1:18" s="1454" customFormat="1" ht="15.75" thickBot="1">
      <c r="A62" s="2438" t="s">
        <v>2379</v>
      </c>
      <c r="B62" s="2401" t="s">
        <v>939</v>
      </c>
      <c r="C62" s="314">
        <f ca="1">IF(项目基本情况!B11="自然人","——",ROUND(F62*F63/10000,2))</f>
        <v>0</v>
      </c>
      <c r="D62" s="2421" t="s">
        <v>940</v>
      </c>
      <c r="E62" s="2402" t="s">
        <v>941</v>
      </c>
      <c r="F62" s="711">
        <f t="shared" si="0"/>
        <v>24</v>
      </c>
      <c r="I62" s="2547" t="s">
        <v>2425</v>
      </c>
      <c r="J62" s="2548" t="s">
        <v>2426</v>
      </c>
      <c r="K62" s="2548" t="s">
        <v>2427</v>
      </c>
      <c r="L62" s="2548" t="s">
        <v>2423</v>
      </c>
      <c r="M62" s="3325" t="s">
        <v>3042</v>
      </c>
      <c r="O62" s="2587" t="s">
        <v>2462</v>
      </c>
      <c r="P62" s="2597" t="s">
        <v>2480</v>
      </c>
      <c r="Q62" s="2588">
        <f ca="1">Q56+Q57</f>
        <v>208</v>
      </c>
      <c r="R62" s="2588" t="s">
        <v>2463</v>
      </c>
    </row>
    <row r="63" spans="1:18" s="1454" customFormat="1" ht="16.5" thickBot="1">
      <c r="A63" s="712"/>
      <c r="B63" s="2408"/>
      <c r="C63" s="318"/>
      <c r="D63" s="2422"/>
      <c r="E63" s="2402" t="s">
        <v>945</v>
      </c>
      <c r="F63" s="685">
        <f t="shared" ca="1" si="0"/>
        <v>0</v>
      </c>
      <c r="I63" s="2547" t="s">
        <v>2439</v>
      </c>
      <c r="J63" s="3328">
        <v>70</v>
      </c>
      <c r="K63" s="3328">
        <v>50</v>
      </c>
      <c r="L63" s="3328">
        <v>80</v>
      </c>
      <c r="M63" s="3326">
        <v>0.02</v>
      </c>
      <c r="O63" s="2591" t="s">
        <v>2494</v>
      </c>
      <c r="P63" s="1295"/>
      <c r="Q63" s="1295"/>
      <c r="R63" s="1295"/>
    </row>
    <row r="64" spans="1:18" s="1454" customFormat="1" ht="15.75" thickBot="1">
      <c r="A64" s="2438" t="s">
        <v>2387</v>
      </c>
      <c r="B64" s="2402" t="s">
        <v>947</v>
      </c>
      <c r="C64" s="313">
        <f ca="1">ROUND(C57*F64,1)</f>
        <v>0.3</v>
      </c>
      <c r="D64" s="2420" t="s">
        <v>977</v>
      </c>
      <c r="E64" s="2402" t="s">
        <v>370</v>
      </c>
      <c r="F64" s="714">
        <f t="shared" ca="1" si="0"/>
        <v>1.4999999999999999E-2</v>
      </c>
      <c r="I64" s="2547" t="s">
        <v>107</v>
      </c>
      <c r="J64" s="3328">
        <v>50</v>
      </c>
      <c r="K64" s="3328">
        <v>35</v>
      </c>
      <c r="L64" s="3328">
        <v>60</v>
      </c>
      <c r="M64" s="3327">
        <v>0</v>
      </c>
      <c r="O64" s="2594" t="s">
        <v>2471</v>
      </c>
      <c r="P64" s="2595" t="s">
        <v>2472</v>
      </c>
      <c r="Q64" s="2596" t="s">
        <v>2470</v>
      </c>
      <c r="R64" s="2596" t="s">
        <v>2473</v>
      </c>
    </row>
    <row r="65" spans="1:18" s="1454" customFormat="1" ht="15.75" thickBot="1">
      <c r="A65" s="2438" t="s">
        <v>2381</v>
      </c>
      <c r="B65" s="2402" t="s">
        <v>368</v>
      </c>
      <c r="C65" s="313">
        <f ca="1">ROUND(C56*F65,1)</f>
        <v>0</v>
      </c>
      <c r="D65" s="2420" t="s">
        <v>369</v>
      </c>
      <c r="E65" s="2402" t="s">
        <v>370</v>
      </c>
      <c r="F65" s="716">
        <f t="shared" ca="1" si="0"/>
        <v>2E-3</v>
      </c>
      <c r="I65" s="2547" t="s">
        <v>2441</v>
      </c>
      <c r="J65" s="3328">
        <v>40</v>
      </c>
      <c r="K65" s="3328">
        <v>30</v>
      </c>
      <c r="L65" s="3328">
        <v>50</v>
      </c>
      <c r="M65" s="3326">
        <v>0.02</v>
      </c>
      <c r="O65" s="2587" t="s">
        <v>2456</v>
      </c>
      <c r="P65" s="2597" t="s">
        <v>2474</v>
      </c>
      <c r="Q65" s="2588">
        <f ca="1">C40+J29</f>
        <v>208</v>
      </c>
      <c r="R65" s="2588" t="s">
        <v>2475</v>
      </c>
    </row>
    <row r="66" spans="1:18" s="1454" customFormat="1" ht="20.25" thickBot="1">
      <c r="A66" s="2438" t="s">
        <v>2382</v>
      </c>
      <c r="B66" s="2402" t="s">
        <v>367</v>
      </c>
      <c r="C66" s="313">
        <f ca="1">ROUND(C48*F66,1)</f>
        <v>0.2</v>
      </c>
      <c r="D66" s="2420" t="s">
        <v>371</v>
      </c>
      <c r="E66" s="2402" t="s">
        <v>370</v>
      </c>
      <c r="F66" s="694">
        <f t="shared" ca="1" si="0"/>
        <v>0.02</v>
      </c>
      <c r="O66" s="2587" t="s">
        <v>2457</v>
      </c>
      <c r="P66" s="2597" t="s">
        <v>2481</v>
      </c>
      <c r="Q66" s="2588">
        <f ca="1">L60</f>
        <v>0</v>
      </c>
      <c r="R66" s="2588" t="s">
        <v>2464</v>
      </c>
    </row>
    <row r="67" spans="1:18" s="1454" customFormat="1" ht="24.75" thickBot="1">
      <c r="A67" s="2409" t="s">
        <v>2360</v>
      </c>
      <c r="B67" s="2423" t="s">
        <v>955</v>
      </c>
      <c r="C67" s="698">
        <f ca="1">C48-C58</f>
        <v>10</v>
      </c>
      <c r="D67" s="2419" t="s">
        <v>378</v>
      </c>
      <c r="E67" s="2424"/>
      <c r="F67" s="2425"/>
      <c r="O67" s="2589" t="s">
        <v>2458</v>
      </c>
      <c r="P67" s="2597" t="s">
        <v>2488</v>
      </c>
      <c r="Q67" s="2592">
        <f ca="1">L51</f>
        <v>131</v>
      </c>
      <c r="R67" s="2593" t="s">
        <v>2498</v>
      </c>
    </row>
    <row r="68" spans="1:18" s="1454" customFormat="1" ht="20.25" thickBot="1">
      <c r="A68" s="2399" t="s">
        <v>2363</v>
      </c>
      <c r="B68" s="2400" t="s">
        <v>379</v>
      </c>
      <c r="C68" s="683">
        <f ca="1">ROUND(C67*(1-((1+F70)/(1+F68))^F69)/(F68-F70),0)</f>
        <v>208</v>
      </c>
      <c r="D68" s="2421" t="s">
        <v>960</v>
      </c>
      <c r="E68" s="2402" t="s">
        <v>374</v>
      </c>
      <c r="F68" s="694">
        <f ca="1">F40</f>
        <v>0.05</v>
      </c>
      <c r="O68" s="2589" t="s">
        <v>2459</v>
      </c>
      <c r="P68" s="2598" t="s">
        <v>2492</v>
      </c>
      <c r="Q68" s="2588">
        <f ca="1">ROUND(Q69-Q70*Q71,0)</f>
        <v>8</v>
      </c>
      <c r="R68" s="2588" t="s">
        <v>2497</v>
      </c>
    </row>
    <row r="69" spans="1:18" s="1454" customFormat="1" ht="15.75" thickBot="1">
      <c r="A69" s="2403"/>
      <c r="B69" s="2404"/>
      <c r="C69" s="688"/>
      <c r="D69" s="2426" t="s">
        <v>962</v>
      </c>
      <c r="E69" s="2402" t="s">
        <v>381</v>
      </c>
      <c r="F69" s="719">
        <f ca="1">F41</f>
        <v>25.98</v>
      </c>
      <c r="O69" s="2589" t="s">
        <v>2467</v>
      </c>
      <c r="P69" s="2598" t="s">
        <v>2482</v>
      </c>
      <c r="Q69" s="2588">
        <f ca="1">C39</f>
        <v>10</v>
      </c>
      <c r="R69" s="2588" t="s">
        <v>2475</v>
      </c>
    </row>
    <row r="70" spans="1:18" s="1454" customFormat="1" ht="15.75" thickBot="1">
      <c r="A70" s="2406"/>
      <c r="B70" s="2407"/>
      <c r="C70" s="692"/>
      <c r="D70" s="2422"/>
      <c r="E70" s="2402" t="s">
        <v>382</v>
      </c>
      <c r="F70" s="2532">
        <f ca="1">F42</f>
        <v>3.5000000000000003E-2</v>
      </c>
      <c r="O70" s="2589" t="s">
        <v>2468</v>
      </c>
      <c r="P70" s="2598" t="s">
        <v>2483</v>
      </c>
      <c r="Q70" s="2588">
        <f ca="1">C13</f>
        <v>21</v>
      </c>
      <c r="R70" s="2588" t="s">
        <v>2475</v>
      </c>
    </row>
    <row r="71" spans="1:18" s="1454" customFormat="1" ht="15.75" thickBot="1">
      <c r="A71" s="2427" t="s">
        <v>2370</v>
      </c>
      <c r="B71" s="2428" t="s">
        <v>2371</v>
      </c>
      <c r="C71" s="722">
        <f ca="1">ROUND(C68*10000/F71,0)</f>
        <v>42054</v>
      </c>
      <c r="D71" s="2429" t="s">
        <v>384</v>
      </c>
      <c r="E71" s="2430" t="s">
        <v>2373</v>
      </c>
      <c r="F71" s="725">
        <f ca="1">F43</f>
        <v>49.46</v>
      </c>
      <c r="I71" s="2397"/>
      <c r="K71" s="2397"/>
      <c r="O71" s="2589" t="s">
        <v>2469</v>
      </c>
      <c r="P71" s="2598" t="s">
        <v>2495</v>
      </c>
      <c r="Q71" s="2590">
        <f ca="1">C76</f>
        <v>8.5000000000000006E-2</v>
      </c>
      <c r="R71" s="2588"/>
    </row>
    <row r="72" spans="1:18" s="1454" customFormat="1" ht="15.75" thickBot="1">
      <c r="B72" s="1459"/>
      <c r="C72" s="1459"/>
      <c r="I72" s="2397"/>
      <c r="O72" s="2589" t="s">
        <v>2460</v>
      </c>
      <c r="P72" s="2597" t="s">
        <v>2489</v>
      </c>
      <c r="Q72" s="2590">
        <f>L52</f>
        <v>0</v>
      </c>
      <c r="R72" s="2588"/>
    </row>
    <row r="73" spans="1:18" ht="20.25" thickBot="1">
      <c r="A73" s="1454"/>
      <c r="B73" s="1459"/>
      <c r="C73" s="1459"/>
      <c r="D73" s="1454"/>
      <c r="E73" s="1454"/>
      <c r="F73" s="1454"/>
      <c r="I73" s="2583"/>
      <c r="O73" s="2589" t="s">
        <v>2461</v>
      </c>
      <c r="P73" s="2597" t="s">
        <v>2490</v>
      </c>
      <c r="Q73" s="2588">
        <f ca="1">L58</f>
        <v>0</v>
      </c>
      <c r="R73" s="2588" t="s">
        <v>2465</v>
      </c>
    </row>
    <row r="74" spans="1:18" ht="20.25" thickBot="1">
      <c r="A74" s="1454"/>
      <c r="B74" s="727" t="s">
        <v>386</v>
      </c>
      <c r="C74" s="728"/>
      <c r="D74" s="1454"/>
      <c r="E74" s="1454"/>
      <c r="F74" s="1454"/>
      <c r="O74" s="2589" t="s">
        <v>2499</v>
      </c>
      <c r="P74" s="2597" t="s">
        <v>2491</v>
      </c>
      <c r="Q74" s="2588">
        <f ca="1">L59</f>
        <v>0</v>
      </c>
      <c r="R74" s="2588" t="s">
        <v>2466</v>
      </c>
    </row>
    <row r="75" spans="1:18" ht="15.75" thickBot="1">
      <c r="A75" s="1454"/>
      <c r="B75" s="729" t="s">
        <v>975</v>
      </c>
      <c r="C75" s="730">
        <f ca="1">ROUND(C13*C76,0)</f>
        <v>2</v>
      </c>
      <c r="D75" s="1454"/>
      <c r="E75" s="1454"/>
      <c r="F75" s="1454"/>
      <c r="K75" s="1455"/>
      <c r="L75" s="1454"/>
      <c r="O75" s="2587" t="s">
        <v>2462</v>
      </c>
      <c r="P75" s="2597" t="s">
        <v>2480</v>
      </c>
      <c r="Q75" s="2588">
        <f ca="1">Q65+Q66</f>
        <v>208</v>
      </c>
      <c r="R75" s="2588" t="s">
        <v>2463</v>
      </c>
    </row>
    <row r="76" spans="1:18">
      <c r="B76" s="731" t="s">
        <v>976</v>
      </c>
      <c r="C76" s="732">
        <f ca="1">INDIRECT("'数据-取费表'!j"&amp;$G$1)</f>
        <v>8.5000000000000006E-2</v>
      </c>
      <c r="I76" s="1454"/>
      <c r="J76" s="1454"/>
      <c r="K76" s="1455"/>
      <c r="L76" s="1454"/>
    </row>
    <row r="77" spans="1:18">
      <c r="B77" s="733" t="s">
        <v>979</v>
      </c>
      <c r="C77" s="734"/>
      <c r="I77" s="1454"/>
      <c r="J77" s="1454"/>
      <c r="K77" s="1455"/>
      <c r="L77" s="1454"/>
    </row>
    <row r="78" spans="1:18">
      <c r="B78" s="646" t="s">
        <v>965</v>
      </c>
      <c r="C78" s="735"/>
    </row>
    <row r="79" spans="1:18">
      <c r="B79" s="2876" t="s">
        <v>2707</v>
      </c>
      <c r="C79" s="650">
        <f ca="1">1-C80</f>
        <v>0.8</v>
      </c>
    </row>
    <row r="80" spans="1:18">
      <c r="B80" s="2876" t="s">
        <v>2706</v>
      </c>
      <c r="C80" s="650">
        <f ca="1">ROUND(C75/C39,3)</f>
        <v>0.2</v>
      </c>
    </row>
    <row r="81" spans="2:3">
      <c r="B81" s="646" t="s">
        <v>387</v>
      </c>
      <c r="C81" s="647"/>
    </row>
    <row r="82" spans="2:3">
      <c r="B82" s="2875" t="s">
        <v>2705</v>
      </c>
      <c r="C82" s="651">
        <f ca="1">1-C83</f>
        <v>0.89900000000000002</v>
      </c>
    </row>
    <row r="83" spans="2:3">
      <c r="B83" s="2875" t="s">
        <v>2704</v>
      </c>
      <c r="C83" s="650">
        <f ca="1">ROUND(C13/C40,3)</f>
        <v>0.10100000000000001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K17" sqref="K1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t="s">
        <v>3048</v>
      </c>
      <c r="E1" s="3110"/>
      <c r="F1" s="3109" t="s">
        <v>3102</v>
      </c>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f>IF(C2="——",ROUND(C49*D3/10000,0),ROUND(C49*D3/10000,0)-D2)</f>
        <v>0</v>
      </c>
      <c r="C2" s="3101" t="s">
        <v>530</v>
      </c>
      <c r="D2" s="2724">
        <f ca="1">SUMIF(INDIRECT("'"&amp;F2&amp;"'"&amp;"!A:A"),"承租人权益价值",INDIRECT("'"&amp;F2&amp;"'"&amp;"!c:c"))</f>
        <v>0</v>
      </c>
      <c r="E2" s="3102" t="s">
        <v>869</v>
      </c>
      <c r="F2" s="3103" t="s">
        <v>3154</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f>IF(C2="——",C49,ROUND(B2*10000/D3,0))</f>
        <v>6.8</v>
      </c>
      <c r="C3" s="142" t="s">
        <v>168</v>
      </c>
      <c r="D3" s="742">
        <f>IF(D1="",'数据-汇总表'!E3,SUMIF('数据-汇总表'!$C19:$C33,D1,'数据-汇总表'!$E19:$E33))</f>
        <v>49.46</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89" t="s">
        <v>54</v>
      </c>
      <c r="D4" s="3590"/>
      <c r="E4" s="3591" t="s">
        <v>55</v>
      </c>
      <c r="F4" s="3592"/>
      <c r="G4" s="3589" t="s">
        <v>56</v>
      </c>
      <c r="H4" s="3590"/>
      <c r="I4" s="3589" t="s">
        <v>57</v>
      </c>
      <c r="J4" s="3590"/>
      <c r="K4" s="187" t="s">
        <v>58</v>
      </c>
      <c r="L4" s="2295"/>
      <c r="M4" s="2296"/>
      <c r="N4" s="2296"/>
      <c r="O4" s="2296"/>
      <c r="P4" s="3593" t="s">
        <v>53</v>
      </c>
      <c r="Q4" s="3594"/>
      <c r="R4" s="3599" t="s">
        <v>55</v>
      </c>
      <c r="S4" s="3600"/>
      <c r="T4" s="3599" t="s">
        <v>56</v>
      </c>
      <c r="U4" s="3600"/>
      <c r="V4" s="3584" t="s">
        <v>57</v>
      </c>
      <c r="W4" s="3584"/>
      <c r="X4" s="3360"/>
      <c r="Y4" s="3599" t="s">
        <v>53</v>
      </c>
      <c r="Z4" s="3600"/>
      <c r="AA4" s="3586" t="s">
        <v>55</v>
      </c>
      <c r="AB4" s="3584" t="s">
        <v>56</v>
      </c>
      <c r="AC4" s="3586" t="s">
        <v>57</v>
      </c>
    </row>
    <row r="5" spans="1:29">
      <c r="A5" s="146"/>
      <c r="B5" s="147"/>
      <c r="C5" s="3607" t="s">
        <v>59</v>
      </c>
      <c r="D5" s="3608"/>
      <c r="E5" s="3614" t="s">
        <v>3167</v>
      </c>
      <c r="F5" s="3615"/>
      <c r="G5" s="3607" t="s">
        <v>3168</v>
      </c>
      <c r="H5" s="3608"/>
      <c r="I5" s="3607" t="s">
        <v>3169</v>
      </c>
      <c r="J5" s="3608"/>
      <c r="K5" s="187"/>
      <c r="L5" s="2295"/>
      <c r="M5" s="2296"/>
      <c r="N5" s="2296"/>
      <c r="O5" s="2296"/>
      <c r="P5" s="3595"/>
      <c r="Q5" s="3596"/>
      <c r="R5" s="3601"/>
      <c r="S5" s="3602"/>
      <c r="T5" s="3601"/>
      <c r="U5" s="3602"/>
      <c r="V5" s="3584"/>
      <c r="W5" s="3584"/>
      <c r="X5" s="3360"/>
      <c r="Y5" s="3601"/>
      <c r="Z5" s="3602"/>
      <c r="AA5" s="3587"/>
      <c r="AB5" s="3584"/>
      <c r="AC5" s="3587"/>
    </row>
    <row r="6" spans="1:29" ht="14.25" thickBot="1">
      <c r="A6" s="148"/>
      <c r="B6" s="149"/>
      <c r="C6" s="3605" t="s">
        <v>63</v>
      </c>
      <c r="D6" s="3606"/>
      <c r="E6" s="3612" t="s">
        <v>63</v>
      </c>
      <c r="F6" s="3613"/>
      <c r="G6" s="3605" t="s">
        <v>63</v>
      </c>
      <c r="H6" s="3606"/>
      <c r="I6" s="3605" t="s">
        <v>63</v>
      </c>
      <c r="J6" s="3606"/>
      <c r="K6" s="187" t="s">
        <v>117</v>
      </c>
      <c r="L6" s="2295"/>
      <c r="M6" s="2296"/>
      <c r="N6" s="2296"/>
      <c r="O6" s="2296"/>
      <c r="P6" s="3597"/>
      <c r="Q6" s="3598"/>
      <c r="R6" s="3601"/>
      <c r="S6" s="3602"/>
      <c r="T6" s="3603"/>
      <c r="U6" s="3604"/>
      <c r="V6" s="3584"/>
      <c r="W6" s="3584"/>
      <c r="X6" s="3360"/>
      <c r="Y6" s="3603"/>
      <c r="Z6" s="3604"/>
      <c r="AA6" s="3588"/>
      <c r="AB6" s="3584"/>
      <c r="AC6" s="3588"/>
    </row>
    <row r="7" spans="1:29" s="40" customFormat="1" ht="15" thickBot="1">
      <c r="A7" s="1013" t="s">
        <v>64</v>
      </c>
      <c r="B7" s="1014"/>
      <c r="C7" s="1015">
        <f>'数据-取费表'!B2</f>
        <v>43040</v>
      </c>
      <c r="D7" s="754">
        <v>100</v>
      </c>
      <c r="E7" s="1016">
        <v>43040</v>
      </c>
      <c r="F7" s="756">
        <f>SUMIF(58:58,YEAR(E7)&amp;"-"&amp;MONTH(E7),59:59)</f>
        <v>100</v>
      </c>
      <c r="G7" s="1016">
        <v>43040</v>
      </c>
      <c r="H7" s="754">
        <f>SUMIF(58:58,YEAR(G7)&amp;"-"&amp;MONTH(G7),59:59)</f>
        <v>100</v>
      </c>
      <c r="I7" s="1016">
        <v>43040</v>
      </c>
      <c r="J7" s="754">
        <f>SUMIF(58:58,YEAR(I7)&amp;"-"&amp;MONTH(I7),59:59)</f>
        <v>100</v>
      </c>
      <c r="K7" s="1018"/>
      <c r="L7" s="2297"/>
      <c r="M7" s="2259"/>
      <c r="N7" s="2259"/>
      <c r="O7" s="2259"/>
      <c r="P7" s="3609" t="s">
        <v>64</v>
      </c>
      <c r="Q7" s="3611"/>
      <c r="R7" s="1341" t="s">
        <v>65</v>
      </c>
      <c r="S7" s="1342">
        <f t="shared" ref="S7:S15" si="0">F7</f>
        <v>100</v>
      </c>
      <c r="T7" s="1341" t="s">
        <v>65</v>
      </c>
      <c r="U7" s="1342">
        <f t="shared" ref="U7:U15" si="1">H7</f>
        <v>100</v>
      </c>
      <c r="V7" s="1341" t="s">
        <v>65</v>
      </c>
      <c r="W7" s="1342">
        <f t="shared" ref="W7:W15" si="2">J7</f>
        <v>100</v>
      </c>
      <c r="X7" s="287"/>
      <c r="Y7" s="3609" t="s">
        <v>64</v>
      </c>
      <c r="Z7" s="3610"/>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7"/>
      <c r="M8" s="2259"/>
      <c r="N8" s="2259"/>
      <c r="O8" s="2259"/>
      <c r="P8" s="3609" t="s">
        <v>66</v>
      </c>
      <c r="Q8" s="3610"/>
      <c r="R8" s="1341" t="s">
        <v>65</v>
      </c>
      <c r="S8" s="1342">
        <f t="shared" si="0"/>
        <v>100</v>
      </c>
      <c r="T8" s="1341" t="s">
        <v>65</v>
      </c>
      <c r="U8" s="1342">
        <f t="shared" si="1"/>
        <v>100</v>
      </c>
      <c r="V8" s="1341" t="s">
        <v>65</v>
      </c>
      <c r="W8" s="1342">
        <f t="shared" si="2"/>
        <v>100</v>
      </c>
      <c r="X8" s="287"/>
      <c r="Y8" s="3609" t="s">
        <v>66</v>
      </c>
      <c r="Z8" s="3610"/>
      <c r="AA8" s="1343">
        <f t="shared" ref="AA8:AA46" si="3">D8/F8</f>
        <v>1</v>
      </c>
      <c r="AB8" s="1343">
        <f t="shared" ref="AB8:AB46" si="4">D8/H8</f>
        <v>1</v>
      </c>
      <c r="AC8" s="1343">
        <f t="shared" ref="AC8:AC46" si="5">D8/J8</f>
        <v>1</v>
      </c>
    </row>
    <row r="9" spans="1:29" s="40" customFormat="1" ht="14.25">
      <c r="A9" s="1020" t="s">
        <v>67</v>
      </c>
      <c r="B9" s="62" t="s">
        <v>68</v>
      </c>
      <c r="C9" s="1345" t="s">
        <v>3126</v>
      </c>
      <c r="D9" s="425">
        <v>100</v>
      </c>
      <c r="E9" s="1346" t="s">
        <v>3048</v>
      </c>
      <c r="F9" s="761">
        <f>SUMIF(63:63,E9,64:64)-SUMIF(63:63,C9,64:64)+100</f>
        <v>100</v>
      </c>
      <c r="G9" s="1346" t="s">
        <v>3048</v>
      </c>
      <c r="H9" s="425">
        <f>SUMIF(63:63,G9,64:64)-SUMIF(63:63,C9,64:64)+100</f>
        <v>100</v>
      </c>
      <c r="I9" s="1346" t="s">
        <v>3048</v>
      </c>
      <c r="J9" s="425">
        <f>SUMIF(63:63,I9,64:64)-SUMIF(63:63,C9,64:64)+100</f>
        <v>100</v>
      </c>
      <c r="K9" s="1018"/>
      <c r="L9" s="2297"/>
      <c r="M9" s="2259"/>
      <c r="N9" s="2259"/>
      <c r="O9" s="2259"/>
      <c r="P9" s="3585" t="s">
        <v>67</v>
      </c>
      <c r="Q9" s="3343" t="str">
        <f t="shared" ref="Q9:Q15" si="6">B9</f>
        <v>用途</v>
      </c>
      <c r="R9" s="1341" t="s">
        <v>65</v>
      </c>
      <c r="S9" s="1342">
        <f t="shared" si="0"/>
        <v>100</v>
      </c>
      <c r="T9" s="1341" t="s">
        <v>65</v>
      </c>
      <c r="U9" s="1342">
        <f t="shared" si="1"/>
        <v>100</v>
      </c>
      <c r="V9" s="1341" t="s">
        <v>65</v>
      </c>
      <c r="W9" s="1342">
        <f t="shared" si="2"/>
        <v>100</v>
      </c>
      <c r="X9" s="287"/>
      <c r="Y9" s="3420" t="s">
        <v>67</v>
      </c>
      <c r="Z9" s="3344" t="str">
        <f t="shared" ref="Z9:Z15" si="7">Q9</f>
        <v>用途</v>
      </c>
      <c r="AA9" s="1343">
        <f t="shared" si="3"/>
        <v>1</v>
      </c>
      <c r="AB9" s="1343">
        <f t="shared" si="4"/>
        <v>1</v>
      </c>
      <c r="AC9" s="1343">
        <f t="shared" si="5"/>
        <v>1</v>
      </c>
    </row>
    <row r="10" spans="1:29" s="92" customFormat="1" ht="27">
      <c r="A10" s="150"/>
      <c r="B10" s="3357" t="s">
        <v>106</v>
      </c>
      <c r="C10" s="1348" t="s">
        <v>3153</v>
      </c>
      <c r="D10" s="426">
        <v>100</v>
      </c>
      <c r="E10" s="1349" t="s">
        <v>3153</v>
      </c>
      <c r="F10" s="767">
        <f>SUMIF(65:65,E10,66:66)-SUMIF(65:65,C10,66:66)+100</f>
        <v>100</v>
      </c>
      <c r="G10" s="1348" t="s">
        <v>3153</v>
      </c>
      <c r="H10" s="426">
        <f>SUMIF(65:65,G10,66:66)-SUMIF(65:65,C10,66:66)+100</f>
        <v>100</v>
      </c>
      <c r="I10" s="1348" t="s">
        <v>3153</v>
      </c>
      <c r="J10" s="426">
        <f>SUMIF(65:65,I10,66:66)-SUMIF(65:65,C10,66:66)+100</f>
        <v>100</v>
      </c>
      <c r="K10" s="954">
        <v>2</v>
      </c>
      <c r="L10" s="2298"/>
      <c r="M10" s="2299"/>
      <c r="N10" s="2299"/>
      <c r="O10" s="2299"/>
      <c r="P10" s="3585"/>
      <c r="Q10" s="3343" t="str">
        <f t="shared" si="6"/>
        <v>土地使用年限（年）</v>
      </c>
      <c r="R10" s="1341" t="s">
        <v>65</v>
      </c>
      <c r="S10" s="1342">
        <f t="shared" si="0"/>
        <v>100</v>
      </c>
      <c r="T10" s="1341" t="s">
        <v>65</v>
      </c>
      <c r="U10" s="1342">
        <f t="shared" si="1"/>
        <v>100</v>
      </c>
      <c r="V10" s="1341" t="s">
        <v>65</v>
      </c>
      <c r="W10" s="1342">
        <f t="shared" si="2"/>
        <v>100</v>
      </c>
      <c r="X10" s="287"/>
      <c r="Y10" s="3420"/>
      <c r="Z10" s="3344" t="str">
        <f t="shared" si="7"/>
        <v>土地使用年限（年）</v>
      </c>
      <c r="AA10" s="1343">
        <f t="shared" si="3"/>
        <v>1</v>
      </c>
      <c r="AB10" s="1343">
        <f t="shared" si="4"/>
        <v>1</v>
      </c>
      <c r="AC10" s="1343">
        <f t="shared" si="5"/>
        <v>1</v>
      </c>
    </row>
    <row r="11" spans="1:29" ht="15">
      <c r="A11" s="151"/>
      <c r="B11" s="3357" t="s">
        <v>93</v>
      </c>
      <c r="C11" s="771"/>
      <c r="D11" s="426">
        <v>100</v>
      </c>
      <c r="E11" s="772"/>
      <c r="F11" s="767">
        <f>LOOKUP(E11,68:68,69:69)-LOOKUP(C11,68:68,69:69)+100</f>
        <v>100</v>
      </c>
      <c r="G11" s="771"/>
      <c r="H11" s="426">
        <f>LOOKUP(G11,68:68,69:69)-LOOKUP(C11,68:68,69:69)+100</f>
        <v>100</v>
      </c>
      <c r="I11" s="771"/>
      <c r="J11" s="426">
        <f>LOOKUP(I11,68:68,69:69)-LOOKUP(C11,68:68,69:69)+100</f>
        <v>100</v>
      </c>
      <c r="K11" s="954">
        <v>2</v>
      </c>
      <c r="L11" s="2300"/>
      <c r="M11" s="2296"/>
      <c r="N11" s="2296"/>
      <c r="O11" s="2296"/>
      <c r="P11" s="3585"/>
      <c r="Q11" s="3343" t="str">
        <f t="shared" si="6"/>
        <v>容积率</v>
      </c>
      <c r="R11" s="1341" t="s">
        <v>65</v>
      </c>
      <c r="S11" s="1342">
        <f t="shared" si="0"/>
        <v>100</v>
      </c>
      <c r="T11" s="1341" t="s">
        <v>65</v>
      </c>
      <c r="U11" s="1342">
        <f t="shared" si="1"/>
        <v>100</v>
      </c>
      <c r="V11" s="1341" t="s">
        <v>65</v>
      </c>
      <c r="W11" s="1342">
        <f t="shared" si="2"/>
        <v>100</v>
      </c>
      <c r="X11" s="287"/>
      <c r="Y11" s="3420"/>
      <c r="Z11" s="3344"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7"/>
      <c r="M12" s="2259"/>
      <c r="N12" s="2259"/>
      <c r="O12" s="2259"/>
      <c r="P12" s="3585"/>
      <c r="Q12" s="3343">
        <f t="shared" si="6"/>
        <v>111</v>
      </c>
      <c r="R12" s="1341" t="s">
        <v>65</v>
      </c>
      <c r="S12" s="1342">
        <f t="shared" si="0"/>
        <v>100</v>
      </c>
      <c r="T12" s="1341" t="s">
        <v>65</v>
      </c>
      <c r="U12" s="1342">
        <f t="shared" si="1"/>
        <v>100</v>
      </c>
      <c r="V12" s="1341" t="s">
        <v>65</v>
      </c>
      <c r="W12" s="1342">
        <f t="shared" si="2"/>
        <v>100</v>
      </c>
      <c r="X12" s="287"/>
      <c r="Y12" s="3420"/>
      <c r="Z12" s="3344">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585"/>
      <c r="Q13" s="3343">
        <f t="shared" si="6"/>
        <v>111</v>
      </c>
      <c r="R13" s="1341" t="s">
        <v>65</v>
      </c>
      <c r="S13" s="1342">
        <f t="shared" si="0"/>
        <v>100</v>
      </c>
      <c r="T13" s="1341" t="s">
        <v>65</v>
      </c>
      <c r="U13" s="1342">
        <f t="shared" si="1"/>
        <v>100</v>
      </c>
      <c r="V13" s="1341" t="s">
        <v>65</v>
      </c>
      <c r="W13" s="1342">
        <f t="shared" si="2"/>
        <v>100</v>
      </c>
      <c r="X13" s="287"/>
      <c r="Y13" s="3420"/>
      <c r="Z13" s="3344">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585"/>
      <c r="Q14" s="3343">
        <f t="shared" si="6"/>
        <v>111</v>
      </c>
      <c r="R14" s="1341" t="s">
        <v>65</v>
      </c>
      <c r="S14" s="1342">
        <f t="shared" si="0"/>
        <v>100</v>
      </c>
      <c r="T14" s="1341" t="s">
        <v>65</v>
      </c>
      <c r="U14" s="1342">
        <f t="shared" si="1"/>
        <v>100</v>
      </c>
      <c r="V14" s="1341" t="s">
        <v>65</v>
      </c>
      <c r="W14" s="1342">
        <f t="shared" si="2"/>
        <v>100</v>
      </c>
      <c r="X14" s="287"/>
      <c r="Y14" s="3420"/>
      <c r="Z14" s="3344">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97</v>
      </c>
      <c r="G15" s="96"/>
      <c r="H15" s="783">
        <f>SUMIF(76:76,G16,77:77)-SUMIF(76:76,C16,77:77)+100</f>
        <v>97</v>
      </c>
      <c r="I15" s="95"/>
      <c r="J15" s="783">
        <f>SUMIF(76:76,I16,77:77)-SUMIF(76:76,C16,77:77)+100</f>
        <v>97</v>
      </c>
      <c r="K15" s="956">
        <v>3</v>
      </c>
      <c r="L15" s="2301"/>
      <c r="M15" s="2296"/>
      <c r="N15" s="2296"/>
      <c r="O15" s="2296"/>
      <c r="P15" s="3575" t="s">
        <v>69</v>
      </c>
      <c r="Q15" s="3363" t="str">
        <f t="shared" si="6"/>
        <v>商业繁华度</v>
      </c>
      <c r="R15" s="1351" t="s">
        <v>65</v>
      </c>
      <c r="S15" s="1352">
        <f t="shared" si="0"/>
        <v>97</v>
      </c>
      <c r="T15" s="1351" t="s">
        <v>65</v>
      </c>
      <c r="U15" s="1352">
        <f t="shared" si="1"/>
        <v>97</v>
      </c>
      <c r="V15" s="1351" t="s">
        <v>65</v>
      </c>
      <c r="W15" s="1352">
        <f t="shared" si="2"/>
        <v>97</v>
      </c>
      <c r="X15" s="3360"/>
      <c r="Y15" s="3577" t="s">
        <v>69</v>
      </c>
      <c r="Z15" s="3361" t="str">
        <f t="shared" si="7"/>
        <v>商业繁华度</v>
      </c>
      <c r="AA15" s="3364">
        <f t="shared" si="3"/>
        <v>1.0309278350515463</v>
      </c>
      <c r="AB15" s="3364">
        <f t="shared" si="4"/>
        <v>1.0309278350515463</v>
      </c>
      <c r="AC15" s="3364">
        <f t="shared" si="5"/>
        <v>1.0309278350515463</v>
      </c>
    </row>
    <row r="16" spans="1:29" ht="14.25">
      <c r="A16" s="151"/>
      <c r="B16" s="156"/>
      <c r="C16" s="97" t="s">
        <v>3109</v>
      </c>
      <c r="D16" s="790"/>
      <c r="E16" s="97" t="s">
        <v>3108</v>
      </c>
      <c r="F16" s="791"/>
      <c r="G16" s="97" t="s">
        <v>3108</v>
      </c>
      <c r="H16" s="792"/>
      <c r="I16" s="97" t="s">
        <v>3108</v>
      </c>
      <c r="J16" s="790"/>
      <c r="K16" s="189"/>
      <c r="L16" s="2301"/>
      <c r="M16" s="2296"/>
      <c r="N16" s="2296"/>
      <c r="O16" s="2296"/>
      <c r="P16" s="3576"/>
      <c r="Q16" s="3363"/>
      <c r="R16" s="1351"/>
      <c r="S16" s="1352"/>
      <c r="T16" s="1351"/>
      <c r="U16" s="1352"/>
      <c r="V16" s="1351"/>
      <c r="W16" s="1352"/>
      <c r="X16" s="3360"/>
      <c r="Y16" s="3578"/>
      <c r="Z16" s="3361"/>
      <c r="AA16" s="3364">
        <v>1</v>
      </c>
      <c r="AB16" s="3364">
        <v>1</v>
      </c>
      <c r="AC16" s="336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97</v>
      </c>
      <c r="G17" s="101"/>
      <c r="H17" s="797">
        <f>SUMIF(78:78,G18,79:79)-SUMIF(78:78,C18,79:79)+100</f>
        <v>97</v>
      </c>
      <c r="I17" s="100"/>
      <c r="J17" s="797">
        <f>SUMIF(78:78,I18,79:79)-SUMIF(78:78,C18,79:79)+100</f>
        <v>97</v>
      </c>
      <c r="K17" s="956">
        <v>3</v>
      </c>
      <c r="L17" s="2301"/>
      <c r="M17" s="2296"/>
      <c r="N17" s="2296"/>
      <c r="O17" s="2296"/>
      <c r="P17" s="3576"/>
      <c r="Q17" s="3363" t="str">
        <f>B17</f>
        <v>交通便捷度</v>
      </c>
      <c r="R17" s="1351" t="s">
        <v>65</v>
      </c>
      <c r="S17" s="1352">
        <f>F17</f>
        <v>97</v>
      </c>
      <c r="T17" s="1351" t="s">
        <v>65</v>
      </c>
      <c r="U17" s="1352">
        <f>H17</f>
        <v>97</v>
      </c>
      <c r="V17" s="1351" t="s">
        <v>65</v>
      </c>
      <c r="W17" s="1352">
        <f>J17</f>
        <v>97</v>
      </c>
      <c r="X17" s="3360"/>
      <c r="Y17" s="3578"/>
      <c r="Z17" s="3361" t="str">
        <f>Q17</f>
        <v>交通便捷度</v>
      </c>
      <c r="AA17" s="3364">
        <f t="shared" si="3"/>
        <v>1.0309278350515463</v>
      </c>
      <c r="AB17" s="3364">
        <f t="shared" si="4"/>
        <v>1.0309278350515463</v>
      </c>
      <c r="AC17" s="3364">
        <f t="shared" si="5"/>
        <v>1.0309278350515463</v>
      </c>
    </row>
    <row r="18" spans="1:29" ht="14.25">
      <c r="A18" s="151"/>
      <c r="B18" s="1039"/>
      <c r="C18" s="102" t="s">
        <v>3109</v>
      </c>
      <c r="D18" s="792"/>
      <c r="E18" s="103" t="s">
        <v>3108</v>
      </c>
      <c r="F18" s="795"/>
      <c r="G18" s="104" t="s">
        <v>3108</v>
      </c>
      <c r="H18" s="790"/>
      <c r="I18" s="103" t="s">
        <v>3108</v>
      </c>
      <c r="J18" s="790"/>
      <c r="K18" s="189"/>
      <c r="L18" s="2301"/>
      <c r="M18" s="2296"/>
      <c r="N18" s="2296"/>
      <c r="O18" s="2296"/>
      <c r="P18" s="3576"/>
      <c r="Q18" s="3363"/>
      <c r="R18" s="1351"/>
      <c r="S18" s="1352"/>
      <c r="T18" s="1351"/>
      <c r="U18" s="1352"/>
      <c r="V18" s="1351"/>
      <c r="W18" s="1352"/>
      <c r="X18" s="3360"/>
      <c r="Y18" s="3578"/>
      <c r="Z18" s="3361"/>
      <c r="AA18" s="3364">
        <v>1</v>
      </c>
      <c r="AB18" s="3364">
        <v>1</v>
      </c>
      <c r="AC18" s="3364">
        <v>1</v>
      </c>
    </row>
    <row r="19" spans="1:29" ht="40.5">
      <c r="A19" s="151"/>
      <c r="B19" s="1355" t="s">
        <v>2657</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3</v>
      </c>
      <c r="L19" s="2301"/>
      <c r="M19" s="2296"/>
      <c r="N19" s="2296"/>
      <c r="O19" s="2296"/>
      <c r="P19" s="3576"/>
      <c r="Q19" s="3363" t="str">
        <f>B19</f>
        <v>公共配套设施</v>
      </c>
      <c r="R19" s="1351" t="s">
        <v>65</v>
      </c>
      <c r="S19" s="1352">
        <f>F19</f>
        <v>100</v>
      </c>
      <c r="T19" s="1351" t="s">
        <v>65</v>
      </c>
      <c r="U19" s="1352">
        <f>H19</f>
        <v>100</v>
      </c>
      <c r="V19" s="1351" t="s">
        <v>65</v>
      </c>
      <c r="W19" s="1352">
        <f>J19</f>
        <v>100</v>
      </c>
      <c r="X19" s="3360"/>
      <c r="Y19" s="3578"/>
      <c r="Z19" s="3361" t="str">
        <f>Q19</f>
        <v>公共配套设施</v>
      </c>
      <c r="AA19" s="3364">
        <f t="shared" si="3"/>
        <v>1</v>
      </c>
      <c r="AB19" s="3364">
        <f t="shared" si="4"/>
        <v>1</v>
      </c>
      <c r="AC19" s="3364">
        <f t="shared" si="5"/>
        <v>1</v>
      </c>
    </row>
    <row r="20" spans="1:29" ht="14.25">
      <c r="A20" s="151"/>
      <c r="B20" s="1039"/>
      <c r="C20" s="97" t="s">
        <v>3109</v>
      </c>
      <c r="D20" s="790"/>
      <c r="E20" s="98" t="s">
        <v>3109</v>
      </c>
      <c r="F20" s="791"/>
      <c r="G20" s="99" t="s">
        <v>3109</v>
      </c>
      <c r="H20" s="790"/>
      <c r="I20" s="98" t="s">
        <v>3109</v>
      </c>
      <c r="J20" s="790"/>
      <c r="K20" s="189"/>
      <c r="L20" s="2301"/>
      <c r="M20" s="2296"/>
      <c r="N20" s="2296"/>
      <c r="O20" s="2296"/>
      <c r="P20" s="3576"/>
      <c r="Q20" s="3363"/>
      <c r="R20" s="1351"/>
      <c r="S20" s="1352"/>
      <c r="T20" s="1351"/>
      <c r="U20" s="1352"/>
      <c r="V20" s="1351"/>
      <c r="W20" s="1352"/>
      <c r="X20" s="3360"/>
      <c r="Y20" s="3578"/>
      <c r="Z20" s="3361"/>
      <c r="AA20" s="3364">
        <v>1</v>
      </c>
      <c r="AB20" s="3364">
        <v>1</v>
      </c>
      <c r="AC20" s="3364">
        <v>1</v>
      </c>
    </row>
    <row r="21" spans="1:29" ht="27">
      <c r="A21" s="151"/>
      <c r="B21" s="1411" t="s">
        <v>2658</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2</v>
      </c>
      <c r="L21" s="2301"/>
      <c r="M21" s="2296"/>
      <c r="N21" s="2296"/>
      <c r="O21" s="2296"/>
      <c r="P21" s="3576"/>
      <c r="Q21" s="3363" t="str">
        <f>B21</f>
        <v>基础设施水平</v>
      </c>
      <c r="R21" s="1351" t="s">
        <v>65</v>
      </c>
      <c r="S21" s="1352">
        <f>F21</f>
        <v>100</v>
      </c>
      <c r="T21" s="1351" t="s">
        <v>65</v>
      </c>
      <c r="U21" s="1352">
        <f>H21</f>
        <v>100</v>
      </c>
      <c r="V21" s="1351" t="s">
        <v>65</v>
      </c>
      <c r="W21" s="1352">
        <f>J21</f>
        <v>100</v>
      </c>
      <c r="X21" s="3360"/>
      <c r="Y21" s="3578"/>
      <c r="Z21" s="3361" t="str">
        <f>Q21</f>
        <v>基础设施水平</v>
      </c>
      <c r="AA21" s="3364">
        <f t="shared" ref="AA21" si="8">D21/F21</f>
        <v>1</v>
      </c>
      <c r="AB21" s="3364">
        <f t="shared" ref="AB21" si="9">D21/H21</f>
        <v>1</v>
      </c>
      <c r="AC21" s="3364">
        <f t="shared" ref="AC21" si="10">D21/J21</f>
        <v>1</v>
      </c>
    </row>
    <row r="22" spans="1:29" ht="14.25">
      <c r="A22" s="151"/>
      <c r="B22" s="1411"/>
      <c r="C22" s="102" t="s">
        <v>3110</v>
      </c>
      <c r="D22" s="790"/>
      <c r="E22" s="97" t="s">
        <v>3110</v>
      </c>
      <c r="F22" s="791"/>
      <c r="G22" s="97" t="s">
        <v>3110</v>
      </c>
      <c r="H22" s="790"/>
      <c r="I22" s="97" t="s">
        <v>3110</v>
      </c>
      <c r="J22" s="790"/>
      <c r="K22" s="2766"/>
      <c r="L22" s="2301"/>
      <c r="M22" s="2296"/>
      <c r="N22" s="2296"/>
      <c r="O22" s="2296"/>
      <c r="P22" s="3576"/>
      <c r="Q22" s="3363"/>
      <c r="R22" s="1351"/>
      <c r="S22" s="1352"/>
      <c r="T22" s="1351"/>
      <c r="U22" s="1352"/>
      <c r="V22" s="1351"/>
      <c r="W22" s="1352"/>
      <c r="X22" s="3360"/>
      <c r="Y22" s="3578"/>
      <c r="Z22" s="3361"/>
      <c r="AA22" s="3364">
        <v>1</v>
      </c>
      <c r="AB22" s="3364">
        <v>1</v>
      </c>
      <c r="AC22" s="336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1"/>
      <c r="M23" s="2296"/>
      <c r="N23" s="2296"/>
      <c r="O23" s="2296"/>
      <c r="P23" s="3576"/>
      <c r="Q23" s="3363" t="str">
        <f>B23</f>
        <v>自然及人文环境</v>
      </c>
      <c r="R23" s="1351" t="s">
        <v>65</v>
      </c>
      <c r="S23" s="1352">
        <f>F23</f>
        <v>100</v>
      </c>
      <c r="T23" s="1351" t="s">
        <v>65</v>
      </c>
      <c r="U23" s="1352">
        <f>H23</f>
        <v>100</v>
      </c>
      <c r="V23" s="1351" t="s">
        <v>65</v>
      </c>
      <c r="W23" s="1352">
        <f>J23</f>
        <v>100</v>
      </c>
      <c r="X23" s="3360"/>
      <c r="Y23" s="3578"/>
      <c r="Z23" s="3361" t="str">
        <f>Q23</f>
        <v>自然及人文环境</v>
      </c>
      <c r="AA23" s="3364">
        <f t="shared" si="3"/>
        <v>1</v>
      </c>
      <c r="AB23" s="3364">
        <f t="shared" si="4"/>
        <v>1</v>
      </c>
      <c r="AC23" s="3364">
        <f t="shared" si="5"/>
        <v>1</v>
      </c>
    </row>
    <row r="24" spans="1:29" ht="14.25">
      <c r="A24" s="151"/>
      <c r="B24" s="1039"/>
      <c r="C24" s="97" t="s">
        <v>3108</v>
      </c>
      <c r="D24" s="790"/>
      <c r="E24" s="98" t="s">
        <v>3108</v>
      </c>
      <c r="F24" s="791"/>
      <c r="G24" s="99" t="s">
        <v>3108</v>
      </c>
      <c r="H24" s="790"/>
      <c r="I24" s="98" t="s">
        <v>3108</v>
      </c>
      <c r="J24" s="790"/>
      <c r="K24" s="189"/>
      <c r="L24" s="2301"/>
      <c r="M24" s="2296"/>
      <c r="N24" s="2296"/>
      <c r="O24" s="2296"/>
      <c r="P24" s="3576"/>
      <c r="Q24" s="3363"/>
      <c r="R24" s="1351"/>
      <c r="S24" s="1352"/>
      <c r="T24" s="1351"/>
      <c r="U24" s="1352"/>
      <c r="V24" s="1351"/>
      <c r="W24" s="1352"/>
      <c r="X24" s="3360"/>
      <c r="Y24" s="3578"/>
      <c r="Z24" s="3361"/>
      <c r="AA24" s="3364">
        <v>1</v>
      </c>
      <c r="AB24" s="3364">
        <v>1</v>
      </c>
      <c r="AC24" s="3364">
        <v>1</v>
      </c>
    </row>
    <row r="25" spans="1:29" ht="15">
      <c r="A25" s="151"/>
      <c r="B25" s="3357" t="s">
        <v>131</v>
      </c>
      <c r="C25" s="182" t="s">
        <v>3129</v>
      </c>
      <c r="D25" s="777">
        <v>100</v>
      </c>
      <c r="E25" s="182" t="s">
        <v>3129</v>
      </c>
      <c r="F25" s="803">
        <f>SUMIF(86:86,E25,87:87)-SUMIF(86:86,C25,87:87)+100</f>
        <v>100</v>
      </c>
      <c r="G25" s="182" t="s">
        <v>3129</v>
      </c>
      <c r="H25" s="777">
        <f>SUMIF(86:86,G25,87:87)-SUMIF(86:86,C25,87:87)+100</f>
        <v>100</v>
      </c>
      <c r="I25" s="182" t="s">
        <v>3129</v>
      </c>
      <c r="J25" s="777">
        <f>SUMIF(86:86,I25,87:87)-SUMIF(86:86,C25,87:87)+100</f>
        <v>100</v>
      </c>
      <c r="K25" s="954">
        <v>3</v>
      </c>
      <c r="L25" s="2301"/>
      <c r="M25" s="2296"/>
      <c r="N25" s="2296"/>
      <c r="O25" s="2296"/>
      <c r="P25" s="3576"/>
      <c r="Q25" s="3363" t="str">
        <f t="shared" ref="Q25:Q46" si="11">B25</f>
        <v>临街状况</v>
      </c>
      <c r="R25" s="1351" t="s">
        <v>65</v>
      </c>
      <c r="S25" s="1352">
        <f>F25</f>
        <v>100</v>
      </c>
      <c r="T25" s="1351" t="s">
        <v>65</v>
      </c>
      <c r="U25" s="1352">
        <f>H25</f>
        <v>100</v>
      </c>
      <c r="V25" s="1351" t="s">
        <v>65</v>
      </c>
      <c r="W25" s="1352">
        <f>J25</f>
        <v>100</v>
      </c>
      <c r="X25" s="3360"/>
      <c r="Y25" s="3578"/>
      <c r="Z25" s="3361" t="str">
        <f>Q25</f>
        <v>临街状况</v>
      </c>
      <c r="AA25" s="3364">
        <f t="shared" si="3"/>
        <v>1</v>
      </c>
      <c r="AB25" s="3364">
        <f t="shared" si="4"/>
        <v>1</v>
      </c>
      <c r="AC25" s="3364">
        <f t="shared" si="5"/>
        <v>1</v>
      </c>
    </row>
    <row r="26" spans="1:29" ht="14.25">
      <c r="A26" s="151"/>
      <c r="B26" s="1356" t="s">
        <v>1025</v>
      </c>
      <c r="C26" s="93" t="s">
        <v>3160</v>
      </c>
      <c r="D26" s="777">
        <v>100</v>
      </c>
      <c r="E26" s="93" t="s">
        <v>3160</v>
      </c>
      <c r="F26" s="803">
        <f>SUMIF(88:88,E26,89:89)-SUMIF(88:88,C26,89:89)+100</f>
        <v>100</v>
      </c>
      <c r="G26" s="93" t="s">
        <v>3160</v>
      </c>
      <c r="H26" s="777">
        <f>SUMIF(88:88,G26,89:89)-SUMIF(88:88,C26,89:89)+100</f>
        <v>100</v>
      </c>
      <c r="I26" s="93" t="s">
        <v>3160</v>
      </c>
      <c r="J26" s="777">
        <f>SUMIF(88:88,I26,89:89)-SUMIF(88:88,C26,89:89)+100</f>
        <v>100</v>
      </c>
      <c r="K26" s="188"/>
      <c r="L26" s="2301"/>
      <c r="M26" s="2296"/>
      <c r="N26" s="2296"/>
      <c r="O26" s="2296"/>
      <c r="P26" s="3576"/>
      <c r="Q26" s="3363" t="str">
        <f t="shared" si="11"/>
        <v>平面位置/可视性</v>
      </c>
      <c r="R26" s="1351" t="s">
        <v>65</v>
      </c>
      <c r="S26" s="1352">
        <f>F26</f>
        <v>100</v>
      </c>
      <c r="T26" s="1351" t="s">
        <v>65</v>
      </c>
      <c r="U26" s="1352">
        <f>H26</f>
        <v>100</v>
      </c>
      <c r="V26" s="1351" t="s">
        <v>65</v>
      </c>
      <c r="W26" s="1352">
        <f>J26</f>
        <v>100</v>
      </c>
      <c r="X26" s="3360"/>
      <c r="Y26" s="3578"/>
      <c r="Z26" s="3361" t="str">
        <f>Q26</f>
        <v>平面位置/可视性</v>
      </c>
      <c r="AA26" s="3364">
        <f t="shared" si="3"/>
        <v>1</v>
      </c>
      <c r="AB26" s="3364">
        <f t="shared" si="4"/>
        <v>1</v>
      </c>
      <c r="AC26" s="3364">
        <f t="shared" si="5"/>
        <v>1</v>
      </c>
    </row>
    <row r="27" spans="1:29" s="40" customFormat="1" ht="15">
      <c r="A27" s="1029"/>
      <c r="B27" s="1355" t="s">
        <v>1026</v>
      </c>
      <c r="C27" s="1386" t="s">
        <v>3159</v>
      </c>
      <c r="D27" s="804">
        <v>100</v>
      </c>
      <c r="E27" s="1386" t="s">
        <v>3132</v>
      </c>
      <c r="F27" s="806">
        <f>SUMIF(90:90,E27,91:91)-SUMIF(90:90,C27,91:91)+100</f>
        <v>100</v>
      </c>
      <c r="G27" s="1386" t="s">
        <v>3132</v>
      </c>
      <c r="H27" s="804">
        <f>SUMIF(90:90,G27,91:91)-SUMIF(90:90,C27,91:91)+100</f>
        <v>100</v>
      </c>
      <c r="I27" s="1386" t="s">
        <v>3132</v>
      </c>
      <c r="J27" s="804">
        <f>SUMIF(90:90,I27,91:91)-SUMIF(90:90,C27,91:91)+100</f>
        <v>100</v>
      </c>
      <c r="K27" s="954">
        <v>2</v>
      </c>
      <c r="L27" s="2297"/>
      <c r="M27" s="2259"/>
      <c r="N27" s="2259"/>
      <c r="O27" s="2259"/>
      <c r="P27" s="3576"/>
      <c r="Q27" s="3343" t="str">
        <f t="shared" si="11"/>
        <v>人流量</v>
      </c>
      <c r="R27" s="1341" t="s">
        <v>65</v>
      </c>
      <c r="S27" s="1342">
        <f>F27</f>
        <v>100</v>
      </c>
      <c r="T27" s="1341" t="s">
        <v>65</v>
      </c>
      <c r="U27" s="1342">
        <f>H27</f>
        <v>100</v>
      </c>
      <c r="V27" s="1341" t="s">
        <v>65</v>
      </c>
      <c r="W27" s="1342">
        <f>J27</f>
        <v>100</v>
      </c>
      <c r="X27" s="287"/>
      <c r="Y27" s="3578"/>
      <c r="Z27" s="3344" t="str">
        <f>Q27</f>
        <v>人流量</v>
      </c>
      <c r="AA27" s="3364">
        <f>D27/F27</f>
        <v>1</v>
      </c>
      <c r="AB27" s="3364">
        <f>D27/H27</f>
        <v>1</v>
      </c>
      <c r="AC27" s="3364">
        <f>D27/J27</f>
        <v>1</v>
      </c>
    </row>
    <row r="28" spans="1:29" ht="14.25">
      <c r="A28" s="151"/>
      <c r="B28" s="3357" t="s">
        <v>132</v>
      </c>
      <c r="C28" s="182" t="s">
        <v>3134</v>
      </c>
      <c r="D28" s="777">
        <v>100</v>
      </c>
      <c r="E28" s="182" t="s">
        <v>3111</v>
      </c>
      <c r="F28" s="803">
        <f>SUMIF(92:92,E28,93:93)-SUMIF(92:92,C28,93:93)+100</f>
        <v>100</v>
      </c>
      <c r="G28" s="182" t="s">
        <v>3111</v>
      </c>
      <c r="H28" s="777">
        <f>SUMIF(92:92,G28,93:93)-SUMIF(92:92,C28,93:93)+100</f>
        <v>100</v>
      </c>
      <c r="I28" s="182" t="s">
        <v>3111</v>
      </c>
      <c r="J28" s="777">
        <f>SUMIF(92:92,I28,93:93)-SUMIF(92:92,C28,93:93)+100</f>
        <v>100</v>
      </c>
      <c r="K28" s="188"/>
      <c r="L28" s="2301"/>
      <c r="M28" s="2296"/>
      <c r="N28" s="2296"/>
      <c r="O28" s="2296"/>
      <c r="P28" s="3576"/>
      <c r="Q28" s="3363" t="str">
        <f t="shared" si="11"/>
        <v>楼层</v>
      </c>
      <c r="R28" s="1351" t="s">
        <v>65</v>
      </c>
      <c r="S28" s="1352">
        <f t="shared" ref="S28:S46" si="12">F28</f>
        <v>100</v>
      </c>
      <c r="T28" s="1351" t="s">
        <v>65</v>
      </c>
      <c r="U28" s="1352">
        <f t="shared" ref="U28:U46" si="13">H28</f>
        <v>100</v>
      </c>
      <c r="V28" s="1351" t="s">
        <v>65</v>
      </c>
      <c r="W28" s="1352">
        <f t="shared" ref="W28:W46" si="14">J28</f>
        <v>100</v>
      </c>
      <c r="X28" s="3360"/>
      <c r="Y28" s="3578"/>
      <c r="Z28" s="3361" t="str">
        <f t="shared" ref="Z28:Z46" si="15">Q28</f>
        <v>楼层</v>
      </c>
      <c r="AA28" s="3364">
        <f t="shared" si="3"/>
        <v>1</v>
      </c>
      <c r="AB28" s="3364">
        <f t="shared" si="4"/>
        <v>1</v>
      </c>
      <c r="AC28" s="336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576"/>
      <c r="Q29" s="3363">
        <f t="shared" si="11"/>
        <v>111</v>
      </c>
      <c r="R29" s="1351" t="s">
        <v>65</v>
      </c>
      <c r="S29" s="1352">
        <f t="shared" si="12"/>
        <v>100</v>
      </c>
      <c r="T29" s="1351" t="s">
        <v>65</v>
      </c>
      <c r="U29" s="1352">
        <f t="shared" si="13"/>
        <v>100</v>
      </c>
      <c r="V29" s="1351" t="s">
        <v>65</v>
      </c>
      <c r="W29" s="1352">
        <f t="shared" si="14"/>
        <v>100</v>
      </c>
      <c r="X29" s="3360"/>
      <c r="Y29" s="3578"/>
      <c r="Z29" s="3361">
        <f t="shared" si="15"/>
        <v>111</v>
      </c>
      <c r="AA29" s="3364">
        <f t="shared" si="3"/>
        <v>1</v>
      </c>
      <c r="AB29" s="3364">
        <f t="shared" si="4"/>
        <v>1</v>
      </c>
      <c r="AC29" s="336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576"/>
      <c r="Q30" s="3363">
        <f t="shared" si="11"/>
        <v>111</v>
      </c>
      <c r="R30" s="1351" t="s">
        <v>65</v>
      </c>
      <c r="S30" s="1352">
        <f t="shared" si="12"/>
        <v>100</v>
      </c>
      <c r="T30" s="1351" t="s">
        <v>65</v>
      </c>
      <c r="U30" s="1352">
        <f t="shared" si="13"/>
        <v>100</v>
      </c>
      <c r="V30" s="1351" t="s">
        <v>65</v>
      </c>
      <c r="W30" s="1352">
        <f t="shared" si="14"/>
        <v>100</v>
      </c>
      <c r="X30" s="3360"/>
      <c r="Y30" s="3578"/>
      <c r="Z30" s="3361">
        <f t="shared" si="15"/>
        <v>111</v>
      </c>
      <c r="AA30" s="3364">
        <f t="shared" si="3"/>
        <v>1</v>
      </c>
      <c r="AB30" s="3364">
        <f t="shared" si="4"/>
        <v>1</v>
      </c>
      <c r="AC30" s="336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576"/>
      <c r="Q31" s="3363">
        <f t="shared" si="11"/>
        <v>111</v>
      </c>
      <c r="R31" s="1351" t="s">
        <v>65</v>
      </c>
      <c r="S31" s="1352">
        <f t="shared" si="12"/>
        <v>100</v>
      </c>
      <c r="T31" s="1351" t="s">
        <v>65</v>
      </c>
      <c r="U31" s="1352">
        <f t="shared" si="13"/>
        <v>100</v>
      </c>
      <c r="V31" s="1351" t="s">
        <v>65</v>
      </c>
      <c r="W31" s="1352">
        <f t="shared" si="14"/>
        <v>100</v>
      </c>
      <c r="X31" s="3360"/>
      <c r="Y31" s="3578"/>
      <c r="Z31" s="3361">
        <f t="shared" si="15"/>
        <v>111</v>
      </c>
      <c r="AA31" s="3364">
        <f t="shared" si="3"/>
        <v>1</v>
      </c>
      <c r="AB31" s="3364">
        <f t="shared" si="4"/>
        <v>1</v>
      </c>
      <c r="AC31" s="3364">
        <f t="shared" si="5"/>
        <v>1</v>
      </c>
    </row>
    <row r="32" spans="1:29" ht="15">
      <c r="A32" s="155" t="s">
        <v>70</v>
      </c>
      <c r="B32" s="62" t="s">
        <v>1028</v>
      </c>
      <c r="C32" s="110" t="s">
        <v>3140</v>
      </c>
      <c r="D32" s="809">
        <v>100</v>
      </c>
      <c r="E32" s="110" t="s">
        <v>3140</v>
      </c>
      <c r="F32" s="803">
        <f>SUMIF(100:100,E32,101:101)-SUMIF(100:100,C32,101:101)+100</f>
        <v>100</v>
      </c>
      <c r="G32" s="110" t="s">
        <v>3140</v>
      </c>
      <c r="H32" s="777">
        <f>SUMIF(100:100,G32,101:101)-SUMIF(100:100,C32,101:101)+100</f>
        <v>100</v>
      </c>
      <c r="I32" s="110" t="s">
        <v>3140</v>
      </c>
      <c r="J32" s="809">
        <f>SUMIF(100:100,I32,101:101)-SUMIF(100:100,C32,101:101)+100</f>
        <v>100</v>
      </c>
      <c r="K32" s="954">
        <v>1</v>
      </c>
      <c r="L32" s="2301"/>
      <c r="M32" s="2296"/>
      <c r="N32" s="2296"/>
      <c r="O32" s="2296"/>
      <c r="P32" s="3579" t="s">
        <v>70</v>
      </c>
      <c r="Q32" s="3363" t="str">
        <f t="shared" si="11"/>
        <v>商业类型</v>
      </c>
      <c r="R32" s="1351" t="s">
        <v>65</v>
      </c>
      <c r="S32" s="1352">
        <f t="shared" si="12"/>
        <v>100</v>
      </c>
      <c r="T32" s="1351" t="s">
        <v>65</v>
      </c>
      <c r="U32" s="1352">
        <f t="shared" si="13"/>
        <v>100</v>
      </c>
      <c r="V32" s="1351" t="s">
        <v>65</v>
      </c>
      <c r="W32" s="1352">
        <f t="shared" si="14"/>
        <v>100</v>
      </c>
      <c r="X32" s="3360"/>
      <c r="Y32" s="3582" t="s">
        <v>70</v>
      </c>
      <c r="Z32" s="3361" t="str">
        <f t="shared" si="15"/>
        <v>商业类型</v>
      </c>
      <c r="AA32" s="3364">
        <f t="shared" si="3"/>
        <v>1</v>
      </c>
      <c r="AB32" s="3364">
        <f t="shared" si="4"/>
        <v>1</v>
      </c>
      <c r="AC32" s="3364">
        <f t="shared" si="5"/>
        <v>1</v>
      </c>
    </row>
    <row r="33" spans="1:29" s="1038" customFormat="1" ht="14.25">
      <c r="A33" s="1042"/>
      <c r="B33" s="3357" t="s">
        <v>76</v>
      </c>
      <c r="C33" s="811">
        <v>49.46</v>
      </c>
      <c r="D33" s="426">
        <v>100</v>
      </c>
      <c r="E33" s="772">
        <v>17</v>
      </c>
      <c r="F33" s="767">
        <f>LOOKUP(E33,103:103,104:104)-LOOKUP(C33,103:103,104:104)+100</f>
        <v>100</v>
      </c>
      <c r="G33" s="771">
        <v>50</v>
      </c>
      <c r="H33" s="426">
        <f>LOOKUP(G33,103:103,104:104)-LOOKUP(C33,103:103,104:104)+100</f>
        <v>98</v>
      </c>
      <c r="I33" s="771">
        <v>80</v>
      </c>
      <c r="J33" s="426">
        <f>LOOKUP(I33,103:103,104:104)-LOOKUP(C33,103:103,104:104)+100</f>
        <v>98</v>
      </c>
      <c r="K33" s="188"/>
      <c r="L33" s="2300"/>
      <c r="M33" s="2302"/>
      <c r="N33" s="2302"/>
      <c r="O33" s="2302"/>
      <c r="P33" s="3580"/>
      <c r="Q33" s="1358" t="str">
        <f t="shared" si="11"/>
        <v>项目建筑规模</v>
      </c>
      <c r="R33" s="1359" t="s">
        <v>65</v>
      </c>
      <c r="S33" s="1360">
        <f t="shared" si="12"/>
        <v>100</v>
      </c>
      <c r="T33" s="1359" t="s">
        <v>65</v>
      </c>
      <c r="U33" s="1360">
        <f t="shared" si="13"/>
        <v>98</v>
      </c>
      <c r="V33" s="1359" t="s">
        <v>65</v>
      </c>
      <c r="W33" s="1360">
        <f t="shared" si="14"/>
        <v>98</v>
      </c>
      <c r="X33" s="1361"/>
      <c r="Y33" s="3582"/>
      <c r="Z33" s="1362" t="str">
        <f t="shared" si="15"/>
        <v>项目建筑规模</v>
      </c>
      <c r="AA33" s="3364">
        <f t="shared" si="3"/>
        <v>1</v>
      </c>
      <c r="AB33" s="3364">
        <f t="shared" si="4"/>
        <v>1.0204081632653061</v>
      </c>
      <c r="AC33" s="3364">
        <f t="shared" si="5"/>
        <v>1.0204081632653061</v>
      </c>
    </row>
    <row r="34" spans="1:29" ht="15">
      <c r="A34" s="161"/>
      <c r="B34" s="3357" t="s">
        <v>77</v>
      </c>
      <c r="C34" s="112" t="s">
        <v>3083</v>
      </c>
      <c r="D34" s="777">
        <v>100</v>
      </c>
      <c r="E34" s="113" t="s">
        <v>3161</v>
      </c>
      <c r="F34" s="803">
        <f>SUMIF(105:105,E34,106:106)-SUMIF(105:105,C34,106:106)+100</f>
        <v>100</v>
      </c>
      <c r="G34" s="112" t="s">
        <v>3142</v>
      </c>
      <c r="H34" s="777">
        <f>SUMIF(105:105,G34,106:106)-SUMIF(105:105,C34,106:106)+100</f>
        <v>100</v>
      </c>
      <c r="I34" s="112" t="s">
        <v>3142</v>
      </c>
      <c r="J34" s="777">
        <f>SUMIF(105:105,I34,106:106)-SUMIF(105:105,C34,106:106)+100</f>
        <v>100</v>
      </c>
      <c r="K34" s="954">
        <v>2</v>
      </c>
      <c r="L34" s="2301"/>
      <c r="M34" s="2296"/>
      <c r="N34" s="2296"/>
      <c r="O34" s="2296"/>
      <c r="P34" s="3580"/>
      <c r="Q34" s="3363" t="str">
        <f t="shared" si="11"/>
        <v>建筑结构</v>
      </c>
      <c r="R34" s="1351" t="s">
        <v>65</v>
      </c>
      <c r="S34" s="1352">
        <f t="shared" si="12"/>
        <v>100</v>
      </c>
      <c r="T34" s="1351" t="s">
        <v>65</v>
      </c>
      <c r="U34" s="1352">
        <f t="shared" si="13"/>
        <v>100</v>
      </c>
      <c r="V34" s="1351" t="s">
        <v>65</v>
      </c>
      <c r="W34" s="1352">
        <f t="shared" si="14"/>
        <v>100</v>
      </c>
      <c r="X34" s="3360"/>
      <c r="Y34" s="3582"/>
      <c r="Z34" s="3361" t="str">
        <f t="shared" si="15"/>
        <v>建筑结构</v>
      </c>
      <c r="AA34" s="3364">
        <f t="shared" si="3"/>
        <v>1</v>
      </c>
      <c r="AB34" s="3364">
        <f t="shared" si="4"/>
        <v>1</v>
      </c>
      <c r="AC34" s="3364">
        <f t="shared" si="5"/>
        <v>1</v>
      </c>
    </row>
    <row r="35" spans="1:29" ht="15">
      <c r="A35" s="161"/>
      <c r="B35" s="3357" t="s">
        <v>133</v>
      </c>
      <c r="C35" s="109" t="s">
        <v>3122</v>
      </c>
      <c r="D35" s="777">
        <v>100</v>
      </c>
      <c r="E35" s="109" t="s">
        <v>3122</v>
      </c>
      <c r="F35" s="803">
        <f>SUMIF(107:107,E35,108:108)-SUMIF(107:107,C35,108:108)+100</f>
        <v>100</v>
      </c>
      <c r="G35" s="109" t="s">
        <v>3122</v>
      </c>
      <c r="H35" s="777">
        <f>SUMIF(107:107,G35,108:108)-SUMIF(107:107,C35,108:108)+100</f>
        <v>100</v>
      </c>
      <c r="I35" s="109" t="s">
        <v>3122</v>
      </c>
      <c r="J35" s="777">
        <f>SUMIF(107:107,I35,108:108)-SUMIF(107:107,C35,108:108)+100</f>
        <v>100</v>
      </c>
      <c r="K35" s="954">
        <v>1</v>
      </c>
      <c r="L35" s="2301"/>
      <c r="M35" s="2296"/>
      <c r="N35" s="2296"/>
      <c r="O35" s="2296"/>
      <c r="P35" s="3580"/>
      <c r="Q35" s="3363" t="str">
        <f t="shared" si="11"/>
        <v>公共部分装修</v>
      </c>
      <c r="R35" s="1351" t="s">
        <v>65</v>
      </c>
      <c r="S35" s="1352">
        <f t="shared" si="12"/>
        <v>100</v>
      </c>
      <c r="T35" s="1351" t="s">
        <v>65</v>
      </c>
      <c r="U35" s="1352">
        <f t="shared" si="13"/>
        <v>100</v>
      </c>
      <c r="V35" s="1351" t="s">
        <v>65</v>
      </c>
      <c r="W35" s="1352">
        <f t="shared" si="14"/>
        <v>100</v>
      </c>
      <c r="X35" s="3360"/>
      <c r="Y35" s="3582"/>
      <c r="Z35" s="3361" t="str">
        <f t="shared" si="15"/>
        <v>公共部分装修</v>
      </c>
      <c r="AA35" s="3364">
        <f t="shared" si="3"/>
        <v>1</v>
      </c>
      <c r="AB35" s="3364">
        <f t="shared" si="4"/>
        <v>1</v>
      </c>
      <c r="AC35" s="3364">
        <f t="shared" si="5"/>
        <v>1</v>
      </c>
    </row>
    <row r="36" spans="1:29" ht="15">
      <c r="A36" s="161"/>
      <c r="B36" s="3357" t="s">
        <v>134</v>
      </c>
      <c r="C36" s="816">
        <v>0.9</v>
      </c>
      <c r="D36" s="777">
        <v>100</v>
      </c>
      <c r="E36" s="816">
        <v>0.9</v>
      </c>
      <c r="F36" s="803">
        <f>LOOKUP(E36,110:110,111:111)-LOOKUP(C36,110:110,111:111)+100</f>
        <v>100</v>
      </c>
      <c r="G36" s="816">
        <v>0.9</v>
      </c>
      <c r="H36" s="803">
        <f>LOOKUP(G36,110:110,111:111)-LOOKUP(C36,110:110,111:111)+100</f>
        <v>100</v>
      </c>
      <c r="I36" s="816">
        <v>0.9</v>
      </c>
      <c r="J36" s="777">
        <f>LOOKUP(I36,110:110,111:111)-LOOKUP(C36,110:110,111:111)+100</f>
        <v>100</v>
      </c>
      <c r="K36" s="954">
        <v>1</v>
      </c>
      <c r="L36" s="2301"/>
      <c r="M36" s="2296"/>
      <c r="N36" s="2296"/>
      <c r="O36" s="2296"/>
      <c r="P36" s="3580"/>
      <c r="Q36" s="3363" t="str">
        <f t="shared" si="11"/>
        <v>成新度</v>
      </c>
      <c r="R36" s="1351" t="s">
        <v>65</v>
      </c>
      <c r="S36" s="1352">
        <f t="shared" si="12"/>
        <v>100</v>
      </c>
      <c r="T36" s="1351" t="s">
        <v>65</v>
      </c>
      <c r="U36" s="1352">
        <f t="shared" si="13"/>
        <v>100</v>
      </c>
      <c r="V36" s="1351" t="s">
        <v>65</v>
      </c>
      <c r="W36" s="1352">
        <f t="shared" si="14"/>
        <v>100</v>
      </c>
      <c r="X36" s="3360"/>
      <c r="Y36" s="3582"/>
      <c r="Z36" s="3361" t="str">
        <f t="shared" si="15"/>
        <v>成新度</v>
      </c>
      <c r="AA36" s="3364">
        <f t="shared" si="3"/>
        <v>1</v>
      </c>
      <c r="AB36" s="3364">
        <f t="shared" si="4"/>
        <v>1</v>
      </c>
      <c r="AC36" s="3364">
        <f t="shared" si="5"/>
        <v>1</v>
      </c>
    </row>
    <row r="37" spans="1:29" s="40" customFormat="1" ht="15">
      <c r="A37" s="1040"/>
      <c r="B37" s="3357" t="s">
        <v>2659</v>
      </c>
      <c r="C37" s="109" t="s">
        <v>3110</v>
      </c>
      <c r="D37" s="426">
        <v>100</v>
      </c>
      <c r="E37" s="109" t="s">
        <v>3110</v>
      </c>
      <c r="F37" s="803">
        <f>SUMIF(112:112,E37,113:113)-SUMIF(112:112,C37,113:113)+100</f>
        <v>100</v>
      </c>
      <c r="G37" s="109" t="s">
        <v>3110</v>
      </c>
      <c r="H37" s="777">
        <f>SUMIF(112:112,G37,113:113)-SUMIF(112:112,C37,113:113)+100</f>
        <v>100</v>
      </c>
      <c r="I37" s="109" t="s">
        <v>3110</v>
      </c>
      <c r="J37" s="777">
        <f>SUMIF(112:112,I37,113:113)-SUMIF(112:112,C37,113:113)+100</f>
        <v>100</v>
      </c>
      <c r="K37" s="954">
        <v>2</v>
      </c>
      <c r="L37" s="2297"/>
      <c r="M37" s="2259"/>
      <c r="N37" s="2259"/>
      <c r="O37" s="2259"/>
      <c r="P37" s="3580"/>
      <c r="Q37" s="3343" t="str">
        <f t="shared" si="11"/>
        <v>市政基础设施</v>
      </c>
      <c r="R37" s="1341" t="s">
        <v>65</v>
      </c>
      <c r="S37" s="1342">
        <f t="shared" si="12"/>
        <v>100</v>
      </c>
      <c r="T37" s="1341" t="s">
        <v>65</v>
      </c>
      <c r="U37" s="1342">
        <f t="shared" si="13"/>
        <v>100</v>
      </c>
      <c r="V37" s="1341" t="s">
        <v>65</v>
      </c>
      <c r="W37" s="1342">
        <f t="shared" si="14"/>
        <v>100</v>
      </c>
      <c r="X37" s="287"/>
      <c r="Y37" s="3582"/>
      <c r="Z37" s="3344" t="str">
        <f t="shared" si="15"/>
        <v>市政基础设施</v>
      </c>
      <c r="AA37" s="1343">
        <f t="shared" si="3"/>
        <v>1</v>
      </c>
      <c r="AB37" s="1343">
        <f t="shared" si="4"/>
        <v>1</v>
      </c>
      <c r="AC37" s="1343">
        <f t="shared" si="5"/>
        <v>1</v>
      </c>
    </row>
    <row r="38" spans="1:29" ht="15">
      <c r="A38" s="161"/>
      <c r="B38" s="3357" t="s">
        <v>135</v>
      </c>
      <c r="C38" s="109" t="s">
        <v>3188</v>
      </c>
      <c r="D38" s="777">
        <v>100</v>
      </c>
      <c r="E38" s="109" t="s">
        <v>3188</v>
      </c>
      <c r="F38" s="803">
        <f>SUMIF(114:114,E38,115:115)-SUMIF(114:114,C38,115:115)+100</f>
        <v>100</v>
      </c>
      <c r="G38" s="109" t="s">
        <v>3188</v>
      </c>
      <c r="H38" s="777">
        <f>SUMIF(114:114,G38,115:115)-SUMIF(114:114,C38,115:115)+100</f>
        <v>100</v>
      </c>
      <c r="I38" s="109" t="s">
        <v>3188</v>
      </c>
      <c r="J38" s="777">
        <f>SUMIF(114:114,I38,115:115)-SUMIF(114:114,C38,115:115)+100</f>
        <v>100</v>
      </c>
      <c r="K38" s="954">
        <v>2</v>
      </c>
      <c r="L38" s="2301"/>
      <c r="M38" s="2296"/>
      <c r="N38" s="2296"/>
      <c r="O38" s="2296"/>
      <c r="P38" s="3580" t="s">
        <v>70</v>
      </c>
      <c r="Q38" s="3363" t="str">
        <f t="shared" si="11"/>
        <v>业态</v>
      </c>
      <c r="R38" s="1351" t="s">
        <v>65</v>
      </c>
      <c r="S38" s="1352">
        <f t="shared" si="12"/>
        <v>100</v>
      </c>
      <c r="T38" s="1351" t="s">
        <v>65</v>
      </c>
      <c r="U38" s="1352">
        <f t="shared" si="13"/>
        <v>100</v>
      </c>
      <c r="V38" s="1351" t="s">
        <v>65</v>
      </c>
      <c r="W38" s="1352">
        <f t="shared" si="14"/>
        <v>100</v>
      </c>
      <c r="X38" s="3360"/>
      <c r="Y38" s="3582" t="s">
        <v>70</v>
      </c>
      <c r="Z38" s="3361" t="str">
        <f t="shared" si="15"/>
        <v>业态</v>
      </c>
      <c r="AA38" s="3364">
        <f t="shared" si="3"/>
        <v>1</v>
      </c>
      <c r="AB38" s="3364">
        <f t="shared" si="4"/>
        <v>1</v>
      </c>
      <c r="AC38" s="3364">
        <f t="shared" si="5"/>
        <v>1</v>
      </c>
    </row>
    <row r="39" spans="1:29" ht="15">
      <c r="A39" s="161"/>
      <c r="B39" s="3357" t="s">
        <v>136</v>
      </c>
      <c r="C39" s="109" t="s">
        <v>3163</v>
      </c>
      <c r="D39" s="777">
        <v>100</v>
      </c>
      <c r="E39" s="109" t="s">
        <v>3163</v>
      </c>
      <c r="F39" s="803">
        <f>SUMIF(116:116,E39,117:117)-SUMIF(116:116,C39,117:117)+100</f>
        <v>100</v>
      </c>
      <c r="G39" s="109" t="s">
        <v>3163</v>
      </c>
      <c r="H39" s="777">
        <f>SUMIF(116:116,G39,117:117)-SUMIF(116:116,C39,117:117)+100</f>
        <v>100</v>
      </c>
      <c r="I39" s="109" t="s">
        <v>3163</v>
      </c>
      <c r="J39" s="777">
        <f>SUMIF(116:116,I39,117:117)-SUMIF(116:116,C39,117:117)+100</f>
        <v>100</v>
      </c>
      <c r="K39" s="954">
        <v>1</v>
      </c>
      <c r="L39" s="2301"/>
      <c r="M39" s="2296"/>
      <c r="N39" s="2296"/>
      <c r="O39" s="2296"/>
      <c r="P39" s="3580"/>
      <c r="Q39" s="3363" t="str">
        <f t="shared" si="11"/>
        <v>层高</v>
      </c>
      <c r="R39" s="1351" t="s">
        <v>65</v>
      </c>
      <c r="S39" s="1352">
        <f t="shared" si="12"/>
        <v>100</v>
      </c>
      <c r="T39" s="1351" t="s">
        <v>65</v>
      </c>
      <c r="U39" s="1352">
        <f t="shared" si="13"/>
        <v>100</v>
      </c>
      <c r="V39" s="1351" t="s">
        <v>65</v>
      </c>
      <c r="W39" s="1352">
        <f t="shared" si="14"/>
        <v>100</v>
      </c>
      <c r="X39" s="3360"/>
      <c r="Y39" s="3582"/>
      <c r="Z39" s="3361" t="str">
        <f t="shared" si="15"/>
        <v>层高</v>
      </c>
      <c r="AA39" s="3364">
        <f t="shared" si="3"/>
        <v>1</v>
      </c>
      <c r="AB39" s="3364">
        <f t="shared" si="4"/>
        <v>1</v>
      </c>
      <c r="AC39" s="3364">
        <f t="shared" si="5"/>
        <v>1</v>
      </c>
    </row>
    <row r="40" spans="1:29" ht="14.25">
      <c r="A40" s="161"/>
      <c r="B40" s="3357"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580"/>
      <c r="Q40" s="3363" t="str">
        <f t="shared" si="11"/>
        <v>单套建筑面积</v>
      </c>
      <c r="R40" s="1351" t="s">
        <v>65</v>
      </c>
      <c r="S40" s="1352">
        <f t="shared" si="12"/>
        <v>100</v>
      </c>
      <c r="T40" s="1351" t="s">
        <v>65</v>
      </c>
      <c r="U40" s="1352">
        <f t="shared" si="13"/>
        <v>100</v>
      </c>
      <c r="V40" s="1351" t="s">
        <v>65</v>
      </c>
      <c r="W40" s="1352">
        <f t="shared" si="14"/>
        <v>100</v>
      </c>
      <c r="X40" s="3360"/>
      <c r="Y40" s="3582"/>
      <c r="Z40" s="3361" t="str">
        <f t="shared" si="15"/>
        <v>单套建筑面积</v>
      </c>
      <c r="AA40" s="3364">
        <f t="shared" si="3"/>
        <v>1</v>
      </c>
      <c r="AB40" s="3364">
        <f t="shared" si="4"/>
        <v>1</v>
      </c>
      <c r="AC40" s="3364">
        <f t="shared" si="5"/>
        <v>1</v>
      </c>
    </row>
    <row r="41" spans="1:29" s="1038" customFormat="1" ht="15">
      <c r="A41" s="1042"/>
      <c r="B41" s="3362" t="s">
        <v>1035</v>
      </c>
      <c r="C41" s="182" t="s">
        <v>3151</v>
      </c>
      <c r="D41" s="777">
        <v>100</v>
      </c>
      <c r="E41" s="182" t="s">
        <v>3151</v>
      </c>
      <c r="F41" s="803">
        <f>SUMIF(120:120,E41,121:121)-SUMIF(120:120,C41,121:121)+100</f>
        <v>100</v>
      </c>
      <c r="G41" s="182" t="s">
        <v>3151</v>
      </c>
      <c r="H41" s="777">
        <f>SUMIF(120:120,G41,121:121)-SUMIF(120:120,C41,121:121)+100</f>
        <v>100</v>
      </c>
      <c r="I41" s="182" t="s">
        <v>3151</v>
      </c>
      <c r="J41" s="777">
        <f>SUMIF(120:120,I41,121:121)-SUMIF(120:120,C41,121:121)+100</f>
        <v>100</v>
      </c>
      <c r="K41" s="954">
        <v>3</v>
      </c>
      <c r="L41" s="2300"/>
      <c r="M41" s="2302"/>
      <c r="N41" s="2302"/>
      <c r="O41" s="2302"/>
      <c r="P41" s="3580"/>
      <c r="Q41" s="1358" t="str">
        <f t="shared" si="11"/>
        <v>进深比</v>
      </c>
      <c r="R41" s="1359" t="s">
        <v>65</v>
      </c>
      <c r="S41" s="1360">
        <f t="shared" si="12"/>
        <v>100</v>
      </c>
      <c r="T41" s="1359" t="s">
        <v>65</v>
      </c>
      <c r="U41" s="1360">
        <f t="shared" si="13"/>
        <v>100</v>
      </c>
      <c r="V41" s="1359" t="s">
        <v>65</v>
      </c>
      <c r="W41" s="1360">
        <f t="shared" si="14"/>
        <v>100</v>
      </c>
      <c r="X41" s="1361"/>
      <c r="Y41" s="3582"/>
      <c r="Z41" s="1362" t="str">
        <f t="shared" si="15"/>
        <v>进深比</v>
      </c>
      <c r="AA41" s="3364">
        <f t="shared" si="3"/>
        <v>1</v>
      </c>
      <c r="AB41" s="3364">
        <f t="shared" si="4"/>
        <v>1</v>
      </c>
      <c r="AC41" s="3364">
        <f t="shared" si="5"/>
        <v>1</v>
      </c>
    </row>
    <row r="42" spans="1:29" ht="15">
      <c r="A42" s="161"/>
      <c r="B42" s="3357" t="s">
        <v>137</v>
      </c>
      <c r="C42" s="109" t="s">
        <v>3122</v>
      </c>
      <c r="D42" s="777">
        <v>100</v>
      </c>
      <c r="E42" s="109" t="s">
        <v>3122</v>
      </c>
      <c r="F42" s="803">
        <f>SUMIF(122:122,E42,123:123)-SUMIF(122:122,C42,123:123)+100</f>
        <v>100</v>
      </c>
      <c r="G42" s="109" t="s">
        <v>3122</v>
      </c>
      <c r="H42" s="777">
        <f>SUMIF(122:122,G42,123:123)-SUMIF(122:122,C42,123:123)+100</f>
        <v>100</v>
      </c>
      <c r="I42" s="109" t="s">
        <v>3122</v>
      </c>
      <c r="J42" s="777">
        <f>SUMIF(122:122,I42,123:123)-SUMIF(122:122,C42,123:123)+100</f>
        <v>100</v>
      </c>
      <c r="K42" s="954">
        <v>2</v>
      </c>
      <c r="L42" s="2301"/>
      <c r="M42" s="2296"/>
      <c r="N42" s="2296"/>
      <c r="O42" s="2296"/>
      <c r="P42" s="3580"/>
      <c r="Q42" s="3363" t="str">
        <f t="shared" si="11"/>
        <v>内部装修</v>
      </c>
      <c r="R42" s="1351" t="s">
        <v>65</v>
      </c>
      <c r="S42" s="1352">
        <f t="shared" si="12"/>
        <v>100</v>
      </c>
      <c r="T42" s="1351" t="s">
        <v>65</v>
      </c>
      <c r="U42" s="1352">
        <f t="shared" si="13"/>
        <v>100</v>
      </c>
      <c r="V42" s="1351" t="s">
        <v>65</v>
      </c>
      <c r="W42" s="1352">
        <f t="shared" si="14"/>
        <v>100</v>
      </c>
      <c r="X42" s="3360"/>
      <c r="Y42" s="3582"/>
      <c r="Z42" s="3361" t="str">
        <f t="shared" si="15"/>
        <v>内部装修</v>
      </c>
      <c r="AA42" s="3364">
        <f t="shared" si="3"/>
        <v>1</v>
      </c>
      <c r="AB42" s="3364">
        <f t="shared" si="4"/>
        <v>1</v>
      </c>
      <c r="AC42" s="3364">
        <f t="shared" si="5"/>
        <v>1</v>
      </c>
    </row>
    <row r="43" spans="1:29" ht="27">
      <c r="A43" s="161"/>
      <c r="B43" s="3357" t="s">
        <v>84</v>
      </c>
      <c r="C43" s="109" t="s">
        <v>3108</v>
      </c>
      <c r="D43" s="777">
        <v>100</v>
      </c>
      <c r="E43" s="109" t="s">
        <v>3108</v>
      </c>
      <c r="F43" s="803">
        <f>SUMIF(124:124,E43,125:125)-SUMIF(124:124,C43,125:125)+100</f>
        <v>100</v>
      </c>
      <c r="G43" s="109" t="s">
        <v>3108</v>
      </c>
      <c r="H43" s="777">
        <f>SUMIF(124:124,G43,125:125)-SUMIF(124:124,C43,125:125)+100</f>
        <v>100</v>
      </c>
      <c r="I43" s="109" t="s">
        <v>3108</v>
      </c>
      <c r="J43" s="777">
        <f>SUMIF(124:124,I43,125:125)-SUMIF(124:124,C43,125:125)+100</f>
        <v>100</v>
      </c>
      <c r="K43" s="954">
        <v>1</v>
      </c>
      <c r="L43" s="2301"/>
      <c r="M43" s="2296"/>
      <c r="N43" s="2296"/>
      <c r="O43" s="2296"/>
      <c r="P43" s="3580"/>
      <c r="Q43" s="3363" t="str">
        <f t="shared" si="11"/>
        <v>内部装修维护情况</v>
      </c>
      <c r="R43" s="1351" t="s">
        <v>65</v>
      </c>
      <c r="S43" s="1352">
        <f t="shared" si="12"/>
        <v>100</v>
      </c>
      <c r="T43" s="1351" t="s">
        <v>65</v>
      </c>
      <c r="U43" s="1352">
        <f t="shared" si="13"/>
        <v>100</v>
      </c>
      <c r="V43" s="1351" t="s">
        <v>65</v>
      </c>
      <c r="W43" s="1352">
        <f t="shared" si="14"/>
        <v>100</v>
      </c>
      <c r="X43" s="3360"/>
      <c r="Y43" s="3582"/>
      <c r="Z43" s="3361" t="str">
        <f t="shared" si="15"/>
        <v>内部装修维护情况</v>
      </c>
      <c r="AA43" s="3364">
        <f t="shared" si="3"/>
        <v>1</v>
      </c>
      <c r="AB43" s="3364">
        <f t="shared" si="4"/>
        <v>1</v>
      </c>
      <c r="AC43" s="336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80"/>
      <c r="Q44" s="3343">
        <f t="shared" si="11"/>
        <v>111</v>
      </c>
      <c r="R44" s="1341" t="s">
        <v>65</v>
      </c>
      <c r="S44" s="1342">
        <f t="shared" si="12"/>
        <v>100</v>
      </c>
      <c r="T44" s="1341" t="s">
        <v>65</v>
      </c>
      <c r="U44" s="1342">
        <f t="shared" si="13"/>
        <v>100</v>
      </c>
      <c r="V44" s="1341" t="s">
        <v>65</v>
      </c>
      <c r="W44" s="1342">
        <f t="shared" si="14"/>
        <v>100</v>
      </c>
      <c r="X44" s="287"/>
      <c r="Y44" s="3582"/>
      <c r="Z44" s="3344">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580"/>
      <c r="Q45" s="3363">
        <f t="shared" si="11"/>
        <v>111</v>
      </c>
      <c r="R45" s="1351" t="s">
        <v>65</v>
      </c>
      <c r="S45" s="1352">
        <f t="shared" si="12"/>
        <v>100</v>
      </c>
      <c r="T45" s="1351" t="s">
        <v>65</v>
      </c>
      <c r="U45" s="1352">
        <f t="shared" si="13"/>
        <v>100</v>
      </c>
      <c r="V45" s="1351" t="s">
        <v>65</v>
      </c>
      <c r="W45" s="1352">
        <f t="shared" si="14"/>
        <v>100</v>
      </c>
      <c r="X45" s="3360"/>
      <c r="Y45" s="3582"/>
      <c r="Z45" s="3361">
        <f t="shared" si="15"/>
        <v>111</v>
      </c>
      <c r="AA45" s="3364">
        <f t="shared" si="3"/>
        <v>1</v>
      </c>
      <c r="AB45" s="3364">
        <f t="shared" si="4"/>
        <v>1</v>
      </c>
      <c r="AC45" s="336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581"/>
      <c r="Q46" s="3363">
        <f t="shared" si="11"/>
        <v>111</v>
      </c>
      <c r="R46" s="1351" t="s">
        <v>65</v>
      </c>
      <c r="S46" s="1352">
        <f t="shared" si="12"/>
        <v>100</v>
      </c>
      <c r="T46" s="1351" t="s">
        <v>65</v>
      </c>
      <c r="U46" s="1352">
        <f t="shared" si="13"/>
        <v>100</v>
      </c>
      <c r="V46" s="1351" t="s">
        <v>65</v>
      </c>
      <c r="W46" s="1352">
        <f t="shared" si="14"/>
        <v>100</v>
      </c>
      <c r="X46" s="3360"/>
      <c r="Y46" s="3583"/>
      <c r="Z46" s="3361">
        <f t="shared" si="15"/>
        <v>111</v>
      </c>
      <c r="AA46" s="3364">
        <f t="shared" si="3"/>
        <v>1</v>
      </c>
      <c r="AB46" s="3364">
        <f t="shared" si="4"/>
        <v>1</v>
      </c>
      <c r="AC46" s="3364">
        <f t="shared" si="5"/>
        <v>1</v>
      </c>
    </row>
    <row r="47" spans="1:29" ht="15">
      <c r="A47" s="163" t="s">
        <v>102</v>
      </c>
      <c r="B47" s="164"/>
      <c r="C47" s="2836" t="s">
        <v>23</v>
      </c>
      <c r="D47" s="2837"/>
      <c r="E47" s="2838">
        <v>5.9</v>
      </c>
      <c r="F47" s="2839"/>
      <c r="G47" s="2840">
        <v>6.7</v>
      </c>
      <c r="H47" s="2841"/>
      <c r="I47" s="2838">
        <v>6.3</v>
      </c>
      <c r="J47" s="2841"/>
      <c r="K47" s="1392"/>
      <c r="L47" s="2303"/>
      <c r="M47" s="2304"/>
      <c r="N47" s="2296"/>
      <c r="O47" s="2304"/>
      <c r="P47" s="3570" t="str">
        <f>A47</f>
        <v>成交单价（元/平方米）</v>
      </c>
      <c r="Q47" s="3570"/>
      <c r="R47" s="3584">
        <f>E47</f>
        <v>5.9</v>
      </c>
      <c r="S47" s="3584"/>
      <c r="T47" s="3584">
        <f>G47</f>
        <v>6.7</v>
      </c>
      <c r="U47" s="3584"/>
      <c r="V47" s="3584">
        <f>I47</f>
        <v>6.3</v>
      </c>
      <c r="W47" s="3584"/>
      <c r="X47" s="1364"/>
      <c r="Y47" s="1365"/>
      <c r="Z47" s="1364"/>
      <c r="AA47" s="1364"/>
      <c r="AB47" s="1364"/>
      <c r="AC47" s="1364"/>
    </row>
    <row r="48" spans="1:29" ht="15.75" thickBot="1">
      <c r="A48" s="165" t="s">
        <v>100</v>
      </c>
      <c r="B48" s="166"/>
      <c r="C48" s="2842">
        <f>R49</f>
        <v>6.8</v>
      </c>
      <c r="D48" s="2843"/>
      <c r="E48" s="2844">
        <f>R48</f>
        <v>6.3</v>
      </c>
      <c r="F48" s="2844"/>
      <c r="G48" s="2842">
        <f>T48</f>
        <v>7.3</v>
      </c>
      <c r="H48" s="2843"/>
      <c r="I48" s="2844">
        <f>V48</f>
        <v>6.8</v>
      </c>
      <c r="J48" s="2843"/>
      <c r="K48" s="1393"/>
      <c r="L48" s="2303"/>
      <c r="M48" s="2304"/>
      <c r="N48" s="2296"/>
      <c r="O48" s="2304"/>
      <c r="P48" s="3570" t="str">
        <f>A48</f>
        <v>比较价值（元/平方米）</v>
      </c>
      <c r="Q48" s="3570"/>
      <c r="R48" s="3571">
        <f>IF(F1="售价",ROUND(PRODUCT(R47,AA7:AA46),0),ROUND(PRODUCT(R47,AA7:AA46),1))</f>
        <v>6.3</v>
      </c>
      <c r="S48" s="3571"/>
      <c r="T48" s="3571">
        <f>IF(F1="售价",ROUND(PRODUCT(T47,AB7:AB46),0),ROUND(PRODUCT(T47,AB7:AB46),1))</f>
        <v>7.3</v>
      </c>
      <c r="U48" s="3571"/>
      <c r="V48" s="3571">
        <f>IF(F1="售价",ROUND(PRODUCT(V47,AC7:AC46),0),ROUND(PRODUCT(V47,AC7:AC46),1))</f>
        <v>6.8</v>
      </c>
      <c r="W48" s="3571"/>
      <c r="X48" s="1364"/>
      <c r="Y48" s="1364"/>
      <c r="Z48" s="1364"/>
      <c r="AA48" s="1364"/>
      <c r="AB48" s="1364"/>
      <c r="AC48" s="1364"/>
    </row>
    <row r="49" spans="1:29" ht="15.75" thickBot="1">
      <c r="A49" s="115" t="s">
        <v>3157</v>
      </c>
      <c r="B49" s="116"/>
      <c r="C49" s="2846">
        <f>R49</f>
        <v>6.8</v>
      </c>
      <c r="D49" s="2846"/>
      <c r="E49" s="2846"/>
      <c r="F49" s="2846"/>
      <c r="G49" s="2846"/>
      <c r="H49" s="2846"/>
      <c r="I49" s="2846"/>
      <c r="J49" s="2846"/>
      <c r="K49" s="1394"/>
      <c r="L49" s="2303"/>
      <c r="M49" s="2304"/>
      <c r="N49" s="2296"/>
      <c r="O49" s="2304"/>
      <c r="P49" s="3572" t="str">
        <f>A49</f>
        <v>估价对象商业用房的比较价值（楼面单价，元/平方米）</v>
      </c>
      <c r="Q49" s="3573"/>
      <c r="R49" s="3574">
        <f>IF(F1="售价",ROUND(AVERAGE(R48:V48),0),ROUND(AVERAGE(R48:V48),1))</f>
        <v>6.8</v>
      </c>
      <c r="S49" s="3574"/>
      <c r="T49" s="3574"/>
      <c r="U49" s="3574"/>
      <c r="V49" s="3574"/>
      <c r="W49" s="3574"/>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412</v>
      </c>
      <c r="D52" s="840"/>
      <c r="E52" s="841">
        <f>IF(E47&lt;E48,E48/E47-1,E47/E48-1)</f>
        <v>6.7796610169491345E-2</v>
      </c>
      <c r="F52" s="842" t="str">
        <f>IF(OR(E52&gt;=0.3,E52&lt;=-0.3),"超过30%","")</f>
        <v/>
      </c>
      <c r="G52" s="841">
        <f>IF(G47&lt;G48,G48/G47-1,G47/G48-1)</f>
        <v>8.9552238805970186E-2</v>
      </c>
      <c r="H52" s="842" t="str">
        <f>IF(OR(G52&gt;=0.3,G52&lt;=-0.3),"超过30%","")</f>
        <v/>
      </c>
      <c r="I52" s="841">
        <f>IF(I47&lt;I48,I48/I47-1,I47/I48-1)</f>
        <v>7.9365079365079305E-2</v>
      </c>
      <c r="J52" s="842" t="str">
        <f>IF(OR(I52&gt;=0.3,I52&lt;=-0.3),"超过30%","")</f>
        <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413</v>
      </c>
      <c r="D53" s="843"/>
      <c r="E53" s="841">
        <f>IF(E48&lt;G48,G48/E48-1,E48/G48-1)</f>
        <v>0.15873015873015883</v>
      </c>
      <c r="F53" s="842" t="str">
        <f>IF(OR(E53&gt;=0.2,E53&lt;=-0.2),"超过20%","")</f>
        <v/>
      </c>
      <c r="G53" s="841">
        <f>IF(G48&lt;I48,I48/G48-1,G48/I48-1)</f>
        <v>7.3529411764705843E-2</v>
      </c>
      <c r="H53" s="842" t="str">
        <f>IF(OR(G53&gt;=0.2,G53&lt;=-0.2),"超过20%","")</f>
        <v/>
      </c>
      <c r="I53" s="841">
        <f>IF(I48&lt;E48,E48/I48-1,I48/E48-1)</f>
        <v>7.9365079365079305E-2</v>
      </c>
      <c r="J53" s="842" t="str">
        <f>IF(OR(I53&gt;=0.2,I53&lt;=-0.2),"超过20%","")</f>
        <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414</v>
      </c>
      <c r="D54" s="843"/>
      <c r="E54" s="841">
        <f>IF(E47&lt;G47,G47/E47-1,E47/G47-1)</f>
        <v>0.13559322033898291</v>
      </c>
      <c r="F54" s="842" t="str">
        <f>IF(OR(E54&gt;=0.3,E54&lt;=-0.3),"超过30%","")</f>
        <v/>
      </c>
      <c r="G54" s="841">
        <f>IF(G47&lt;I47,I47/G47-1,G47/I47-1)</f>
        <v>6.3492063492063489E-2</v>
      </c>
      <c r="H54" s="842" t="str">
        <f>IF(OR(G54&gt;=0.3,G54&lt;=-0.3),"超过30%","")</f>
        <v/>
      </c>
      <c r="I54" s="841">
        <f>IF(I47&lt;E47,E47/I47-1,I47/E47-1)</f>
        <v>6.7796610169491345E-2</v>
      </c>
      <c r="J54" s="842" t="str">
        <f>IF(OR(I54&gt;=0.3,I54&lt;=-0.3),"超过30%","")</f>
        <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127</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398</v>
      </c>
      <c r="B58" s="848"/>
      <c r="C58" s="3045" t="str">
        <f>YEAR(C7)&amp;"-"&amp;MONTH(C7)</f>
        <v>2017-11</v>
      </c>
      <c r="D58" s="3046">
        <f>EDATE(C58,-1)</f>
        <v>43009</v>
      </c>
      <c r="E58" s="3046">
        <f t="shared" ref="E58:N58" si="16">EDATE(D58,-1)</f>
        <v>42979</v>
      </c>
      <c r="F58" s="3046">
        <f t="shared" si="16"/>
        <v>42948</v>
      </c>
      <c r="G58" s="3046">
        <f t="shared" si="16"/>
        <v>42917</v>
      </c>
      <c r="H58" s="3046">
        <f t="shared" si="16"/>
        <v>42887</v>
      </c>
      <c r="I58" s="3046">
        <f t="shared" si="16"/>
        <v>42856</v>
      </c>
      <c r="J58" s="3046">
        <f t="shared" si="16"/>
        <v>42826</v>
      </c>
      <c r="K58" s="3046">
        <f t="shared" si="16"/>
        <v>42795</v>
      </c>
      <c r="L58" s="3046">
        <f t="shared" si="16"/>
        <v>42767</v>
      </c>
      <c r="M58" s="3046">
        <f t="shared" si="16"/>
        <v>42736</v>
      </c>
      <c r="N58" s="3046">
        <f t="shared" si="16"/>
        <v>42705</v>
      </c>
      <c r="O58" s="3046">
        <f>EDATE(N58,-1)</f>
        <v>42675</v>
      </c>
      <c r="P58" s="3039"/>
    </row>
    <row r="59" spans="1:29" s="40" customFormat="1" ht="14.25">
      <c r="A59" s="1044"/>
      <c r="B59" s="1045"/>
      <c r="C59" s="3043">
        <v>100</v>
      </c>
      <c r="D59" s="854"/>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420</v>
      </c>
      <c r="D65" s="881" t="s">
        <v>421</v>
      </c>
      <c r="E65" s="881" t="s">
        <v>1012</v>
      </c>
      <c r="F65" s="881" t="s">
        <v>423</v>
      </c>
      <c r="G65" s="881" t="s">
        <v>438</v>
      </c>
      <c r="H65" s="881" t="s">
        <v>439</v>
      </c>
      <c r="I65" s="881" t="s">
        <v>1016</v>
      </c>
      <c r="J65" s="881"/>
      <c r="K65" s="882"/>
      <c r="L65" s="883"/>
      <c r="M65" s="884"/>
      <c r="N65" s="1388"/>
      <c r="O65" s="1388"/>
      <c r="P65" s="1378"/>
      <c r="Q65" s="121"/>
    </row>
    <row r="66" spans="1:17" ht="15" thickBot="1">
      <c r="A66" s="173"/>
      <c r="B66" s="1054"/>
      <c r="C66" s="886" t="s">
        <v>138</v>
      </c>
      <c r="D66" s="886" t="s">
        <v>138</v>
      </c>
      <c r="E66" s="886" t="s">
        <v>138</v>
      </c>
      <c r="F66" s="886">
        <v>100</v>
      </c>
      <c r="G66" s="886">
        <f>F66-$K10</f>
        <v>98</v>
      </c>
      <c r="H66" s="886">
        <f>G66-$K10</f>
        <v>96</v>
      </c>
      <c r="I66" s="886">
        <f>H66-$K10</f>
        <v>94</v>
      </c>
      <c r="J66" s="886"/>
      <c r="K66" s="886"/>
      <c r="L66" s="886"/>
      <c r="M66" s="887"/>
      <c r="N66" s="1389"/>
      <c r="O66" s="1389"/>
      <c r="P66" s="1378"/>
      <c r="Q66" s="121"/>
    </row>
    <row r="67" spans="1:17" ht="15" thickTop="1">
      <c r="A67" s="173"/>
      <c r="B67" s="1055" t="s">
        <v>93</v>
      </c>
      <c r="C67" s="889" t="str">
        <f>C68&amp;"（含）"&amp;"-"&amp;D68</f>
        <v>0（含）-1</v>
      </c>
      <c r="D67" s="889" t="str">
        <f t="shared" ref="D67:L67" si="17">D68&amp;"（含）"&amp;"-"&amp;E68</f>
        <v>1（含）-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1</v>
      </c>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425</v>
      </c>
      <c r="D76" s="915" t="s">
        <v>426</v>
      </c>
      <c r="E76" s="915" t="s">
        <v>1019</v>
      </c>
      <c r="F76" s="915" t="s">
        <v>428</v>
      </c>
      <c r="G76" s="915" t="s">
        <v>429</v>
      </c>
      <c r="H76" s="871"/>
      <c r="I76" s="871"/>
      <c r="J76" s="871"/>
      <c r="K76" s="916"/>
      <c r="L76" s="917"/>
      <c r="M76" s="918"/>
      <c r="N76" s="1388"/>
      <c r="O76" s="1388"/>
      <c r="P76" s="1382"/>
      <c r="Q76" s="121"/>
    </row>
    <row r="77" spans="1:17" ht="15" thickBot="1">
      <c r="A77" s="173"/>
      <c r="B77" s="1054"/>
      <c r="C77" s="886">
        <v>100</v>
      </c>
      <c r="D77" s="886">
        <f>C77-$K15</f>
        <v>97</v>
      </c>
      <c r="E77" s="886">
        <f>D77-$K15</f>
        <v>94</v>
      </c>
      <c r="F77" s="886">
        <f>E77-$K15</f>
        <v>91</v>
      </c>
      <c r="G77" s="886">
        <f>F77-$K15</f>
        <v>88</v>
      </c>
      <c r="H77" s="886"/>
      <c r="I77" s="886"/>
      <c r="J77" s="886"/>
      <c r="K77" s="886"/>
      <c r="L77" s="886"/>
      <c r="M77" s="887"/>
      <c r="N77" s="1389"/>
      <c r="O77" s="1389"/>
      <c r="P77" s="1378"/>
      <c r="Q77" s="121"/>
    </row>
    <row r="78" spans="1:17" ht="15" thickTop="1">
      <c r="A78" s="173"/>
      <c r="B78" s="1053" t="s">
        <v>92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9"/>
      <c r="O79" s="1389"/>
      <c r="P79" s="1378"/>
      <c r="Q79" s="121"/>
    </row>
    <row r="80" spans="1:17" ht="15" thickTop="1">
      <c r="A80" s="173"/>
      <c r="B80" s="1053" t="s">
        <v>31</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2658</v>
      </c>
      <c r="C82" s="213" t="s">
        <v>2661</v>
      </c>
      <c r="D82" s="213" t="s">
        <v>2662</v>
      </c>
      <c r="E82" s="213" t="s">
        <v>2663</v>
      </c>
      <c r="F82" s="213" t="s">
        <v>2664</v>
      </c>
      <c r="G82" s="213" t="s">
        <v>2665</v>
      </c>
      <c r="H82" s="881"/>
      <c r="I82" s="881"/>
      <c r="J82" s="881"/>
      <c r="K82" s="881"/>
      <c r="L82" s="881"/>
      <c r="M82" s="2765"/>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1056</v>
      </c>
      <c r="C86" s="139" t="s">
        <v>3127</v>
      </c>
      <c r="D86" s="139" t="s">
        <v>3128</v>
      </c>
      <c r="E86" s="139" t="s">
        <v>3130</v>
      </c>
      <c r="F86" s="139" t="s">
        <v>3131</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97</v>
      </c>
      <c r="E87" s="886">
        <f t="shared" si="20"/>
        <v>94</v>
      </c>
      <c r="F87" s="886">
        <f t="shared" si="20"/>
        <v>91</v>
      </c>
      <c r="G87" s="886">
        <f t="shared" si="20"/>
        <v>88</v>
      </c>
      <c r="H87" s="886">
        <f t="shared" si="20"/>
        <v>85</v>
      </c>
      <c r="I87" s="886">
        <f t="shared" si="20"/>
        <v>82</v>
      </c>
      <c r="J87" s="886">
        <f t="shared" si="20"/>
        <v>79</v>
      </c>
      <c r="K87" s="886">
        <f t="shared" si="20"/>
        <v>76</v>
      </c>
      <c r="L87" s="886">
        <f t="shared" si="20"/>
        <v>73</v>
      </c>
      <c r="M87" s="886">
        <f t="shared" si="20"/>
        <v>70</v>
      </c>
      <c r="N87" s="1389"/>
      <c r="O87" s="1389"/>
      <c r="P87" s="1378"/>
      <c r="Q87" s="121"/>
    </row>
    <row r="88" spans="1:17" s="40" customFormat="1" ht="14.25" thickTop="1">
      <c r="A88" s="1071"/>
      <c r="B88" s="1053" t="str">
        <f>B26</f>
        <v>平面位置/可视性</v>
      </c>
      <c r="C88" s="3367" t="s">
        <v>425</v>
      </c>
      <c r="D88" s="3367" t="s">
        <v>426</v>
      </c>
      <c r="E88" s="3367" t="s">
        <v>427</v>
      </c>
      <c r="F88" s="3367" t="s">
        <v>428</v>
      </c>
      <c r="G88" s="3367" t="s">
        <v>429</v>
      </c>
      <c r="H88" s="139"/>
      <c r="I88" s="139"/>
      <c r="J88" s="139"/>
      <c r="K88" s="139"/>
      <c r="L88" s="139"/>
      <c r="M88" s="1384"/>
      <c r="N88" s="1387"/>
      <c r="O88" s="1387"/>
      <c r="P88" s="1378"/>
      <c r="Q88" s="121"/>
    </row>
    <row r="89" spans="1:17" s="40" customFormat="1" ht="15" thickBot="1">
      <c r="A89" s="1071"/>
      <c r="B89" s="1054"/>
      <c r="C89" s="902">
        <v>100</v>
      </c>
      <c r="D89" s="878">
        <v>98</v>
      </c>
      <c r="E89" s="902">
        <v>96</v>
      </c>
      <c r="F89" s="878">
        <v>94</v>
      </c>
      <c r="G89" s="902">
        <v>92</v>
      </c>
      <c r="H89" s="878"/>
      <c r="I89" s="878"/>
      <c r="J89" s="878"/>
      <c r="K89" s="878"/>
      <c r="L89" s="878"/>
      <c r="M89" s="878"/>
      <c r="N89" s="1389"/>
      <c r="O89" s="1389"/>
      <c r="P89" s="1378"/>
      <c r="Q89" s="121"/>
    </row>
    <row r="90" spans="1:17" s="1038" customFormat="1" ht="14.25" thickTop="1">
      <c r="A90" s="1057"/>
      <c r="B90" s="1053" t="str">
        <f>B27</f>
        <v>人流量</v>
      </c>
      <c r="C90" s="3368" t="s">
        <v>2582</v>
      </c>
      <c r="D90" s="3368" t="s">
        <v>3133</v>
      </c>
      <c r="E90" s="3367" t="s">
        <v>427</v>
      </c>
      <c r="F90" s="3367" t="s">
        <v>428</v>
      </c>
      <c r="G90" s="3367" t="s">
        <v>429</v>
      </c>
      <c r="H90" s="1058"/>
      <c r="I90" s="1058"/>
      <c r="J90" s="1058"/>
      <c r="K90" s="1058"/>
      <c r="L90" s="1059"/>
      <c r="M90" s="1060"/>
      <c r="N90" s="1390"/>
      <c r="O90" s="1390"/>
      <c r="P90" s="1379"/>
      <c r="Q90" s="1062"/>
    </row>
    <row r="91" spans="1:17" s="1038" customFormat="1" ht="15" thickBot="1">
      <c r="A91" s="1057"/>
      <c r="B91" s="1054"/>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90"/>
      <c r="O91" s="1390"/>
      <c r="P91" s="1379"/>
      <c r="Q91" s="1062"/>
    </row>
    <row r="92" spans="1:17" ht="14.25" thickTop="1">
      <c r="A92" s="173"/>
      <c r="B92" s="1053" t="str">
        <f>B28</f>
        <v>楼层</v>
      </c>
      <c r="C92" s="139" t="s">
        <v>3134</v>
      </c>
      <c r="D92" s="139" t="s">
        <v>3135</v>
      </c>
      <c r="E92" s="139"/>
      <c r="F92" s="139"/>
      <c r="G92" s="139"/>
      <c r="H92" s="139"/>
      <c r="I92" s="139"/>
      <c r="J92" s="139"/>
      <c r="K92" s="139"/>
      <c r="L92" s="1383"/>
      <c r="M92" s="1384"/>
      <c r="N92" s="1388"/>
      <c r="O92" s="1388"/>
      <c r="P92" s="1378"/>
      <c r="Q92" s="121"/>
    </row>
    <row r="93" spans="1:17" ht="15" thickBot="1">
      <c r="A93" s="173"/>
      <c r="B93" s="1054"/>
      <c r="C93" s="878">
        <v>100</v>
      </c>
      <c r="D93" s="878">
        <v>75</v>
      </c>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70</v>
      </c>
      <c r="B100" s="286" t="s">
        <v>1058</v>
      </c>
      <c r="C100" s="122" t="s">
        <v>3136</v>
      </c>
      <c r="D100" s="122" t="s">
        <v>3137</v>
      </c>
      <c r="E100" s="122" t="s">
        <v>3138</v>
      </c>
      <c r="F100" s="122" t="s">
        <v>3139</v>
      </c>
      <c r="G100" s="122" t="s">
        <v>3141</v>
      </c>
      <c r="H100" s="122"/>
      <c r="I100" s="122"/>
      <c r="J100" s="122"/>
      <c r="K100" s="123"/>
      <c r="L100" s="124"/>
      <c r="M100" s="125"/>
      <c r="N100" s="1388"/>
      <c r="O100" s="1388"/>
      <c r="P100" s="1378"/>
      <c r="Q100" s="121"/>
    </row>
    <row r="101" spans="1:17" ht="15" thickBot="1">
      <c r="A101" s="173"/>
      <c r="B101" s="1054"/>
      <c r="C101" s="886">
        <v>100</v>
      </c>
      <c r="D101" s="886">
        <f t="shared" ref="D101:M101" si="22">C101-$K32</f>
        <v>99</v>
      </c>
      <c r="E101" s="886">
        <f t="shared" si="22"/>
        <v>98</v>
      </c>
      <c r="F101" s="886">
        <f t="shared" si="22"/>
        <v>97</v>
      </c>
      <c r="G101" s="886">
        <f t="shared" si="22"/>
        <v>96</v>
      </c>
      <c r="H101" s="886">
        <f t="shared" si="22"/>
        <v>95</v>
      </c>
      <c r="I101" s="886">
        <f t="shared" si="22"/>
        <v>94</v>
      </c>
      <c r="J101" s="886">
        <f t="shared" si="22"/>
        <v>93</v>
      </c>
      <c r="K101" s="886">
        <f t="shared" si="22"/>
        <v>92</v>
      </c>
      <c r="L101" s="886">
        <f t="shared" si="22"/>
        <v>91</v>
      </c>
      <c r="M101" s="887">
        <f t="shared" si="22"/>
        <v>90</v>
      </c>
      <c r="N101" s="1389"/>
      <c r="O101" s="1389"/>
      <c r="P101" s="1378"/>
      <c r="Q101" s="121"/>
    </row>
    <row r="102" spans="1:17" ht="15" thickTop="1">
      <c r="A102" s="173"/>
      <c r="B102" s="1053" t="s">
        <v>96</v>
      </c>
      <c r="C102" s="920" t="str">
        <f>C103&amp;"(含)"&amp;"-"&amp;D103</f>
        <v>0(含)-50</v>
      </c>
      <c r="D102" s="920" t="str">
        <f t="shared" ref="D102:L102" si="23">D103&amp;"(含)"&amp;"-"&amp;E103</f>
        <v>50(含)-100</v>
      </c>
      <c r="E102" s="920" t="str">
        <f t="shared" si="23"/>
        <v>100(含)-200</v>
      </c>
      <c r="F102" s="920" t="str">
        <f t="shared" si="23"/>
        <v>200(含)-300</v>
      </c>
      <c r="G102" s="920" t="str">
        <f t="shared" si="23"/>
        <v>300(含)-400</v>
      </c>
      <c r="H102" s="920" t="str">
        <f t="shared" si="23"/>
        <v>400(含)-500</v>
      </c>
      <c r="I102" s="920" t="str">
        <f t="shared" si="23"/>
        <v>500(含)-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300</v>
      </c>
      <c r="H103" s="937">
        <v>400</v>
      </c>
      <c r="I103" s="937">
        <v>500</v>
      </c>
      <c r="J103" s="938"/>
      <c r="K103" s="938"/>
      <c r="L103" s="939"/>
      <c r="M103" s="940"/>
      <c r="N103" s="1390"/>
      <c r="O103" s="1390"/>
      <c r="P103" s="1379"/>
      <c r="Q103" s="1062"/>
    </row>
    <row r="104" spans="1:17" s="1038" customFormat="1" ht="15" thickBot="1">
      <c r="A104" s="1057"/>
      <c r="B104" s="1054"/>
      <c r="C104" s="902">
        <v>100</v>
      </c>
      <c r="D104" s="878">
        <v>98</v>
      </c>
      <c r="E104" s="902">
        <v>96</v>
      </c>
      <c r="F104" s="878">
        <v>94</v>
      </c>
      <c r="G104" s="902">
        <v>92</v>
      </c>
      <c r="H104" s="878">
        <v>90</v>
      </c>
      <c r="I104" s="902">
        <v>88</v>
      </c>
      <c r="J104" s="878"/>
      <c r="K104" s="878"/>
      <c r="L104" s="878"/>
      <c r="M104" s="879"/>
      <c r="N104" s="1389"/>
      <c r="O104" s="1389"/>
      <c r="P104" s="1379"/>
      <c r="Q104" s="1062"/>
    </row>
    <row r="105" spans="1:17" ht="14.25" thickTop="1">
      <c r="A105" s="175"/>
      <c r="B105" s="1053" t="s">
        <v>95</v>
      </c>
      <c r="C105" s="139" t="s">
        <v>3142</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124</v>
      </c>
      <c r="C107" s="139" t="s">
        <v>3143</v>
      </c>
      <c r="D107" s="139" t="s">
        <v>3144</v>
      </c>
      <c r="E107" s="139" t="s">
        <v>3145</v>
      </c>
      <c r="F107" s="131" t="s">
        <v>3146</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99</v>
      </c>
      <c r="E108" s="886">
        <f t="shared" si="25"/>
        <v>98</v>
      </c>
      <c r="F108" s="886">
        <f t="shared" si="25"/>
        <v>97</v>
      </c>
      <c r="G108" s="886">
        <f t="shared" si="25"/>
        <v>96</v>
      </c>
      <c r="H108" s="886">
        <f t="shared" si="25"/>
        <v>95</v>
      </c>
      <c r="I108" s="886">
        <f t="shared" si="25"/>
        <v>94</v>
      </c>
      <c r="J108" s="886">
        <f t="shared" si="25"/>
        <v>93</v>
      </c>
      <c r="K108" s="886">
        <f t="shared" si="25"/>
        <v>92</v>
      </c>
      <c r="L108" s="886">
        <f t="shared" si="25"/>
        <v>91</v>
      </c>
      <c r="M108" s="887">
        <f t="shared" si="25"/>
        <v>90</v>
      </c>
      <c r="N108" s="1389"/>
      <c r="O108" s="1389"/>
      <c r="P108" s="1378"/>
      <c r="Q108" s="121"/>
    </row>
    <row r="109" spans="1:17" ht="15" thickTop="1">
      <c r="A109" s="175"/>
      <c r="B109" s="1053" t="s">
        <v>112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9"/>
      <c r="O111" s="1389"/>
      <c r="P111" s="1378"/>
      <c r="Q111" s="121"/>
    </row>
    <row r="112" spans="1:17" s="1038" customFormat="1" ht="14.25" thickTop="1">
      <c r="A112" s="1072"/>
      <c r="B112" s="1053" t="s">
        <v>2643</v>
      </c>
      <c r="C112" s="139" t="s">
        <v>3147</v>
      </c>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1063</v>
      </c>
      <c r="C114" s="139" t="s">
        <v>3148</v>
      </c>
      <c r="D114" s="139" t="s">
        <v>3150</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98</v>
      </c>
      <c r="E115" s="886">
        <f t="shared" si="28"/>
        <v>96</v>
      </c>
      <c r="F115" s="886">
        <f t="shared" si="28"/>
        <v>94</v>
      </c>
      <c r="G115" s="886">
        <f t="shared" si="28"/>
        <v>92</v>
      </c>
      <c r="H115" s="886">
        <f t="shared" si="28"/>
        <v>90</v>
      </c>
      <c r="I115" s="886">
        <f t="shared" si="28"/>
        <v>88</v>
      </c>
      <c r="J115" s="886">
        <f t="shared" si="28"/>
        <v>86</v>
      </c>
      <c r="K115" s="886">
        <f t="shared" si="28"/>
        <v>84</v>
      </c>
      <c r="L115" s="886">
        <f t="shared" si="28"/>
        <v>82</v>
      </c>
      <c r="M115" s="887">
        <f t="shared" si="28"/>
        <v>80</v>
      </c>
      <c r="N115" s="1389"/>
      <c r="O115" s="1389"/>
      <c r="P115" s="1378"/>
      <c r="Q115" s="121"/>
    </row>
    <row r="116" spans="1:17" ht="14.25" thickTop="1">
      <c r="A116" s="175"/>
      <c r="B116" s="1053" t="s">
        <v>1064</v>
      </c>
      <c r="C116" s="139" t="s">
        <v>3162</v>
      </c>
      <c r="D116" s="139" t="s">
        <v>3164</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99</v>
      </c>
      <c r="E117" s="886">
        <f>D117-$K39</f>
        <v>98</v>
      </c>
      <c r="F117" s="886">
        <f>E117-$K39</f>
        <v>97</v>
      </c>
      <c r="G117" s="886">
        <f>F117-$K39</f>
        <v>96</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1035</v>
      </c>
      <c r="C120" s="131" t="s">
        <v>3152</v>
      </c>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97</v>
      </c>
      <c r="E121" s="886">
        <f t="shared" ref="E121:M121" si="29">D121-$K41</f>
        <v>94</v>
      </c>
      <c r="F121" s="886">
        <f t="shared" si="29"/>
        <v>91</v>
      </c>
      <c r="G121" s="886">
        <f t="shared" si="29"/>
        <v>88</v>
      </c>
      <c r="H121" s="886">
        <f t="shared" si="29"/>
        <v>85</v>
      </c>
      <c r="I121" s="886">
        <f t="shared" si="29"/>
        <v>82</v>
      </c>
      <c r="J121" s="886">
        <f t="shared" si="29"/>
        <v>79</v>
      </c>
      <c r="K121" s="886">
        <f t="shared" si="29"/>
        <v>76</v>
      </c>
      <c r="L121" s="886">
        <f t="shared" si="29"/>
        <v>73</v>
      </c>
      <c r="M121" s="887">
        <f t="shared" si="29"/>
        <v>70</v>
      </c>
      <c r="N121" s="1390"/>
      <c r="O121" s="1390"/>
      <c r="P121" s="1379"/>
      <c r="Q121" s="1062"/>
    </row>
    <row r="122" spans="1:17" ht="14.25" thickTop="1">
      <c r="A122" s="175"/>
      <c r="B122" s="1053" t="s">
        <v>126</v>
      </c>
      <c r="C122" s="139" t="s">
        <v>3143</v>
      </c>
      <c r="D122" s="139" t="s">
        <v>3144</v>
      </c>
      <c r="E122" s="139" t="s">
        <v>3145</v>
      </c>
      <c r="F122" s="131" t="s">
        <v>3146</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9"/>
      <c r="O123" s="1389"/>
      <c r="P123" s="1378"/>
      <c r="Q123" s="121"/>
    </row>
    <row r="124" spans="1:17" ht="27.75" thickTop="1">
      <c r="A124" s="175"/>
      <c r="B124" s="1053" t="s">
        <v>94</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99</v>
      </c>
      <c r="E125" s="886">
        <f>D125-$K43</f>
        <v>98</v>
      </c>
      <c r="F125" s="886">
        <f>E125-$K43</f>
        <v>97</v>
      </c>
      <c r="G125" s="886">
        <f>F125-$K43</f>
        <v>96</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53" priority="16"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C22" zoomScale="90" zoomScaleNormal="90" workbookViewId="0">
      <selection activeCell="I48" sqref="I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t="e">
        <f ca="1">IF(C2="——",C49,ROUND(B2*10000/D3,0))</f>
        <v>#DIV/0!</v>
      </c>
      <c r="C3" s="142" t="s">
        <v>168</v>
      </c>
      <c r="D3" s="742">
        <f>IF(D1="",'数据-汇总表'!E3,SUMIF('数据-汇总表'!$C19:$C33,D1,'数据-汇总表'!$E19:$E33))</f>
        <v>2579.75</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89" t="s">
        <v>54</v>
      </c>
      <c r="D4" s="3590"/>
      <c r="E4" s="3591" t="s">
        <v>55</v>
      </c>
      <c r="F4" s="3592"/>
      <c r="G4" s="3589" t="s">
        <v>56</v>
      </c>
      <c r="H4" s="3590"/>
      <c r="I4" s="3589" t="s">
        <v>57</v>
      </c>
      <c r="J4" s="3590"/>
      <c r="K4" s="187" t="s">
        <v>58</v>
      </c>
      <c r="L4" s="2295"/>
      <c r="M4" s="2296"/>
      <c r="N4" s="2296"/>
      <c r="O4" s="2296"/>
      <c r="P4" s="3593" t="s">
        <v>53</v>
      </c>
      <c r="Q4" s="3594"/>
      <c r="R4" s="3599" t="s">
        <v>55</v>
      </c>
      <c r="S4" s="3600"/>
      <c r="T4" s="3599" t="s">
        <v>56</v>
      </c>
      <c r="U4" s="3600"/>
      <c r="V4" s="3584" t="s">
        <v>57</v>
      </c>
      <c r="W4" s="3584"/>
      <c r="X4" s="3360"/>
      <c r="Y4" s="3599" t="s">
        <v>53</v>
      </c>
      <c r="Z4" s="3600"/>
      <c r="AA4" s="3586" t="s">
        <v>55</v>
      </c>
      <c r="AB4" s="3584" t="s">
        <v>56</v>
      </c>
      <c r="AC4" s="3586" t="s">
        <v>57</v>
      </c>
    </row>
    <row r="5" spans="1:29">
      <c r="A5" s="146"/>
      <c r="B5" s="147"/>
      <c r="C5" s="3607" t="s">
        <v>59</v>
      </c>
      <c r="D5" s="3608"/>
      <c r="E5" s="3614" t="s">
        <v>60</v>
      </c>
      <c r="F5" s="3615"/>
      <c r="G5" s="3607" t="s">
        <v>61</v>
      </c>
      <c r="H5" s="3608"/>
      <c r="I5" s="3607" t="s">
        <v>62</v>
      </c>
      <c r="J5" s="3608"/>
      <c r="K5" s="187"/>
      <c r="L5" s="2295"/>
      <c r="M5" s="2296"/>
      <c r="N5" s="2296"/>
      <c r="O5" s="2296"/>
      <c r="P5" s="3595"/>
      <c r="Q5" s="3596"/>
      <c r="R5" s="3601"/>
      <c r="S5" s="3602"/>
      <c r="T5" s="3601"/>
      <c r="U5" s="3602"/>
      <c r="V5" s="3584"/>
      <c r="W5" s="3584"/>
      <c r="X5" s="3360"/>
      <c r="Y5" s="3601"/>
      <c r="Z5" s="3602"/>
      <c r="AA5" s="3587"/>
      <c r="AB5" s="3584"/>
      <c r="AC5" s="3587"/>
    </row>
    <row r="6" spans="1:29" ht="14.25" thickBot="1">
      <c r="A6" s="148"/>
      <c r="B6" s="149"/>
      <c r="C6" s="3605" t="s">
        <v>63</v>
      </c>
      <c r="D6" s="3606"/>
      <c r="E6" s="3612" t="s">
        <v>63</v>
      </c>
      <c r="F6" s="3613"/>
      <c r="G6" s="3605" t="s">
        <v>63</v>
      </c>
      <c r="H6" s="3606"/>
      <c r="I6" s="3605" t="s">
        <v>63</v>
      </c>
      <c r="J6" s="3606"/>
      <c r="K6" s="187" t="s">
        <v>117</v>
      </c>
      <c r="L6" s="2295"/>
      <c r="M6" s="2296"/>
      <c r="N6" s="2296"/>
      <c r="O6" s="2296"/>
      <c r="P6" s="3597"/>
      <c r="Q6" s="3598"/>
      <c r="R6" s="3601"/>
      <c r="S6" s="3602"/>
      <c r="T6" s="3603"/>
      <c r="U6" s="3604"/>
      <c r="V6" s="3584"/>
      <c r="W6" s="3584"/>
      <c r="X6" s="3360"/>
      <c r="Y6" s="3603"/>
      <c r="Z6" s="3604"/>
      <c r="AA6" s="3588"/>
      <c r="AB6" s="3584"/>
      <c r="AC6" s="3588"/>
    </row>
    <row r="7" spans="1:29" s="40" customFormat="1" ht="15" thickBot="1">
      <c r="A7" s="1013" t="s">
        <v>64</v>
      </c>
      <c r="B7" s="1014"/>
      <c r="C7" s="1015">
        <f>'数据-取费表'!B2</f>
        <v>43040</v>
      </c>
      <c r="D7" s="754">
        <v>100</v>
      </c>
      <c r="E7" s="1016"/>
      <c r="F7" s="756">
        <f>SUMIF(58:58,YEAR(E7)&amp;"-"&amp;MONTH(E7),59:59)</f>
        <v>0</v>
      </c>
      <c r="G7" s="1016"/>
      <c r="H7" s="754">
        <f>SUMIF(58:58,YEAR(G7)&amp;"-"&amp;MONTH(G7),59:59)</f>
        <v>0</v>
      </c>
      <c r="I7" s="1016"/>
      <c r="J7" s="754">
        <f>SUMIF(58:58,YEAR(I7)&amp;"-"&amp;MONTH(I7),59:59)</f>
        <v>0</v>
      </c>
      <c r="K7" s="1018"/>
      <c r="L7" s="2297"/>
      <c r="M7" s="2259"/>
      <c r="N7" s="2259"/>
      <c r="O7" s="2259"/>
      <c r="P7" s="3609" t="s">
        <v>64</v>
      </c>
      <c r="Q7" s="3611"/>
      <c r="R7" s="1341" t="s">
        <v>65</v>
      </c>
      <c r="S7" s="1342">
        <f t="shared" ref="S7:S15" si="0">F7</f>
        <v>0</v>
      </c>
      <c r="T7" s="1341" t="s">
        <v>65</v>
      </c>
      <c r="U7" s="1342">
        <f t="shared" ref="U7:U15" si="1">H7</f>
        <v>0</v>
      </c>
      <c r="V7" s="1341" t="s">
        <v>65</v>
      </c>
      <c r="W7" s="1342">
        <f t="shared" ref="W7:W15" si="2">J7</f>
        <v>0</v>
      </c>
      <c r="X7" s="287"/>
      <c r="Y7" s="3609" t="s">
        <v>64</v>
      </c>
      <c r="Z7" s="3610"/>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7"/>
      <c r="M8" s="2259"/>
      <c r="N8" s="2259"/>
      <c r="O8" s="2259"/>
      <c r="P8" s="3609" t="s">
        <v>66</v>
      </c>
      <c r="Q8" s="3610"/>
      <c r="R8" s="1341" t="s">
        <v>65</v>
      </c>
      <c r="S8" s="1342">
        <f t="shared" si="0"/>
        <v>0</v>
      </c>
      <c r="T8" s="1341" t="s">
        <v>65</v>
      </c>
      <c r="U8" s="1342">
        <f t="shared" si="1"/>
        <v>0</v>
      </c>
      <c r="V8" s="1341" t="s">
        <v>65</v>
      </c>
      <c r="W8" s="1342">
        <f t="shared" si="2"/>
        <v>0</v>
      </c>
      <c r="X8" s="287"/>
      <c r="Y8" s="3609" t="s">
        <v>66</v>
      </c>
      <c r="Z8" s="3610"/>
      <c r="AA8" s="1343" t="e">
        <f t="shared" ref="AA8:AA46" si="3">D8/F8</f>
        <v>#DIV/0!</v>
      </c>
      <c r="AB8" s="1343" t="e">
        <f t="shared" ref="AB8:AB46" si="4">D8/H8</f>
        <v>#DIV/0!</v>
      </c>
      <c r="AC8" s="1343" t="e">
        <f t="shared" ref="AC8:AC46" si="5">D8/J8</f>
        <v>#DIV/0!</v>
      </c>
    </row>
    <row r="9" spans="1:29" s="40" customFormat="1" ht="14.25">
      <c r="A9" s="1020" t="s">
        <v>67</v>
      </c>
      <c r="B9" s="62" t="s">
        <v>68</v>
      </c>
      <c r="C9" s="1345"/>
      <c r="D9" s="425">
        <v>100</v>
      </c>
      <c r="E9" s="1346"/>
      <c r="F9" s="761">
        <f>SUMIF(63:63,E9,64:64)-SUMIF(63:63,C9,64:64)+100</f>
        <v>100</v>
      </c>
      <c r="G9" s="1346"/>
      <c r="H9" s="425">
        <f>SUMIF(63:63,G9,64:64)-SUMIF(63:63,C9,64:64)+100</f>
        <v>100</v>
      </c>
      <c r="I9" s="1346"/>
      <c r="J9" s="425">
        <f>SUMIF(63:63,I9,64:64)-SUMIF(63:63,C9,64:64)+100</f>
        <v>100</v>
      </c>
      <c r="K9" s="1018"/>
      <c r="L9" s="2297"/>
      <c r="M9" s="2259"/>
      <c r="N9" s="2259"/>
      <c r="O9" s="2259"/>
      <c r="P9" s="3585" t="s">
        <v>67</v>
      </c>
      <c r="Q9" s="3343" t="str">
        <f t="shared" ref="Q9:Q15" si="6">B9</f>
        <v>用途</v>
      </c>
      <c r="R9" s="1341" t="s">
        <v>65</v>
      </c>
      <c r="S9" s="1342">
        <f t="shared" si="0"/>
        <v>100</v>
      </c>
      <c r="T9" s="1341" t="s">
        <v>65</v>
      </c>
      <c r="U9" s="1342">
        <f t="shared" si="1"/>
        <v>100</v>
      </c>
      <c r="V9" s="1341" t="s">
        <v>65</v>
      </c>
      <c r="W9" s="1342">
        <f t="shared" si="2"/>
        <v>100</v>
      </c>
      <c r="X9" s="287"/>
      <c r="Y9" s="3420" t="s">
        <v>67</v>
      </c>
      <c r="Z9" s="3344" t="str">
        <f t="shared" ref="Z9:Z15" si="7">Q9</f>
        <v>用途</v>
      </c>
      <c r="AA9" s="1343">
        <f t="shared" si="3"/>
        <v>1</v>
      </c>
      <c r="AB9" s="1343">
        <f t="shared" si="4"/>
        <v>1</v>
      </c>
      <c r="AC9" s="1343">
        <f t="shared" si="5"/>
        <v>1</v>
      </c>
    </row>
    <row r="10" spans="1:29" s="92" customFormat="1" ht="27">
      <c r="A10" s="150"/>
      <c r="B10" s="3357" t="s">
        <v>106</v>
      </c>
      <c r="C10" s="1348"/>
      <c r="D10" s="426">
        <v>100</v>
      </c>
      <c r="E10" s="1349"/>
      <c r="F10" s="767">
        <f>SUMIF(65:65,E10,66:66)-SUMIF(65:65,C10,66:66)+100</f>
        <v>100</v>
      </c>
      <c r="G10" s="1348"/>
      <c r="H10" s="426">
        <f>SUMIF(65:65,G10,66:66)-SUMIF(65:65,C10,66:66)+100</f>
        <v>100</v>
      </c>
      <c r="I10" s="1348"/>
      <c r="J10" s="426">
        <f>SUMIF(65:65,I10,66:66)-SUMIF(65:65,C10,66:66)+100</f>
        <v>100</v>
      </c>
      <c r="K10" s="954"/>
      <c r="L10" s="2298"/>
      <c r="M10" s="2299"/>
      <c r="N10" s="2299"/>
      <c r="O10" s="2299"/>
      <c r="P10" s="3585"/>
      <c r="Q10" s="3343" t="str">
        <f t="shared" si="6"/>
        <v>土地使用年限（年）</v>
      </c>
      <c r="R10" s="1341" t="s">
        <v>65</v>
      </c>
      <c r="S10" s="1342">
        <f t="shared" si="0"/>
        <v>100</v>
      </c>
      <c r="T10" s="1341" t="s">
        <v>65</v>
      </c>
      <c r="U10" s="1342">
        <f t="shared" si="1"/>
        <v>100</v>
      </c>
      <c r="V10" s="1341" t="s">
        <v>65</v>
      </c>
      <c r="W10" s="1342">
        <f t="shared" si="2"/>
        <v>100</v>
      </c>
      <c r="X10" s="287"/>
      <c r="Y10" s="3420"/>
      <c r="Z10" s="3344" t="str">
        <f t="shared" si="7"/>
        <v>土地使用年限（年）</v>
      </c>
      <c r="AA10" s="1343">
        <f t="shared" si="3"/>
        <v>1</v>
      </c>
      <c r="AB10" s="1343">
        <f t="shared" si="4"/>
        <v>1</v>
      </c>
      <c r="AC10" s="1343">
        <f t="shared" si="5"/>
        <v>1</v>
      </c>
    </row>
    <row r="11" spans="1:29" ht="15">
      <c r="A11" s="151"/>
      <c r="B11" s="3357" t="s">
        <v>93</v>
      </c>
      <c r="C11" s="771"/>
      <c r="D11" s="426">
        <v>100</v>
      </c>
      <c r="E11" s="772"/>
      <c r="F11" s="767" t="e">
        <f>LOOKUP(E11,68:68,69:69)-LOOKUP(C11,68:68,69:69)+100</f>
        <v>#N/A</v>
      </c>
      <c r="G11" s="771"/>
      <c r="H11" s="426" t="e">
        <f>LOOKUP(G11,68:68,69:69)-LOOKUP(C11,68:68,69:69)+100</f>
        <v>#N/A</v>
      </c>
      <c r="I11" s="771"/>
      <c r="J11" s="426" t="e">
        <f>LOOKUP(I11,68:68,69:69)-LOOKUP(C11,68:68,69:69)+100</f>
        <v>#N/A</v>
      </c>
      <c r="K11" s="954"/>
      <c r="L11" s="2300"/>
      <c r="M11" s="2296"/>
      <c r="N11" s="2296"/>
      <c r="O11" s="2296"/>
      <c r="P11" s="3585"/>
      <c r="Q11" s="3343" t="str">
        <f t="shared" si="6"/>
        <v>容积率</v>
      </c>
      <c r="R11" s="1341" t="s">
        <v>65</v>
      </c>
      <c r="S11" s="1342" t="e">
        <f t="shared" si="0"/>
        <v>#N/A</v>
      </c>
      <c r="T11" s="1341" t="s">
        <v>65</v>
      </c>
      <c r="U11" s="1342" t="e">
        <f t="shared" si="1"/>
        <v>#N/A</v>
      </c>
      <c r="V11" s="1341" t="s">
        <v>65</v>
      </c>
      <c r="W11" s="1342" t="e">
        <f t="shared" si="2"/>
        <v>#N/A</v>
      </c>
      <c r="X11" s="287"/>
      <c r="Y11" s="3420"/>
      <c r="Z11" s="3344"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7"/>
      <c r="M12" s="2259"/>
      <c r="N12" s="2259"/>
      <c r="O12" s="2259"/>
      <c r="P12" s="3585"/>
      <c r="Q12" s="3343">
        <f t="shared" si="6"/>
        <v>111</v>
      </c>
      <c r="R12" s="1341" t="s">
        <v>65</v>
      </c>
      <c r="S12" s="1342">
        <f t="shared" si="0"/>
        <v>100</v>
      </c>
      <c r="T12" s="1341" t="s">
        <v>65</v>
      </c>
      <c r="U12" s="1342">
        <f t="shared" si="1"/>
        <v>100</v>
      </c>
      <c r="V12" s="1341" t="s">
        <v>65</v>
      </c>
      <c r="W12" s="1342">
        <f t="shared" si="2"/>
        <v>100</v>
      </c>
      <c r="X12" s="287"/>
      <c r="Y12" s="3420"/>
      <c r="Z12" s="3344">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585"/>
      <c r="Q13" s="3343">
        <f t="shared" si="6"/>
        <v>111</v>
      </c>
      <c r="R13" s="1341" t="s">
        <v>65</v>
      </c>
      <c r="S13" s="1342">
        <f t="shared" si="0"/>
        <v>100</v>
      </c>
      <c r="T13" s="1341" t="s">
        <v>65</v>
      </c>
      <c r="U13" s="1342">
        <f t="shared" si="1"/>
        <v>100</v>
      </c>
      <c r="V13" s="1341" t="s">
        <v>65</v>
      </c>
      <c r="W13" s="1342">
        <f t="shared" si="2"/>
        <v>100</v>
      </c>
      <c r="X13" s="287"/>
      <c r="Y13" s="3420"/>
      <c r="Z13" s="3344">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585"/>
      <c r="Q14" s="3343">
        <f t="shared" si="6"/>
        <v>111</v>
      </c>
      <c r="R14" s="1341" t="s">
        <v>65</v>
      </c>
      <c r="S14" s="1342">
        <f t="shared" si="0"/>
        <v>100</v>
      </c>
      <c r="T14" s="1341" t="s">
        <v>65</v>
      </c>
      <c r="U14" s="1342">
        <f t="shared" si="1"/>
        <v>100</v>
      </c>
      <c r="V14" s="1341" t="s">
        <v>65</v>
      </c>
      <c r="W14" s="1342">
        <f t="shared" si="2"/>
        <v>100</v>
      </c>
      <c r="X14" s="287"/>
      <c r="Y14" s="3420"/>
      <c r="Z14" s="3344">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301"/>
      <c r="M15" s="2296"/>
      <c r="N15" s="2296"/>
      <c r="O15" s="2296"/>
      <c r="P15" s="3575" t="s">
        <v>69</v>
      </c>
      <c r="Q15" s="3363" t="str">
        <f t="shared" si="6"/>
        <v>商业繁华度</v>
      </c>
      <c r="R15" s="1351" t="s">
        <v>65</v>
      </c>
      <c r="S15" s="1352">
        <f t="shared" si="0"/>
        <v>100</v>
      </c>
      <c r="T15" s="1351" t="s">
        <v>65</v>
      </c>
      <c r="U15" s="1352">
        <f t="shared" si="1"/>
        <v>100</v>
      </c>
      <c r="V15" s="1351" t="s">
        <v>65</v>
      </c>
      <c r="W15" s="1352">
        <f t="shared" si="2"/>
        <v>100</v>
      </c>
      <c r="X15" s="3360"/>
      <c r="Y15" s="3577" t="s">
        <v>69</v>
      </c>
      <c r="Z15" s="3361" t="str">
        <f t="shared" si="7"/>
        <v>商业繁华度</v>
      </c>
      <c r="AA15" s="3364">
        <f t="shared" si="3"/>
        <v>1</v>
      </c>
      <c r="AB15" s="3364">
        <f t="shared" si="4"/>
        <v>1</v>
      </c>
      <c r="AC15" s="3364">
        <f t="shared" si="5"/>
        <v>1</v>
      </c>
    </row>
    <row r="16" spans="1:29" ht="14.25">
      <c r="A16" s="151"/>
      <c r="B16" s="156"/>
      <c r="C16" s="97"/>
      <c r="D16" s="790"/>
      <c r="E16" s="97"/>
      <c r="F16" s="791"/>
      <c r="G16" s="97"/>
      <c r="H16" s="792"/>
      <c r="I16" s="97"/>
      <c r="J16" s="790"/>
      <c r="K16" s="189"/>
      <c r="L16" s="2301"/>
      <c r="M16" s="2296"/>
      <c r="N16" s="2296"/>
      <c r="O16" s="2296"/>
      <c r="P16" s="3576"/>
      <c r="Q16" s="3363"/>
      <c r="R16" s="1351"/>
      <c r="S16" s="1352"/>
      <c r="T16" s="1351"/>
      <c r="U16" s="1352"/>
      <c r="V16" s="1351"/>
      <c r="W16" s="1352"/>
      <c r="X16" s="3360"/>
      <c r="Y16" s="3578"/>
      <c r="Z16" s="3361"/>
      <c r="AA16" s="3364">
        <v>1</v>
      </c>
      <c r="AB16" s="3364">
        <v>1</v>
      </c>
      <c r="AC16" s="336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1"/>
      <c r="M17" s="2296"/>
      <c r="N17" s="2296"/>
      <c r="O17" s="2296"/>
      <c r="P17" s="3576"/>
      <c r="Q17" s="3363" t="str">
        <f>B17</f>
        <v>交通便捷度</v>
      </c>
      <c r="R17" s="1351" t="s">
        <v>65</v>
      </c>
      <c r="S17" s="1352">
        <f>F17</f>
        <v>100</v>
      </c>
      <c r="T17" s="1351" t="s">
        <v>65</v>
      </c>
      <c r="U17" s="1352">
        <f>H17</f>
        <v>100</v>
      </c>
      <c r="V17" s="1351" t="s">
        <v>65</v>
      </c>
      <c r="W17" s="1352">
        <f>J17</f>
        <v>100</v>
      </c>
      <c r="X17" s="3360"/>
      <c r="Y17" s="3578"/>
      <c r="Z17" s="3361" t="str">
        <f>Q17</f>
        <v>交通便捷度</v>
      </c>
      <c r="AA17" s="3364">
        <f t="shared" si="3"/>
        <v>1</v>
      </c>
      <c r="AB17" s="3364">
        <f t="shared" si="4"/>
        <v>1</v>
      </c>
      <c r="AC17" s="3364">
        <f t="shared" si="5"/>
        <v>1</v>
      </c>
    </row>
    <row r="18" spans="1:29" ht="14.25">
      <c r="A18" s="151"/>
      <c r="B18" s="1039"/>
      <c r="C18" s="102"/>
      <c r="D18" s="792"/>
      <c r="E18" s="103"/>
      <c r="F18" s="795"/>
      <c r="G18" s="104"/>
      <c r="H18" s="790"/>
      <c r="I18" s="103"/>
      <c r="J18" s="790"/>
      <c r="K18" s="189"/>
      <c r="L18" s="2301"/>
      <c r="M18" s="2296"/>
      <c r="N18" s="2296"/>
      <c r="O18" s="2296"/>
      <c r="P18" s="3576"/>
      <c r="Q18" s="3363"/>
      <c r="R18" s="1351"/>
      <c r="S18" s="1352"/>
      <c r="T18" s="1351"/>
      <c r="U18" s="1352"/>
      <c r="V18" s="1351"/>
      <c r="W18" s="1352"/>
      <c r="X18" s="3360"/>
      <c r="Y18" s="3578"/>
      <c r="Z18" s="3361"/>
      <c r="AA18" s="3364">
        <v>1</v>
      </c>
      <c r="AB18" s="3364">
        <v>1</v>
      </c>
      <c r="AC18" s="3364">
        <v>1</v>
      </c>
    </row>
    <row r="19" spans="1:29" ht="40.5">
      <c r="A19" s="151"/>
      <c r="B19" s="1355" t="s">
        <v>2657</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1"/>
      <c r="M19" s="2296"/>
      <c r="N19" s="2296"/>
      <c r="O19" s="2296"/>
      <c r="P19" s="3576"/>
      <c r="Q19" s="3363" t="str">
        <f>B19</f>
        <v>公共配套设施</v>
      </c>
      <c r="R19" s="1351" t="s">
        <v>65</v>
      </c>
      <c r="S19" s="1352">
        <f>F19</f>
        <v>100</v>
      </c>
      <c r="T19" s="1351" t="s">
        <v>65</v>
      </c>
      <c r="U19" s="1352">
        <f>H19</f>
        <v>100</v>
      </c>
      <c r="V19" s="1351" t="s">
        <v>65</v>
      </c>
      <c r="W19" s="1352">
        <f>J19</f>
        <v>100</v>
      </c>
      <c r="X19" s="3360"/>
      <c r="Y19" s="3578"/>
      <c r="Z19" s="3361" t="str">
        <f>Q19</f>
        <v>公共配套设施</v>
      </c>
      <c r="AA19" s="3364">
        <f t="shared" si="3"/>
        <v>1</v>
      </c>
      <c r="AB19" s="3364">
        <f t="shared" si="4"/>
        <v>1</v>
      </c>
      <c r="AC19" s="3364">
        <f t="shared" si="5"/>
        <v>1</v>
      </c>
    </row>
    <row r="20" spans="1:29" ht="14.25">
      <c r="A20" s="151"/>
      <c r="B20" s="1039"/>
      <c r="C20" s="97"/>
      <c r="D20" s="790"/>
      <c r="E20" s="98"/>
      <c r="F20" s="791"/>
      <c r="G20" s="99"/>
      <c r="H20" s="790"/>
      <c r="I20" s="98"/>
      <c r="J20" s="790"/>
      <c r="K20" s="189"/>
      <c r="L20" s="2301"/>
      <c r="M20" s="2296"/>
      <c r="N20" s="2296"/>
      <c r="O20" s="2296"/>
      <c r="P20" s="3576"/>
      <c r="Q20" s="3363"/>
      <c r="R20" s="1351"/>
      <c r="S20" s="1352"/>
      <c r="T20" s="1351"/>
      <c r="U20" s="1352"/>
      <c r="V20" s="1351"/>
      <c r="W20" s="1352"/>
      <c r="X20" s="3360"/>
      <c r="Y20" s="3578"/>
      <c r="Z20" s="3361"/>
      <c r="AA20" s="3364">
        <v>1</v>
      </c>
      <c r="AB20" s="3364">
        <v>1</v>
      </c>
      <c r="AC20" s="3364">
        <v>1</v>
      </c>
    </row>
    <row r="21" spans="1:29" ht="27">
      <c r="A21" s="151"/>
      <c r="B21" s="1411" t="s">
        <v>2658</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1"/>
      <c r="M21" s="2296"/>
      <c r="N21" s="2296"/>
      <c r="O21" s="2296"/>
      <c r="P21" s="3576"/>
      <c r="Q21" s="3363" t="str">
        <f>B21</f>
        <v>基础设施水平</v>
      </c>
      <c r="R21" s="1351" t="s">
        <v>65</v>
      </c>
      <c r="S21" s="1352">
        <f>F21</f>
        <v>100</v>
      </c>
      <c r="T21" s="1351" t="s">
        <v>65</v>
      </c>
      <c r="U21" s="1352">
        <f>H21</f>
        <v>100</v>
      </c>
      <c r="V21" s="1351" t="s">
        <v>65</v>
      </c>
      <c r="W21" s="1352">
        <f>J21</f>
        <v>100</v>
      </c>
      <c r="X21" s="3360"/>
      <c r="Y21" s="3578"/>
      <c r="Z21" s="3361" t="str">
        <f>Q21</f>
        <v>基础设施水平</v>
      </c>
      <c r="AA21" s="3364">
        <f t="shared" ref="AA21" si="8">D21/F21</f>
        <v>1</v>
      </c>
      <c r="AB21" s="3364">
        <f t="shared" ref="AB21" si="9">D21/H21</f>
        <v>1</v>
      </c>
      <c r="AC21" s="3364">
        <f t="shared" ref="AC21" si="10">D21/J21</f>
        <v>1</v>
      </c>
    </row>
    <row r="22" spans="1:29" ht="14.25">
      <c r="A22" s="151"/>
      <c r="B22" s="1411"/>
      <c r="C22" s="102"/>
      <c r="D22" s="790"/>
      <c r="E22" s="97"/>
      <c r="F22" s="791"/>
      <c r="G22" s="97"/>
      <c r="H22" s="790"/>
      <c r="I22" s="97"/>
      <c r="J22" s="790"/>
      <c r="K22" s="2766"/>
      <c r="L22" s="2301"/>
      <c r="M22" s="2296"/>
      <c r="N22" s="2296"/>
      <c r="O22" s="2296"/>
      <c r="P22" s="3576"/>
      <c r="Q22" s="3363"/>
      <c r="R22" s="1351"/>
      <c r="S22" s="1352"/>
      <c r="T22" s="1351"/>
      <c r="U22" s="1352"/>
      <c r="V22" s="1351"/>
      <c r="W22" s="1352"/>
      <c r="X22" s="3360"/>
      <c r="Y22" s="3578"/>
      <c r="Z22" s="3361"/>
      <c r="AA22" s="3364">
        <v>1</v>
      </c>
      <c r="AB22" s="3364">
        <v>1</v>
      </c>
      <c r="AC22" s="336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1"/>
      <c r="M23" s="2296"/>
      <c r="N23" s="2296"/>
      <c r="O23" s="2296"/>
      <c r="P23" s="3576"/>
      <c r="Q23" s="3363" t="str">
        <f>B23</f>
        <v>自然及人文环境</v>
      </c>
      <c r="R23" s="1351" t="s">
        <v>65</v>
      </c>
      <c r="S23" s="1352">
        <f>F23</f>
        <v>100</v>
      </c>
      <c r="T23" s="1351" t="s">
        <v>65</v>
      </c>
      <c r="U23" s="1352">
        <f>H23</f>
        <v>100</v>
      </c>
      <c r="V23" s="1351" t="s">
        <v>65</v>
      </c>
      <c r="W23" s="1352">
        <f>J23</f>
        <v>100</v>
      </c>
      <c r="X23" s="3360"/>
      <c r="Y23" s="3578"/>
      <c r="Z23" s="3361" t="str">
        <f>Q23</f>
        <v>自然及人文环境</v>
      </c>
      <c r="AA23" s="3364">
        <f t="shared" si="3"/>
        <v>1</v>
      </c>
      <c r="AB23" s="3364">
        <f t="shared" si="4"/>
        <v>1</v>
      </c>
      <c r="AC23" s="3364">
        <f t="shared" si="5"/>
        <v>1</v>
      </c>
    </row>
    <row r="24" spans="1:29" ht="14.25">
      <c r="A24" s="151"/>
      <c r="B24" s="1039"/>
      <c r="C24" s="97"/>
      <c r="D24" s="790"/>
      <c r="E24" s="98"/>
      <c r="F24" s="791"/>
      <c r="G24" s="99"/>
      <c r="H24" s="790"/>
      <c r="I24" s="98"/>
      <c r="J24" s="790"/>
      <c r="K24" s="189"/>
      <c r="L24" s="2301"/>
      <c r="M24" s="2296"/>
      <c r="N24" s="2296"/>
      <c r="O24" s="2296"/>
      <c r="P24" s="3576"/>
      <c r="Q24" s="3363"/>
      <c r="R24" s="1351"/>
      <c r="S24" s="1352"/>
      <c r="T24" s="1351"/>
      <c r="U24" s="1352"/>
      <c r="V24" s="1351"/>
      <c r="W24" s="1352"/>
      <c r="X24" s="3360"/>
      <c r="Y24" s="3578"/>
      <c r="Z24" s="3361"/>
      <c r="AA24" s="3364">
        <v>1</v>
      </c>
      <c r="AB24" s="3364">
        <v>1</v>
      </c>
      <c r="AC24" s="3364">
        <v>1</v>
      </c>
    </row>
    <row r="25" spans="1:29" ht="15">
      <c r="A25" s="151"/>
      <c r="B25" s="3357" t="s">
        <v>131</v>
      </c>
      <c r="C25" s="182"/>
      <c r="D25" s="777">
        <v>100</v>
      </c>
      <c r="E25" s="182"/>
      <c r="F25" s="803">
        <f>SUMIF(86:86,E25,87:87)-SUMIF(86:86,C25,87:87)+100</f>
        <v>100</v>
      </c>
      <c r="G25" s="182"/>
      <c r="H25" s="777">
        <f>SUMIF(86:86,G25,87:87)-SUMIF(86:86,C25,87:87)+100</f>
        <v>100</v>
      </c>
      <c r="I25" s="182"/>
      <c r="J25" s="777">
        <f>SUMIF(86:86,I25,87:87)-SUMIF(86:86,C25,87:87)+100</f>
        <v>100</v>
      </c>
      <c r="K25" s="954"/>
      <c r="L25" s="2301"/>
      <c r="M25" s="2296"/>
      <c r="N25" s="2296"/>
      <c r="O25" s="2296"/>
      <c r="P25" s="3576"/>
      <c r="Q25" s="3363" t="str">
        <f t="shared" ref="Q25:Q46" si="11">B25</f>
        <v>临街状况</v>
      </c>
      <c r="R25" s="1351" t="s">
        <v>65</v>
      </c>
      <c r="S25" s="1352">
        <f>F25</f>
        <v>100</v>
      </c>
      <c r="T25" s="1351" t="s">
        <v>65</v>
      </c>
      <c r="U25" s="1352">
        <f>H25</f>
        <v>100</v>
      </c>
      <c r="V25" s="1351" t="s">
        <v>65</v>
      </c>
      <c r="W25" s="1352">
        <f>J25</f>
        <v>100</v>
      </c>
      <c r="X25" s="3360"/>
      <c r="Y25" s="3578"/>
      <c r="Z25" s="3361" t="str">
        <f>Q25</f>
        <v>临街状况</v>
      </c>
      <c r="AA25" s="3364">
        <f t="shared" si="3"/>
        <v>1</v>
      </c>
      <c r="AB25" s="3364">
        <f t="shared" si="4"/>
        <v>1</v>
      </c>
      <c r="AC25" s="3364">
        <f t="shared" si="5"/>
        <v>1</v>
      </c>
    </row>
    <row r="26" spans="1:29" ht="14.25">
      <c r="A26" s="151"/>
      <c r="B26" s="1356" t="s">
        <v>1025</v>
      </c>
      <c r="C26" s="93"/>
      <c r="D26" s="777">
        <v>100</v>
      </c>
      <c r="E26" s="93"/>
      <c r="F26" s="803">
        <f>SUMIF(88:88,E26,89:89)-SUMIF(88:88,C26,89:89)+100</f>
        <v>100</v>
      </c>
      <c r="G26" s="93"/>
      <c r="H26" s="777">
        <f>SUMIF(88:88,G26,89:89)-SUMIF(88:88,C26,89:89)+100</f>
        <v>100</v>
      </c>
      <c r="I26" s="93"/>
      <c r="J26" s="777">
        <f>SUMIF(88:88,I26,89:89)-SUMIF(88:88,C26,89:89)+100</f>
        <v>100</v>
      </c>
      <c r="K26" s="188"/>
      <c r="L26" s="2301"/>
      <c r="M26" s="2296"/>
      <c r="N26" s="2296"/>
      <c r="O26" s="2296"/>
      <c r="P26" s="3576"/>
      <c r="Q26" s="3363" t="str">
        <f t="shared" si="11"/>
        <v>平面位置/可视性</v>
      </c>
      <c r="R26" s="1351" t="s">
        <v>65</v>
      </c>
      <c r="S26" s="1352">
        <f>F26</f>
        <v>100</v>
      </c>
      <c r="T26" s="1351" t="s">
        <v>65</v>
      </c>
      <c r="U26" s="1352">
        <f>H26</f>
        <v>100</v>
      </c>
      <c r="V26" s="1351" t="s">
        <v>65</v>
      </c>
      <c r="W26" s="1352">
        <f>J26</f>
        <v>100</v>
      </c>
      <c r="X26" s="3360"/>
      <c r="Y26" s="3578"/>
      <c r="Z26" s="3361" t="str">
        <f>Q26</f>
        <v>平面位置/可视性</v>
      </c>
      <c r="AA26" s="3364">
        <f t="shared" si="3"/>
        <v>1</v>
      </c>
      <c r="AB26" s="3364">
        <f t="shared" si="4"/>
        <v>1</v>
      </c>
      <c r="AC26" s="3364">
        <f t="shared" si="5"/>
        <v>1</v>
      </c>
    </row>
    <row r="27" spans="1:29" s="40" customFormat="1" ht="15">
      <c r="A27" s="1029"/>
      <c r="B27" s="1355" t="s">
        <v>1026</v>
      </c>
      <c r="C27" s="1386"/>
      <c r="D27" s="804">
        <v>100</v>
      </c>
      <c r="E27" s="1386"/>
      <c r="F27" s="806">
        <f>SUMIF(90:90,E27,91:91)-SUMIF(90:90,C27,91:91)+100</f>
        <v>100</v>
      </c>
      <c r="G27" s="1386"/>
      <c r="H27" s="804">
        <f>SUMIF(90:90,G27,91:91)-SUMIF(90:90,C27,91:91)+100</f>
        <v>100</v>
      </c>
      <c r="I27" s="1386"/>
      <c r="J27" s="804">
        <f>SUMIF(90:90,I27,91:91)-SUMIF(90:90,C27,91:91)+100</f>
        <v>100</v>
      </c>
      <c r="K27" s="954"/>
      <c r="L27" s="2297"/>
      <c r="M27" s="2259"/>
      <c r="N27" s="2259"/>
      <c r="O27" s="2259"/>
      <c r="P27" s="3576"/>
      <c r="Q27" s="3343" t="str">
        <f t="shared" si="11"/>
        <v>人流量</v>
      </c>
      <c r="R27" s="1341" t="s">
        <v>65</v>
      </c>
      <c r="S27" s="1342">
        <f>F27</f>
        <v>100</v>
      </c>
      <c r="T27" s="1341" t="s">
        <v>65</v>
      </c>
      <c r="U27" s="1342">
        <f>H27</f>
        <v>100</v>
      </c>
      <c r="V27" s="1341" t="s">
        <v>65</v>
      </c>
      <c r="W27" s="1342">
        <f>J27</f>
        <v>100</v>
      </c>
      <c r="X27" s="287"/>
      <c r="Y27" s="3578"/>
      <c r="Z27" s="3344" t="str">
        <f>Q27</f>
        <v>人流量</v>
      </c>
      <c r="AA27" s="3364">
        <f>D27/F27</f>
        <v>1</v>
      </c>
      <c r="AB27" s="3364">
        <f>D27/H27</f>
        <v>1</v>
      </c>
      <c r="AC27" s="3364">
        <f>D27/J27</f>
        <v>1</v>
      </c>
    </row>
    <row r="28" spans="1:29" ht="14.25">
      <c r="A28" s="151"/>
      <c r="B28" s="3357" t="s">
        <v>132</v>
      </c>
      <c r="C28" s="182"/>
      <c r="D28" s="777">
        <v>100</v>
      </c>
      <c r="E28" s="182"/>
      <c r="F28" s="803">
        <f>SUMIF(92:92,E28,93:93)-SUMIF(92:92,C28,93:93)+100</f>
        <v>100</v>
      </c>
      <c r="G28" s="182"/>
      <c r="H28" s="777">
        <f>SUMIF(92:92,G28,93:93)-SUMIF(92:92,C28,93:93)+100</f>
        <v>100</v>
      </c>
      <c r="I28" s="182"/>
      <c r="J28" s="777">
        <f>SUMIF(92:92,I28,93:93)-SUMIF(92:92,C28,93:93)+100</f>
        <v>100</v>
      </c>
      <c r="K28" s="188"/>
      <c r="L28" s="2301"/>
      <c r="M28" s="2296"/>
      <c r="N28" s="2296"/>
      <c r="O28" s="2296"/>
      <c r="P28" s="3576"/>
      <c r="Q28" s="3363" t="str">
        <f t="shared" si="11"/>
        <v>楼层</v>
      </c>
      <c r="R28" s="1351" t="s">
        <v>65</v>
      </c>
      <c r="S28" s="1352">
        <f t="shared" ref="S28:S46" si="12">F28</f>
        <v>100</v>
      </c>
      <c r="T28" s="1351" t="s">
        <v>65</v>
      </c>
      <c r="U28" s="1352">
        <f t="shared" ref="U28:U46" si="13">H28</f>
        <v>100</v>
      </c>
      <c r="V28" s="1351" t="s">
        <v>65</v>
      </c>
      <c r="W28" s="1352">
        <f t="shared" ref="W28:W46" si="14">J28</f>
        <v>100</v>
      </c>
      <c r="X28" s="3360"/>
      <c r="Y28" s="3578"/>
      <c r="Z28" s="3361" t="str">
        <f t="shared" ref="Z28:Z46" si="15">Q28</f>
        <v>楼层</v>
      </c>
      <c r="AA28" s="3364">
        <f t="shared" si="3"/>
        <v>1</v>
      </c>
      <c r="AB28" s="3364">
        <f t="shared" si="4"/>
        <v>1</v>
      </c>
      <c r="AC28" s="336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576"/>
      <c r="Q29" s="3363">
        <f t="shared" si="11"/>
        <v>111</v>
      </c>
      <c r="R29" s="1351" t="s">
        <v>65</v>
      </c>
      <c r="S29" s="1352">
        <f t="shared" si="12"/>
        <v>100</v>
      </c>
      <c r="T29" s="1351" t="s">
        <v>65</v>
      </c>
      <c r="U29" s="1352">
        <f t="shared" si="13"/>
        <v>100</v>
      </c>
      <c r="V29" s="1351" t="s">
        <v>65</v>
      </c>
      <c r="W29" s="1352">
        <f t="shared" si="14"/>
        <v>100</v>
      </c>
      <c r="X29" s="3360"/>
      <c r="Y29" s="3578"/>
      <c r="Z29" s="3361">
        <f t="shared" si="15"/>
        <v>111</v>
      </c>
      <c r="AA29" s="3364">
        <f t="shared" si="3"/>
        <v>1</v>
      </c>
      <c r="AB29" s="3364">
        <f t="shared" si="4"/>
        <v>1</v>
      </c>
      <c r="AC29" s="336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576"/>
      <c r="Q30" s="3363">
        <f t="shared" si="11"/>
        <v>111</v>
      </c>
      <c r="R30" s="1351" t="s">
        <v>65</v>
      </c>
      <c r="S30" s="1352">
        <f t="shared" si="12"/>
        <v>100</v>
      </c>
      <c r="T30" s="1351" t="s">
        <v>65</v>
      </c>
      <c r="U30" s="1352">
        <f t="shared" si="13"/>
        <v>100</v>
      </c>
      <c r="V30" s="1351" t="s">
        <v>65</v>
      </c>
      <c r="W30" s="1352">
        <f t="shared" si="14"/>
        <v>100</v>
      </c>
      <c r="X30" s="3360"/>
      <c r="Y30" s="3578"/>
      <c r="Z30" s="3361">
        <f t="shared" si="15"/>
        <v>111</v>
      </c>
      <c r="AA30" s="3364">
        <f t="shared" si="3"/>
        <v>1</v>
      </c>
      <c r="AB30" s="3364">
        <f t="shared" si="4"/>
        <v>1</v>
      </c>
      <c r="AC30" s="336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576"/>
      <c r="Q31" s="3363">
        <f t="shared" si="11"/>
        <v>111</v>
      </c>
      <c r="R31" s="1351" t="s">
        <v>65</v>
      </c>
      <c r="S31" s="1352">
        <f t="shared" si="12"/>
        <v>100</v>
      </c>
      <c r="T31" s="1351" t="s">
        <v>65</v>
      </c>
      <c r="U31" s="1352">
        <f t="shared" si="13"/>
        <v>100</v>
      </c>
      <c r="V31" s="1351" t="s">
        <v>65</v>
      </c>
      <c r="W31" s="1352">
        <f t="shared" si="14"/>
        <v>100</v>
      </c>
      <c r="X31" s="3360"/>
      <c r="Y31" s="3578"/>
      <c r="Z31" s="3361">
        <f t="shared" si="15"/>
        <v>111</v>
      </c>
      <c r="AA31" s="3364">
        <f t="shared" si="3"/>
        <v>1</v>
      </c>
      <c r="AB31" s="3364">
        <f t="shared" si="4"/>
        <v>1</v>
      </c>
      <c r="AC31" s="3364">
        <f t="shared" si="5"/>
        <v>1</v>
      </c>
    </row>
    <row r="32" spans="1:29" ht="15">
      <c r="A32" s="155" t="s">
        <v>70</v>
      </c>
      <c r="B32" s="62" t="s">
        <v>1028</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1"/>
      <c r="M32" s="2296"/>
      <c r="N32" s="2296"/>
      <c r="O32" s="2296"/>
      <c r="P32" s="3579" t="s">
        <v>70</v>
      </c>
      <c r="Q32" s="3363" t="str">
        <f t="shared" si="11"/>
        <v>商业类型</v>
      </c>
      <c r="R32" s="1351" t="s">
        <v>65</v>
      </c>
      <c r="S32" s="1352">
        <f t="shared" si="12"/>
        <v>100</v>
      </c>
      <c r="T32" s="1351" t="s">
        <v>65</v>
      </c>
      <c r="U32" s="1352">
        <f t="shared" si="13"/>
        <v>100</v>
      </c>
      <c r="V32" s="1351" t="s">
        <v>65</v>
      </c>
      <c r="W32" s="1352">
        <f t="shared" si="14"/>
        <v>100</v>
      </c>
      <c r="X32" s="3360"/>
      <c r="Y32" s="3582" t="s">
        <v>70</v>
      </c>
      <c r="Z32" s="3361" t="str">
        <f t="shared" si="15"/>
        <v>商业类型</v>
      </c>
      <c r="AA32" s="3364">
        <f t="shared" si="3"/>
        <v>1</v>
      </c>
      <c r="AB32" s="3364">
        <f t="shared" si="4"/>
        <v>1</v>
      </c>
      <c r="AC32" s="3364">
        <f t="shared" si="5"/>
        <v>1</v>
      </c>
    </row>
    <row r="33" spans="1:29" s="1038" customFormat="1" ht="14.25">
      <c r="A33" s="1042"/>
      <c r="B33" s="3357" t="s">
        <v>76</v>
      </c>
      <c r="C33" s="811"/>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300"/>
      <c r="M33" s="2302"/>
      <c r="N33" s="2302"/>
      <c r="O33" s="2302"/>
      <c r="P33" s="3580"/>
      <c r="Q33" s="1358" t="str">
        <f t="shared" si="11"/>
        <v>项目建筑规模</v>
      </c>
      <c r="R33" s="1359" t="s">
        <v>65</v>
      </c>
      <c r="S33" s="1360" t="e">
        <f t="shared" si="12"/>
        <v>#N/A</v>
      </c>
      <c r="T33" s="1359" t="s">
        <v>65</v>
      </c>
      <c r="U33" s="1360" t="e">
        <f t="shared" si="13"/>
        <v>#N/A</v>
      </c>
      <c r="V33" s="1359" t="s">
        <v>65</v>
      </c>
      <c r="W33" s="1360" t="e">
        <f t="shared" si="14"/>
        <v>#N/A</v>
      </c>
      <c r="X33" s="1361"/>
      <c r="Y33" s="3582"/>
      <c r="Z33" s="1362" t="str">
        <f t="shared" si="15"/>
        <v>项目建筑规模</v>
      </c>
      <c r="AA33" s="3364" t="e">
        <f t="shared" si="3"/>
        <v>#N/A</v>
      </c>
      <c r="AB33" s="3364" t="e">
        <f t="shared" si="4"/>
        <v>#N/A</v>
      </c>
      <c r="AC33" s="3364" t="e">
        <f t="shared" si="5"/>
        <v>#N/A</v>
      </c>
    </row>
    <row r="34" spans="1:29" ht="15">
      <c r="A34" s="161"/>
      <c r="B34" s="3357"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301"/>
      <c r="M34" s="2296"/>
      <c r="N34" s="2296"/>
      <c r="O34" s="2296"/>
      <c r="P34" s="3580"/>
      <c r="Q34" s="3363" t="str">
        <f t="shared" si="11"/>
        <v>建筑结构</v>
      </c>
      <c r="R34" s="1351" t="s">
        <v>65</v>
      </c>
      <c r="S34" s="1352">
        <f t="shared" si="12"/>
        <v>100</v>
      </c>
      <c r="T34" s="1351" t="s">
        <v>65</v>
      </c>
      <c r="U34" s="1352">
        <f t="shared" si="13"/>
        <v>100</v>
      </c>
      <c r="V34" s="1351" t="s">
        <v>65</v>
      </c>
      <c r="W34" s="1352">
        <f t="shared" si="14"/>
        <v>100</v>
      </c>
      <c r="X34" s="3360"/>
      <c r="Y34" s="3582"/>
      <c r="Z34" s="3361" t="str">
        <f t="shared" si="15"/>
        <v>建筑结构</v>
      </c>
      <c r="AA34" s="3364">
        <f t="shared" si="3"/>
        <v>1</v>
      </c>
      <c r="AB34" s="3364">
        <f t="shared" si="4"/>
        <v>1</v>
      </c>
      <c r="AC34" s="3364">
        <f t="shared" si="5"/>
        <v>1</v>
      </c>
    </row>
    <row r="35" spans="1:29" ht="15">
      <c r="A35" s="161"/>
      <c r="B35" s="3357" t="s">
        <v>133</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1"/>
      <c r="M35" s="2296"/>
      <c r="N35" s="2296"/>
      <c r="O35" s="2296"/>
      <c r="P35" s="3580"/>
      <c r="Q35" s="3363" t="str">
        <f t="shared" si="11"/>
        <v>公共部分装修</v>
      </c>
      <c r="R35" s="1351" t="s">
        <v>65</v>
      </c>
      <c r="S35" s="1352">
        <f t="shared" si="12"/>
        <v>100</v>
      </c>
      <c r="T35" s="1351" t="s">
        <v>65</v>
      </c>
      <c r="U35" s="1352">
        <f t="shared" si="13"/>
        <v>100</v>
      </c>
      <c r="V35" s="1351" t="s">
        <v>65</v>
      </c>
      <c r="W35" s="1352">
        <f t="shared" si="14"/>
        <v>100</v>
      </c>
      <c r="X35" s="3360"/>
      <c r="Y35" s="3582"/>
      <c r="Z35" s="3361" t="str">
        <f t="shared" si="15"/>
        <v>公共部分装修</v>
      </c>
      <c r="AA35" s="3364">
        <f t="shared" si="3"/>
        <v>1</v>
      </c>
      <c r="AB35" s="3364">
        <f t="shared" si="4"/>
        <v>1</v>
      </c>
      <c r="AC35" s="3364">
        <f t="shared" si="5"/>
        <v>1</v>
      </c>
    </row>
    <row r="36" spans="1:29" ht="15">
      <c r="A36" s="161"/>
      <c r="B36" s="3357" t="s">
        <v>134</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1"/>
      <c r="M36" s="2296"/>
      <c r="N36" s="2296"/>
      <c r="O36" s="2296"/>
      <c r="P36" s="3580"/>
      <c r="Q36" s="3363" t="str">
        <f t="shared" si="11"/>
        <v>成新度</v>
      </c>
      <c r="R36" s="1351" t="s">
        <v>65</v>
      </c>
      <c r="S36" s="1352" t="e">
        <f t="shared" si="12"/>
        <v>#N/A</v>
      </c>
      <c r="T36" s="1351" t="s">
        <v>65</v>
      </c>
      <c r="U36" s="1352" t="e">
        <f t="shared" si="13"/>
        <v>#N/A</v>
      </c>
      <c r="V36" s="1351" t="s">
        <v>65</v>
      </c>
      <c r="W36" s="1352" t="e">
        <f t="shared" si="14"/>
        <v>#N/A</v>
      </c>
      <c r="X36" s="3360"/>
      <c r="Y36" s="3582"/>
      <c r="Z36" s="3361" t="str">
        <f t="shared" si="15"/>
        <v>成新度</v>
      </c>
      <c r="AA36" s="3364" t="e">
        <f t="shared" si="3"/>
        <v>#N/A</v>
      </c>
      <c r="AB36" s="3364" t="e">
        <f t="shared" si="4"/>
        <v>#N/A</v>
      </c>
      <c r="AC36" s="3364" t="e">
        <f t="shared" si="5"/>
        <v>#N/A</v>
      </c>
    </row>
    <row r="37" spans="1:29" s="40" customFormat="1" ht="15">
      <c r="A37" s="1040"/>
      <c r="B37" s="3357" t="s">
        <v>2659</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4"/>
      <c r="L37" s="2297"/>
      <c r="M37" s="2259"/>
      <c r="N37" s="2259"/>
      <c r="O37" s="2259"/>
      <c r="P37" s="3580"/>
      <c r="Q37" s="3343" t="str">
        <f t="shared" si="11"/>
        <v>市政基础设施</v>
      </c>
      <c r="R37" s="1341" t="s">
        <v>65</v>
      </c>
      <c r="S37" s="1342">
        <f t="shared" si="12"/>
        <v>100</v>
      </c>
      <c r="T37" s="1341" t="s">
        <v>65</v>
      </c>
      <c r="U37" s="1342">
        <f t="shared" si="13"/>
        <v>100</v>
      </c>
      <c r="V37" s="1341" t="s">
        <v>65</v>
      </c>
      <c r="W37" s="1342">
        <f t="shared" si="14"/>
        <v>100</v>
      </c>
      <c r="X37" s="287"/>
      <c r="Y37" s="3582"/>
      <c r="Z37" s="3344" t="str">
        <f t="shared" si="15"/>
        <v>市政基础设施</v>
      </c>
      <c r="AA37" s="1343">
        <f t="shared" si="3"/>
        <v>1</v>
      </c>
      <c r="AB37" s="1343">
        <f t="shared" si="4"/>
        <v>1</v>
      </c>
      <c r="AC37" s="1343">
        <f t="shared" si="5"/>
        <v>1</v>
      </c>
    </row>
    <row r="38" spans="1:29" ht="15">
      <c r="A38" s="161"/>
      <c r="B38" s="3357"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1"/>
      <c r="M38" s="2296"/>
      <c r="N38" s="2296"/>
      <c r="O38" s="2296"/>
      <c r="P38" s="3580" t="s">
        <v>70</v>
      </c>
      <c r="Q38" s="3363" t="str">
        <f t="shared" si="11"/>
        <v>业态</v>
      </c>
      <c r="R38" s="1351" t="s">
        <v>65</v>
      </c>
      <c r="S38" s="1352">
        <f t="shared" si="12"/>
        <v>100</v>
      </c>
      <c r="T38" s="1351" t="s">
        <v>65</v>
      </c>
      <c r="U38" s="1352">
        <f t="shared" si="13"/>
        <v>100</v>
      </c>
      <c r="V38" s="1351" t="s">
        <v>65</v>
      </c>
      <c r="W38" s="1352">
        <f t="shared" si="14"/>
        <v>100</v>
      </c>
      <c r="X38" s="3360"/>
      <c r="Y38" s="3582" t="s">
        <v>70</v>
      </c>
      <c r="Z38" s="3361" t="str">
        <f t="shared" si="15"/>
        <v>业态</v>
      </c>
      <c r="AA38" s="3364">
        <f t="shared" si="3"/>
        <v>1</v>
      </c>
      <c r="AB38" s="3364">
        <f t="shared" si="4"/>
        <v>1</v>
      </c>
      <c r="AC38" s="3364">
        <f t="shared" si="5"/>
        <v>1</v>
      </c>
    </row>
    <row r="39" spans="1:29" ht="15">
      <c r="A39" s="161"/>
      <c r="B39" s="3357" t="s">
        <v>136</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1"/>
      <c r="M39" s="2296"/>
      <c r="N39" s="2296"/>
      <c r="O39" s="2296"/>
      <c r="P39" s="3580"/>
      <c r="Q39" s="3363" t="str">
        <f t="shared" si="11"/>
        <v>层高</v>
      </c>
      <c r="R39" s="1351" t="s">
        <v>65</v>
      </c>
      <c r="S39" s="1352">
        <f t="shared" si="12"/>
        <v>100</v>
      </c>
      <c r="T39" s="1351" t="s">
        <v>65</v>
      </c>
      <c r="U39" s="1352">
        <f t="shared" si="13"/>
        <v>100</v>
      </c>
      <c r="V39" s="1351" t="s">
        <v>65</v>
      </c>
      <c r="W39" s="1352">
        <f t="shared" si="14"/>
        <v>100</v>
      </c>
      <c r="X39" s="3360"/>
      <c r="Y39" s="3582"/>
      <c r="Z39" s="3361" t="str">
        <f t="shared" si="15"/>
        <v>层高</v>
      </c>
      <c r="AA39" s="3364">
        <f t="shared" si="3"/>
        <v>1</v>
      </c>
      <c r="AB39" s="3364">
        <f t="shared" si="4"/>
        <v>1</v>
      </c>
      <c r="AC39" s="3364">
        <f t="shared" si="5"/>
        <v>1</v>
      </c>
    </row>
    <row r="40" spans="1:29" ht="14.25">
      <c r="A40" s="161"/>
      <c r="B40" s="3357"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580"/>
      <c r="Q40" s="3363" t="str">
        <f t="shared" si="11"/>
        <v>单套建筑面积</v>
      </c>
      <c r="R40" s="1351" t="s">
        <v>65</v>
      </c>
      <c r="S40" s="1352">
        <f t="shared" si="12"/>
        <v>100</v>
      </c>
      <c r="T40" s="1351" t="s">
        <v>65</v>
      </c>
      <c r="U40" s="1352">
        <f t="shared" si="13"/>
        <v>100</v>
      </c>
      <c r="V40" s="1351" t="s">
        <v>65</v>
      </c>
      <c r="W40" s="1352">
        <f t="shared" si="14"/>
        <v>100</v>
      </c>
      <c r="X40" s="3360"/>
      <c r="Y40" s="3582"/>
      <c r="Z40" s="3361" t="str">
        <f t="shared" si="15"/>
        <v>单套建筑面积</v>
      </c>
      <c r="AA40" s="3364">
        <f t="shared" si="3"/>
        <v>1</v>
      </c>
      <c r="AB40" s="3364">
        <f t="shared" si="4"/>
        <v>1</v>
      </c>
      <c r="AC40" s="3364">
        <f t="shared" si="5"/>
        <v>1</v>
      </c>
    </row>
    <row r="41" spans="1:29" s="1038" customFormat="1" ht="15">
      <c r="A41" s="1042"/>
      <c r="B41" s="3362" t="s">
        <v>1035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300"/>
      <c r="M41" s="2302"/>
      <c r="N41" s="2302"/>
      <c r="O41" s="2302"/>
      <c r="P41" s="3580"/>
      <c r="Q41" s="1358" t="str">
        <f t="shared" si="11"/>
        <v>进深比</v>
      </c>
      <c r="R41" s="1359" t="s">
        <v>65</v>
      </c>
      <c r="S41" s="1360">
        <f t="shared" si="12"/>
        <v>100</v>
      </c>
      <c r="T41" s="1359" t="s">
        <v>65</v>
      </c>
      <c r="U41" s="1360">
        <f t="shared" si="13"/>
        <v>100</v>
      </c>
      <c r="V41" s="1359" t="s">
        <v>65</v>
      </c>
      <c r="W41" s="1360">
        <f t="shared" si="14"/>
        <v>100</v>
      </c>
      <c r="X41" s="1361"/>
      <c r="Y41" s="3582"/>
      <c r="Z41" s="1362" t="str">
        <f t="shared" si="15"/>
        <v>进深比</v>
      </c>
      <c r="AA41" s="3364">
        <f t="shared" si="3"/>
        <v>1</v>
      </c>
      <c r="AB41" s="3364">
        <f t="shared" si="4"/>
        <v>1</v>
      </c>
      <c r="AC41" s="3364">
        <f t="shared" si="5"/>
        <v>1</v>
      </c>
    </row>
    <row r="42" spans="1:29" ht="15">
      <c r="A42" s="161"/>
      <c r="B42" s="3357" t="s">
        <v>137</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1"/>
      <c r="M42" s="2296"/>
      <c r="N42" s="2296"/>
      <c r="O42" s="2296"/>
      <c r="P42" s="3580"/>
      <c r="Q42" s="3363" t="str">
        <f t="shared" si="11"/>
        <v>内部装修</v>
      </c>
      <c r="R42" s="1351" t="s">
        <v>65</v>
      </c>
      <c r="S42" s="1352">
        <f t="shared" si="12"/>
        <v>100</v>
      </c>
      <c r="T42" s="1351" t="s">
        <v>65</v>
      </c>
      <c r="U42" s="1352">
        <f t="shared" si="13"/>
        <v>100</v>
      </c>
      <c r="V42" s="1351" t="s">
        <v>65</v>
      </c>
      <c r="W42" s="1352">
        <f t="shared" si="14"/>
        <v>100</v>
      </c>
      <c r="X42" s="3360"/>
      <c r="Y42" s="3582"/>
      <c r="Z42" s="3361" t="str">
        <f t="shared" si="15"/>
        <v>内部装修</v>
      </c>
      <c r="AA42" s="3364">
        <f t="shared" si="3"/>
        <v>1</v>
      </c>
      <c r="AB42" s="3364">
        <f t="shared" si="4"/>
        <v>1</v>
      </c>
      <c r="AC42" s="3364">
        <f t="shared" si="5"/>
        <v>1</v>
      </c>
    </row>
    <row r="43" spans="1:29" ht="27">
      <c r="A43" s="161"/>
      <c r="B43" s="3357"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1"/>
      <c r="M43" s="2296"/>
      <c r="N43" s="2296"/>
      <c r="O43" s="2296"/>
      <c r="P43" s="3580"/>
      <c r="Q43" s="3363" t="str">
        <f t="shared" si="11"/>
        <v>内部装修维护情况</v>
      </c>
      <c r="R43" s="1351" t="s">
        <v>65</v>
      </c>
      <c r="S43" s="1352">
        <f t="shared" si="12"/>
        <v>100</v>
      </c>
      <c r="T43" s="1351" t="s">
        <v>65</v>
      </c>
      <c r="U43" s="1352">
        <f t="shared" si="13"/>
        <v>100</v>
      </c>
      <c r="V43" s="1351" t="s">
        <v>65</v>
      </c>
      <c r="W43" s="1352">
        <f t="shared" si="14"/>
        <v>100</v>
      </c>
      <c r="X43" s="3360"/>
      <c r="Y43" s="3582"/>
      <c r="Z43" s="3361" t="str">
        <f t="shared" si="15"/>
        <v>内部装修维护情况</v>
      </c>
      <c r="AA43" s="3364">
        <f t="shared" si="3"/>
        <v>1</v>
      </c>
      <c r="AB43" s="3364">
        <f t="shared" si="4"/>
        <v>1</v>
      </c>
      <c r="AC43" s="336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80"/>
      <c r="Q44" s="3343">
        <f t="shared" si="11"/>
        <v>111</v>
      </c>
      <c r="R44" s="1341" t="s">
        <v>65</v>
      </c>
      <c r="S44" s="1342">
        <f t="shared" si="12"/>
        <v>100</v>
      </c>
      <c r="T44" s="1341" t="s">
        <v>65</v>
      </c>
      <c r="U44" s="1342">
        <f t="shared" si="13"/>
        <v>100</v>
      </c>
      <c r="V44" s="1341" t="s">
        <v>65</v>
      </c>
      <c r="W44" s="1342">
        <f t="shared" si="14"/>
        <v>100</v>
      </c>
      <c r="X44" s="287"/>
      <c r="Y44" s="3582"/>
      <c r="Z44" s="3344">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580"/>
      <c r="Q45" s="3363">
        <f t="shared" si="11"/>
        <v>111</v>
      </c>
      <c r="R45" s="1351" t="s">
        <v>65</v>
      </c>
      <c r="S45" s="1352">
        <f t="shared" si="12"/>
        <v>100</v>
      </c>
      <c r="T45" s="1351" t="s">
        <v>65</v>
      </c>
      <c r="U45" s="1352">
        <f t="shared" si="13"/>
        <v>100</v>
      </c>
      <c r="V45" s="1351" t="s">
        <v>65</v>
      </c>
      <c r="W45" s="1352">
        <f t="shared" si="14"/>
        <v>100</v>
      </c>
      <c r="X45" s="3360"/>
      <c r="Y45" s="3582"/>
      <c r="Z45" s="3361">
        <f t="shared" si="15"/>
        <v>111</v>
      </c>
      <c r="AA45" s="3364">
        <f t="shared" si="3"/>
        <v>1</v>
      </c>
      <c r="AB45" s="3364">
        <f t="shared" si="4"/>
        <v>1</v>
      </c>
      <c r="AC45" s="336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581"/>
      <c r="Q46" s="3363">
        <f t="shared" si="11"/>
        <v>111</v>
      </c>
      <c r="R46" s="1351" t="s">
        <v>65</v>
      </c>
      <c r="S46" s="1352">
        <f t="shared" si="12"/>
        <v>100</v>
      </c>
      <c r="T46" s="1351" t="s">
        <v>65</v>
      </c>
      <c r="U46" s="1352">
        <f t="shared" si="13"/>
        <v>100</v>
      </c>
      <c r="V46" s="1351" t="s">
        <v>65</v>
      </c>
      <c r="W46" s="1352">
        <f t="shared" si="14"/>
        <v>100</v>
      </c>
      <c r="X46" s="3360"/>
      <c r="Y46" s="3583"/>
      <c r="Z46" s="3361">
        <f t="shared" si="15"/>
        <v>111</v>
      </c>
      <c r="AA46" s="3364">
        <f t="shared" si="3"/>
        <v>1</v>
      </c>
      <c r="AB46" s="3364">
        <f t="shared" si="4"/>
        <v>1</v>
      </c>
      <c r="AC46" s="3364">
        <f t="shared" si="5"/>
        <v>1</v>
      </c>
    </row>
    <row r="47" spans="1:29" ht="15">
      <c r="A47" s="163" t="s">
        <v>102</v>
      </c>
      <c r="B47" s="164"/>
      <c r="C47" s="2836" t="s">
        <v>23</v>
      </c>
      <c r="D47" s="2837"/>
      <c r="E47" s="2838">
        <v>5.8</v>
      </c>
      <c r="F47" s="2839"/>
      <c r="G47" s="2840">
        <v>6.7</v>
      </c>
      <c r="H47" s="2841"/>
      <c r="I47" s="2838">
        <v>6.3</v>
      </c>
      <c r="J47" s="2841"/>
      <c r="K47" s="1392"/>
      <c r="L47" s="2303"/>
      <c r="M47" s="2304"/>
      <c r="N47" s="2296"/>
      <c r="O47" s="2304"/>
      <c r="P47" s="3570" t="str">
        <f>A47</f>
        <v>成交单价（元/平方米）</v>
      </c>
      <c r="Q47" s="3570"/>
      <c r="R47" s="3584">
        <f>E47</f>
        <v>5.8</v>
      </c>
      <c r="S47" s="3584"/>
      <c r="T47" s="3584">
        <f>G47</f>
        <v>6.7</v>
      </c>
      <c r="U47" s="3584"/>
      <c r="V47" s="3584">
        <f>I47</f>
        <v>6.3</v>
      </c>
      <c r="W47" s="3584"/>
      <c r="X47" s="1364"/>
      <c r="Y47" s="1365"/>
      <c r="Z47" s="1364"/>
      <c r="AA47" s="1364"/>
      <c r="AB47" s="1364"/>
      <c r="AC47" s="1364"/>
    </row>
    <row r="48" spans="1:29" ht="15.75" thickBot="1">
      <c r="A48" s="165" t="s">
        <v>100</v>
      </c>
      <c r="B48" s="166"/>
      <c r="C48" s="2842" t="e">
        <f>R49</f>
        <v>#DIV/0!</v>
      </c>
      <c r="D48" s="2843"/>
      <c r="E48" s="2844" t="e">
        <f>R48</f>
        <v>#DIV/0!</v>
      </c>
      <c r="F48" s="2844"/>
      <c r="G48" s="2842" t="e">
        <f>T48</f>
        <v>#DIV/0!</v>
      </c>
      <c r="H48" s="2843"/>
      <c r="I48" s="2844" t="e">
        <f>V48</f>
        <v>#DIV/0!</v>
      </c>
      <c r="J48" s="2843"/>
      <c r="K48" s="1393"/>
      <c r="L48" s="2303"/>
      <c r="M48" s="2304"/>
      <c r="N48" s="2296"/>
      <c r="O48" s="2304"/>
      <c r="P48" s="3570" t="str">
        <f>A48</f>
        <v>比较价值（元/平方米）</v>
      </c>
      <c r="Q48" s="3570"/>
      <c r="R48" s="3571" t="e">
        <f>IF(F1="售价",ROUND(PRODUCT(R47,AA7:AA46),0),ROUND(PRODUCT(R47,AA7:AA46),1))</f>
        <v>#DIV/0!</v>
      </c>
      <c r="S48" s="3571"/>
      <c r="T48" s="3571" t="e">
        <f>IF(F1="售价",ROUND(PRODUCT(T47,AB7:AB46),0),ROUND(PRODUCT(T47,AB7:AB46),1))</f>
        <v>#DIV/0!</v>
      </c>
      <c r="U48" s="3571"/>
      <c r="V48" s="3571" t="e">
        <f>IF(F1="售价",ROUND(PRODUCT(V47,AC7:AC46),0),ROUND(PRODUCT(V47,AC7:AC46),1))</f>
        <v>#DIV/0!</v>
      </c>
      <c r="W48" s="3571"/>
      <c r="X48" s="1364"/>
      <c r="Y48" s="1364"/>
      <c r="Z48" s="1364"/>
      <c r="AA48" s="1364"/>
      <c r="AB48" s="1364"/>
      <c r="AC48" s="1364"/>
    </row>
    <row r="49" spans="1:29" ht="15.75" thickBot="1">
      <c r="A49" s="115" t="s">
        <v>3021</v>
      </c>
      <c r="B49" s="116"/>
      <c r="C49" s="2846" t="e">
        <f>R49</f>
        <v>#DIV/0!</v>
      </c>
      <c r="D49" s="2846"/>
      <c r="E49" s="2846"/>
      <c r="F49" s="2846"/>
      <c r="G49" s="2846"/>
      <c r="H49" s="2846"/>
      <c r="I49" s="2846"/>
      <c r="J49" s="2846"/>
      <c r="K49" s="1394"/>
      <c r="L49" s="2303"/>
      <c r="M49" s="2304"/>
      <c r="N49" s="2296"/>
      <c r="O49" s="2304"/>
      <c r="P49" s="3572" t="str">
        <f>A49</f>
        <v>估价对象XX用房的比较价值（楼面单价，元/平方米）</v>
      </c>
      <c r="Q49" s="3573"/>
      <c r="R49" s="3574" t="e">
        <f>IF(F1="售价",ROUND(AVERAGE(R48:V48),0),ROUND(AVERAGE(R48:V48),1))</f>
        <v>#DIV/0!</v>
      </c>
      <c r="S49" s="3574"/>
      <c r="T49" s="3574"/>
      <c r="U49" s="3574"/>
      <c r="V49" s="3574"/>
      <c r="W49" s="3574"/>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412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413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414</v>
      </c>
      <c r="D54" s="843"/>
      <c r="E54" s="841">
        <f>IF(E47&lt;G47,G47/E47-1,E47/G47-1)</f>
        <v>0.15517241379310343</v>
      </c>
      <c r="F54" s="842" t="str">
        <f>IF(OR(E54&gt;=0.3,E54&lt;=-0.3),"超过30%","")</f>
        <v/>
      </c>
      <c r="G54" s="841">
        <f>IF(G47&lt;I47,I47/G47-1,G47/I47-1)</f>
        <v>6.3492063492063489E-2</v>
      </c>
      <c r="H54" s="842" t="str">
        <f>IF(OR(G54&gt;=0.3,G54&lt;=-0.3),"超过30%","")</f>
        <v/>
      </c>
      <c r="I54" s="841">
        <f>IF(I47&lt;E47,E47/I47-1,I47/E47-1)</f>
        <v>8.6206896551724199E-2</v>
      </c>
      <c r="J54" s="842" t="str">
        <f>IF(OR(I54&gt;=0.3,I54&lt;=-0.3),"超过30%","")</f>
        <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127</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398</v>
      </c>
      <c r="B58" s="848"/>
      <c r="C58" s="3045" t="str">
        <f>YEAR(C7)&amp;"-"&amp;MONTH(C7)</f>
        <v>2017-11</v>
      </c>
      <c r="D58" s="3046">
        <f>EDATE(C58,-1)</f>
        <v>43009</v>
      </c>
      <c r="E58" s="3046">
        <f t="shared" ref="E58:N58" si="16">EDATE(D58,-1)</f>
        <v>42979</v>
      </c>
      <c r="F58" s="3046">
        <f t="shared" si="16"/>
        <v>42948</v>
      </c>
      <c r="G58" s="3046">
        <f t="shared" si="16"/>
        <v>42917</v>
      </c>
      <c r="H58" s="3046">
        <f t="shared" si="16"/>
        <v>42887</v>
      </c>
      <c r="I58" s="3046">
        <f t="shared" si="16"/>
        <v>42856</v>
      </c>
      <c r="J58" s="3046">
        <f t="shared" si="16"/>
        <v>42826</v>
      </c>
      <c r="K58" s="3046">
        <f t="shared" si="16"/>
        <v>42795</v>
      </c>
      <c r="L58" s="3046">
        <f t="shared" si="16"/>
        <v>42767</v>
      </c>
      <c r="M58" s="3046">
        <f t="shared" si="16"/>
        <v>42736</v>
      </c>
      <c r="N58" s="3046">
        <f t="shared" si="16"/>
        <v>42705</v>
      </c>
      <c r="O58" s="3046">
        <f>EDATE(N58,-1)</f>
        <v>42675</v>
      </c>
      <c r="P58" s="3039"/>
    </row>
    <row r="59" spans="1:29" s="40" customFormat="1" ht="14.25">
      <c r="A59" s="1044"/>
      <c r="B59" s="1045"/>
      <c r="C59" s="3043">
        <v>100</v>
      </c>
      <c r="D59" s="854"/>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420</v>
      </c>
      <c r="D65" s="881" t="s">
        <v>421</v>
      </c>
      <c r="E65" s="881" t="s">
        <v>1012</v>
      </c>
      <c r="F65" s="881" t="s">
        <v>423</v>
      </c>
      <c r="G65" s="881" t="s">
        <v>438</v>
      </c>
      <c r="H65" s="881" t="s">
        <v>439</v>
      </c>
      <c r="I65" s="881" t="s">
        <v>1016</v>
      </c>
      <c r="J65" s="881"/>
      <c r="K65" s="882"/>
      <c r="L65" s="883"/>
      <c r="M65" s="884"/>
      <c r="N65" s="1388"/>
      <c r="O65" s="1388"/>
      <c r="P65" s="1378"/>
      <c r="Q65" s="121"/>
    </row>
    <row r="66" spans="1:17" ht="15" thickBot="1">
      <c r="A66" s="173"/>
      <c r="B66" s="1054"/>
      <c r="C66" s="886" t="s">
        <v>138</v>
      </c>
      <c r="D66" s="886" t="s">
        <v>138</v>
      </c>
      <c r="E66" s="886" t="s">
        <v>138</v>
      </c>
      <c r="F66" s="886">
        <v>100</v>
      </c>
      <c r="G66" s="886">
        <f>F66-$K10</f>
        <v>100</v>
      </c>
      <c r="H66" s="886">
        <f>G66-$K10</f>
        <v>100</v>
      </c>
      <c r="I66" s="886">
        <f>H66-$K10</f>
        <v>100</v>
      </c>
      <c r="J66" s="886"/>
      <c r="K66" s="886"/>
      <c r="L66" s="886"/>
      <c r="M66" s="887"/>
      <c r="N66" s="1389"/>
      <c r="O66" s="1389"/>
      <c r="P66" s="1378"/>
      <c r="Q66" s="121"/>
    </row>
    <row r="67" spans="1:17" ht="15" thickTop="1">
      <c r="A67" s="173"/>
      <c r="B67" s="1055" t="s">
        <v>93</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425</v>
      </c>
      <c r="D76" s="915" t="s">
        <v>426</v>
      </c>
      <c r="E76" s="915" t="s">
        <v>1019</v>
      </c>
      <c r="F76" s="915" t="s">
        <v>428</v>
      </c>
      <c r="G76" s="915" t="s">
        <v>429</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31</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2658</v>
      </c>
      <c r="C82" s="213" t="s">
        <v>2661</v>
      </c>
      <c r="D82" s="213" t="s">
        <v>2662</v>
      </c>
      <c r="E82" s="213" t="s">
        <v>2663</v>
      </c>
      <c r="F82" s="213" t="s">
        <v>2664</v>
      </c>
      <c r="G82" s="213" t="s">
        <v>2665</v>
      </c>
      <c r="H82" s="881"/>
      <c r="I82" s="881"/>
      <c r="J82" s="881"/>
      <c r="K82" s="881"/>
      <c r="L82" s="881"/>
      <c r="M82" s="2765"/>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1056</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70</v>
      </c>
      <c r="B100" s="286" t="s">
        <v>1058</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96</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124</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112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2643</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1035</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94</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37" priority="16"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1" t="s">
        <v>2389</v>
      </c>
      <c r="C1" s="3624" t="s">
        <v>2390</v>
      </c>
      <c r="D1" s="3625"/>
      <c r="E1" s="3625"/>
      <c r="F1" s="3625"/>
      <c r="G1" s="3625"/>
      <c r="H1" s="3625"/>
      <c r="I1" s="3625"/>
      <c r="J1" s="3625"/>
      <c r="K1" s="3625"/>
      <c r="L1" s="3625"/>
      <c r="M1" s="3625"/>
      <c r="N1" s="3625"/>
      <c r="O1" s="3625"/>
      <c r="P1" s="3625"/>
      <c r="Q1" s="3625"/>
      <c r="R1" s="3625"/>
      <c r="S1" s="3626"/>
      <c r="T1" s="2441" t="s">
        <v>2391</v>
      </c>
    </row>
    <row r="2" spans="1:45" s="1115" customFormat="1" ht="38.25">
      <c r="A2" s="2442"/>
      <c r="B2" s="1111" t="s">
        <v>2392</v>
      </c>
      <c r="C2" s="1112" t="str">
        <f t="shared" ref="C2:L2" si="0">C3&amp;"(含)"&amp;"-"&amp;D3</f>
        <v>0(含)-50</v>
      </c>
      <c r="D2" s="1113" t="str">
        <f t="shared" si="0"/>
        <v>50(含)-100</v>
      </c>
      <c r="E2" s="1113" t="str">
        <f t="shared" si="0"/>
        <v>100(含)-200</v>
      </c>
      <c r="F2" s="1113" t="str">
        <f t="shared" si="0"/>
        <v>200(含)-300</v>
      </c>
      <c r="G2" s="1113" t="str">
        <f t="shared" si="0"/>
        <v>300(含)-400</v>
      </c>
      <c r="H2" s="1113" t="str">
        <f t="shared" si="0"/>
        <v>400(含)-500</v>
      </c>
      <c r="I2" s="1113" t="str">
        <f t="shared" si="0"/>
        <v>500(含)-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v>0</v>
      </c>
      <c r="D3" s="1118">
        <v>50</v>
      </c>
      <c r="E3" s="1118">
        <v>100</v>
      </c>
      <c r="F3" s="3212">
        <v>200</v>
      </c>
      <c r="G3" s="3212">
        <v>300</v>
      </c>
      <c r="H3" s="3212">
        <v>400</v>
      </c>
      <c r="I3" s="3212">
        <v>500</v>
      </c>
      <c r="J3" s="3212"/>
      <c r="K3" s="3212"/>
      <c r="L3" s="3213"/>
      <c r="M3" s="3214"/>
      <c r="N3" s="3214"/>
      <c r="O3" s="3212"/>
      <c r="P3" s="3212"/>
      <c r="Q3" s="3212"/>
      <c r="R3" s="3212"/>
      <c r="S3" s="3215"/>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v>100</v>
      </c>
      <c r="D4" s="2448">
        <v>98</v>
      </c>
      <c r="E4" s="2448">
        <v>96</v>
      </c>
      <c r="F4" s="3216">
        <v>94</v>
      </c>
      <c r="G4" s="3216">
        <v>92</v>
      </c>
      <c r="H4" s="3216">
        <v>90</v>
      </c>
      <c r="I4" s="3216">
        <v>88</v>
      </c>
      <c r="J4" s="3216"/>
      <c r="K4" s="3216"/>
      <c r="L4" s="3216"/>
      <c r="M4" s="3217"/>
      <c r="N4" s="3217"/>
      <c r="O4" s="3216"/>
      <c r="P4" s="3216"/>
      <c r="Q4" s="3216"/>
      <c r="R4" s="3216"/>
      <c r="S4" s="3218"/>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11" t="s">
        <v>3036</v>
      </c>
      <c r="C5" s="2453"/>
      <c r="D5" s="2454"/>
      <c r="E5" s="2454"/>
      <c r="F5" s="3219"/>
      <c r="G5" s="3219"/>
      <c r="H5" s="3219"/>
      <c r="I5" s="3219"/>
      <c r="J5" s="3219"/>
      <c r="K5" s="3219"/>
      <c r="L5" s="3220"/>
      <c r="M5" s="3221"/>
      <c r="N5" s="3221"/>
      <c r="O5" s="3219"/>
      <c r="P5" s="3219"/>
      <c r="Q5" s="3219"/>
      <c r="R5" s="3219"/>
      <c r="S5" s="3222"/>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12" t="s">
        <v>3035</v>
      </c>
      <c r="C7" s="2208"/>
      <c r="D7" s="2202"/>
      <c r="E7" s="2202"/>
      <c r="F7" s="3224"/>
      <c r="G7" s="3224"/>
      <c r="H7" s="3224"/>
      <c r="I7" s="3224"/>
      <c r="J7" s="3224"/>
      <c r="K7" s="3224"/>
      <c r="L7" s="3224"/>
      <c r="M7" s="3225"/>
      <c r="N7" s="3226"/>
      <c r="O7" s="3227"/>
      <c r="P7" s="3228"/>
      <c r="Q7" s="3229"/>
      <c r="R7" s="3230"/>
      <c r="S7" s="3231"/>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12" t="s">
        <v>3034</v>
      </c>
      <c r="C9" s="2208"/>
      <c r="D9" s="2202"/>
      <c r="E9" s="2202"/>
      <c r="F9" s="3224"/>
      <c r="G9" s="3224"/>
      <c r="H9" s="3224"/>
      <c r="I9" s="3224"/>
      <c r="J9" s="3224"/>
      <c r="K9" s="3224"/>
      <c r="L9" s="3232"/>
      <c r="M9" s="3225"/>
      <c r="N9" s="3226"/>
      <c r="O9" s="3227"/>
      <c r="P9" s="3228"/>
      <c r="Q9" s="3229"/>
      <c r="R9" s="3230"/>
      <c r="S9" s="3231"/>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11" t="s">
        <v>3033</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11" t="s">
        <v>3032</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11" t="s">
        <v>3031</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2393</v>
      </c>
      <c r="B17" s="2485" t="s">
        <v>2394</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521</v>
      </c>
      <c r="B20" s="673">
        <f ca="1">S22</f>
        <v>802</v>
      </c>
      <c r="C20" s="500"/>
      <c r="D20" s="500"/>
      <c r="E20" s="500"/>
      <c r="F20" s="500"/>
      <c r="G20" s="500"/>
      <c r="H20" s="500"/>
      <c r="I20" s="500"/>
      <c r="J20" s="500"/>
      <c r="K20" s="500"/>
      <c r="L20" s="500"/>
      <c r="M20" s="500"/>
      <c r="N20" s="500"/>
      <c r="O20" s="500"/>
      <c r="P20" s="500"/>
      <c r="Q20" s="500"/>
      <c r="R20" s="1415"/>
      <c r="S20" s="469"/>
    </row>
    <row r="21" spans="1:45" ht="15.75">
      <c r="A21" s="1123" t="s">
        <v>522</v>
      </c>
      <c r="B21" s="673">
        <f ca="1">R22</f>
        <v>51539</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155.61000000000001</v>
      </c>
      <c r="C22" s="3621" t="s">
        <v>169</v>
      </c>
      <c r="D22" s="3622"/>
      <c r="E22" s="3622"/>
      <c r="F22" s="3622"/>
      <c r="G22" s="3622"/>
      <c r="H22" s="3622"/>
      <c r="I22" s="3622"/>
      <c r="J22" s="3622"/>
      <c r="K22" s="3622"/>
      <c r="L22" s="3622"/>
      <c r="M22" s="3622"/>
      <c r="N22" s="3622"/>
      <c r="O22" s="3622"/>
      <c r="P22" s="3622"/>
      <c r="Q22" s="3623"/>
      <c r="R22" s="1124">
        <f ca="1">ROUND(S22*10000/B22,0)</f>
        <v>51539</v>
      </c>
      <c r="S22" s="313">
        <f ca="1">SUM(S24:S10000)</f>
        <v>802</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v>102</v>
      </c>
      <c r="B24" s="1126">
        <v>49.46</v>
      </c>
      <c r="C24" s="1127">
        <v>1</v>
      </c>
      <c r="D24" s="1128"/>
      <c r="E24" s="1127">
        <v>1</v>
      </c>
      <c r="F24" s="1128"/>
      <c r="G24" s="1127">
        <v>1</v>
      </c>
      <c r="H24" s="1128"/>
      <c r="I24" s="1127">
        <v>1</v>
      </c>
      <c r="J24" s="1128"/>
      <c r="K24" s="1127">
        <v>1</v>
      </c>
      <c r="L24" s="1128"/>
      <c r="M24" s="1127">
        <v>1</v>
      </c>
      <c r="N24" s="1128"/>
      <c r="O24" s="1127">
        <v>1</v>
      </c>
      <c r="P24" s="1128"/>
      <c r="Q24" s="1127">
        <v>1</v>
      </c>
      <c r="R24" s="1129">
        <f ca="1">结果表商业!G20</f>
        <v>52980</v>
      </c>
      <c r="S24" s="1127">
        <f t="shared" ref="S24:S54" ca="1" si="11">ROUND(R24*B24/10000,0)</f>
        <v>262</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v>103</v>
      </c>
      <c r="B25" s="348">
        <v>106.15</v>
      </c>
      <c r="C25" s="313">
        <f>IF(B25="",1,(LOOKUP(B25,$3:$3,$4:$4)-LOOKUP($B$24,$3:$3,$4:$4)+100)/100)</f>
        <v>0.96</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 ca="1">IF(B25="",0,ROUND($R$24*C25*E25*G25*I25*K25*M25*O25*Q25,0))</f>
        <v>50861</v>
      </c>
      <c r="S25" s="698">
        <f t="shared" ca="1" si="11"/>
        <v>540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H30" sqref="H30"/>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8" t="s">
        <v>3062</v>
      </c>
      <c r="D1" s="1242"/>
      <c r="E1" s="1242"/>
      <c r="F1" s="2082" t="s">
        <v>2113</v>
      </c>
      <c r="G1" s="2055" t="s">
        <v>3071</v>
      </c>
      <c r="H1" s="2111" t="str">
        <f>IF(G1="现房","——","估价对象范围")</f>
        <v>——</v>
      </c>
      <c r="I1" s="2088" t="s">
        <v>3124</v>
      </c>
    </row>
    <row r="2" spans="1:12" ht="21.75" customHeight="1" thickBot="1">
      <c r="A2" s="3473" t="str">
        <f>项目基本情况!S2</f>
        <v>北京市西城区真武庙路二条10号楼1层7单元102及103共计两套商业服务用房及-1层-102号储藏用房房地产房地产</v>
      </c>
      <c r="B2" s="3474"/>
      <c r="C2" s="3474"/>
      <c r="D2" s="3474"/>
      <c r="E2" s="3474"/>
      <c r="F2" s="3474"/>
      <c r="G2" s="3474"/>
      <c r="H2" s="3474"/>
      <c r="I2" s="3475"/>
    </row>
    <row r="3" spans="1:12" ht="12">
      <c r="A3" s="3476" t="s">
        <v>10</v>
      </c>
      <c r="B3" s="3477"/>
      <c r="C3" s="3477"/>
      <c r="D3" s="3477"/>
      <c r="E3" s="3477"/>
      <c r="F3" s="3477"/>
      <c r="G3" s="3477"/>
      <c r="H3" s="3477"/>
      <c r="I3" s="3477"/>
    </row>
    <row r="4" spans="1:12" ht="13.5">
      <c r="A4" s="429" t="s">
        <v>11</v>
      </c>
      <c r="B4" s="430" t="s">
        <v>12</v>
      </c>
      <c r="C4" s="431" t="s">
        <v>3081</v>
      </c>
      <c r="D4" s="431" t="s">
        <v>3096</v>
      </c>
      <c r="E4" s="3478" t="s">
        <v>763</v>
      </c>
      <c r="F4" s="3479"/>
      <c r="G4" s="3479"/>
      <c r="H4" s="3479"/>
      <c r="I4" s="3480"/>
      <c r="K4" s="2184" t="str">
        <f>IF(ISNUMBER(FIND("比较法",结果表仓储!C4)),"比较法",IF(ISNUMBER(FIND("成本法",结果表仓储!C4)),"成本法",IF(ISNUMBER(FIND("假设开发法",结果表仓储!C4)),"假设开发法",IF(ISNUMBER(FIND("收益法",结果表仓储!C4)),"收益法","基准地价系数修正法"))))</f>
        <v>成本法</v>
      </c>
      <c r="L4" s="2184"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468" t="s">
        <v>13</v>
      </c>
      <c r="B5" s="3469">
        <v>25</v>
      </c>
      <c r="C5" s="3470"/>
      <c r="D5" s="3472"/>
      <c r="E5" s="471" t="s">
        <v>807</v>
      </c>
      <c r="F5" s="432"/>
      <c r="G5" s="432"/>
      <c r="H5" s="432"/>
      <c r="I5" s="433"/>
    </row>
    <row r="6" spans="1:12" ht="12.75">
      <c r="A6" s="3468"/>
      <c r="B6" s="3469"/>
      <c r="C6" s="3481"/>
      <c r="D6" s="3472"/>
      <c r="E6" s="471" t="s">
        <v>808</v>
      </c>
      <c r="F6" s="432"/>
      <c r="G6" s="432"/>
      <c r="H6" s="432"/>
      <c r="I6" s="433"/>
    </row>
    <row r="7" spans="1:12" ht="12.75">
      <c r="A7" s="3468"/>
      <c r="B7" s="3469"/>
      <c r="C7" s="3471"/>
      <c r="D7" s="3472"/>
      <c r="E7" s="471" t="s">
        <v>809</v>
      </c>
      <c r="F7" s="432"/>
      <c r="G7" s="432"/>
      <c r="H7" s="432"/>
      <c r="I7" s="433"/>
    </row>
    <row r="8" spans="1:12" ht="12.75">
      <c r="A8" s="3468" t="s">
        <v>14</v>
      </c>
      <c r="B8" s="3469">
        <v>15</v>
      </c>
      <c r="C8" s="3470"/>
      <c r="D8" s="3472"/>
      <c r="E8" s="471" t="s">
        <v>810</v>
      </c>
      <c r="F8" s="432"/>
      <c r="G8" s="432"/>
      <c r="H8" s="432"/>
      <c r="I8" s="433"/>
    </row>
    <row r="9" spans="1:12" ht="12.75">
      <c r="A9" s="3468"/>
      <c r="B9" s="3469"/>
      <c r="C9" s="3471"/>
      <c r="D9" s="3472"/>
      <c r="E9" s="471" t="s">
        <v>811</v>
      </c>
      <c r="F9" s="432"/>
      <c r="G9" s="432"/>
      <c r="H9" s="432"/>
      <c r="I9" s="433"/>
    </row>
    <row r="10" spans="1:12" ht="12.75">
      <c r="A10" s="3468" t="s">
        <v>15</v>
      </c>
      <c r="B10" s="3469">
        <v>15</v>
      </c>
      <c r="C10" s="3470"/>
      <c r="D10" s="3472"/>
      <c r="E10" s="471" t="s">
        <v>812</v>
      </c>
      <c r="F10" s="432"/>
      <c r="G10" s="432"/>
      <c r="H10" s="432"/>
      <c r="I10" s="433"/>
    </row>
    <row r="11" spans="1:12" ht="12.75">
      <c r="A11" s="3468"/>
      <c r="B11" s="3469"/>
      <c r="C11" s="3471"/>
      <c r="D11" s="3472"/>
      <c r="E11" s="471" t="s">
        <v>813</v>
      </c>
      <c r="F11" s="432"/>
      <c r="G11" s="432"/>
      <c r="H11" s="432"/>
      <c r="I11" s="433"/>
    </row>
    <row r="12" spans="1:12" ht="12.75">
      <c r="A12" s="3468" t="s">
        <v>16</v>
      </c>
      <c r="B12" s="3469">
        <v>15</v>
      </c>
      <c r="C12" s="3470"/>
      <c r="D12" s="3472"/>
      <c r="E12" s="471" t="s">
        <v>814</v>
      </c>
      <c r="F12" s="432"/>
      <c r="G12" s="432"/>
      <c r="H12" s="432"/>
      <c r="I12" s="433"/>
    </row>
    <row r="13" spans="1:12" ht="12.75">
      <c r="A13" s="3468"/>
      <c r="B13" s="3469"/>
      <c r="C13" s="3471"/>
      <c r="D13" s="3472"/>
      <c r="E13" s="471" t="s">
        <v>815</v>
      </c>
      <c r="F13" s="432"/>
      <c r="G13" s="432"/>
      <c r="H13" s="432"/>
      <c r="I13" s="433"/>
    </row>
    <row r="14" spans="1:12" ht="12.75">
      <c r="A14" s="3468" t="s">
        <v>17</v>
      </c>
      <c r="B14" s="3469">
        <v>30</v>
      </c>
      <c r="C14" s="3470">
        <v>0.5</v>
      </c>
      <c r="D14" s="3472">
        <f>1-C14</f>
        <v>0.5</v>
      </c>
      <c r="E14" s="471" t="s">
        <v>816</v>
      </c>
      <c r="F14" s="432"/>
      <c r="G14" s="432"/>
      <c r="H14" s="432"/>
      <c r="I14" s="433"/>
    </row>
    <row r="15" spans="1:12" ht="12.75">
      <c r="A15" s="3468"/>
      <c r="B15" s="3469"/>
      <c r="C15" s="3481"/>
      <c r="D15" s="3472"/>
      <c r="E15" s="471" t="s">
        <v>817</v>
      </c>
      <c r="F15" s="432"/>
      <c r="G15" s="432"/>
      <c r="H15" s="432"/>
      <c r="I15" s="433"/>
    </row>
    <row r="16" spans="1:12" ht="12.75">
      <c r="A16" s="3468"/>
      <c r="B16" s="3469"/>
      <c r="C16" s="3471"/>
      <c r="D16" s="3472"/>
      <c r="E16" s="471" t="s">
        <v>818</v>
      </c>
      <c r="F16" s="432"/>
      <c r="G16" s="432"/>
      <c r="H16" s="432"/>
      <c r="I16" s="433"/>
    </row>
    <row r="17" spans="1:35" ht="14.25">
      <c r="A17" s="434" t="s">
        <v>18</v>
      </c>
      <c r="B17" s="38"/>
      <c r="C17" s="472">
        <f>SUM(C5:C16)</f>
        <v>0.5</v>
      </c>
      <c r="D17" s="472">
        <f>SUM(D5:D16)</f>
        <v>0.5</v>
      </c>
      <c r="E17" s="2277"/>
      <c r="F17" s="2277"/>
      <c r="G17" s="2277"/>
      <c r="H17" s="2277"/>
      <c r="I17" s="2277"/>
      <c r="K17" s="2184"/>
      <c r="L17" s="2185" t="s">
        <v>2321</v>
      </c>
      <c r="M17" s="2185" t="s">
        <v>2322</v>
      </c>
    </row>
    <row r="18" spans="1:35" ht="15" thickBot="1">
      <c r="A18" s="435" t="s">
        <v>19</v>
      </c>
      <c r="B18" s="18"/>
      <c r="C18" s="473">
        <f>ROUND(C17/SUM(C17:D17),2)</f>
        <v>0.5</v>
      </c>
      <c r="D18" s="473">
        <f>1-C18</f>
        <v>0.5</v>
      </c>
      <c r="E18" s="2277"/>
      <c r="F18" s="2277"/>
      <c r="G18" s="2277"/>
      <c r="H18" s="2277"/>
      <c r="I18" s="2277"/>
      <c r="K18" s="2184" t="s">
        <v>2135</v>
      </c>
      <c r="L18" s="2184">
        <f>IF(C1="",'数据-汇总表'!E3,SUMIF(项目类型,C1,'数据-汇总表'!E17:E26)+SUMIF(项目类型,C1,'数据-汇总表'!I17:I26))</f>
        <v>2530.29</v>
      </c>
      <c r="M18" s="2184">
        <f>IF(C1="",'数据-汇总表'!E3,SUMIF(项目类型,C1,'数据-汇总表'!E17:E26))</f>
        <v>2530.29</v>
      </c>
    </row>
    <row r="19" spans="1:35" ht="14.25">
      <c r="A19" s="436" t="s">
        <v>180</v>
      </c>
      <c r="B19" s="437" t="s">
        <v>20</v>
      </c>
      <c r="C19" s="474">
        <f ca="1">SUMIF(INDIRECT("'"&amp;C4&amp;"'"&amp;"!A:A"),结果表仓储!B19,INDIRECT("'"&amp;C4&amp;"'"&amp;"!B:B"))</f>
        <v>4398</v>
      </c>
      <c r="D19" s="475">
        <f ca="1">SUMIF(INDIRECT("'"&amp;D4&amp;"'"&amp;"!A:A"),结果表仓储!B19,INDIRECT("'"&amp;D4&amp;"'"&amp;"!B:B"))</f>
        <v>5558</v>
      </c>
      <c r="E19" s="436" t="s">
        <v>179</v>
      </c>
      <c r="F19" s="437" t="s">
        <v>20</v>
      </c>
      <c r="G19" s="476">
        <f ca="1">ROUND(C19*$C$18+D19*$D$18,0)</f>
        <v>4978</v>
      </c>
      <c r="H19" s="438" t="s">
        <v>228</v>
      </c>
      <c r="I19" s="2277"/>
      <c r="K19" s="2184" t="s">
        <v>2136</v>
      </c>
      <c r="L19" s="2184">
        <f>IF(C1="",'数据-汇总表'!D3,SUMIF(项目类型,C1,'数据-汇总表'!D17:D26)+SUMIF(项目类型,C1,'数据-汇总表'!H17:H27))</f>
        <v>0</v>
      </c>
      <c r="M19" s="2184">
        <f>IF(C1="",'数据-汇总表'!D3,SUMIF(项目类型,C1,'数据-汇总表'!D17:D26))</f>
        <v>0</v>
      </c>
    </row>
    <row r="20" spans="1:35" ht="14.25">
      <c r="A20" s="439"/>
      <c r="B20" s="440" t="s">
        <v>21</v>
      </c>
      <c r="C20" s="477">
        <f ca="1">SUMIF(INDIRECT("'"&amp;C4&amp;"'"&amp;"!A:A"),结果表仓储!B20,INDIRECT("'"&amp;C4&amp;"'"&amp;"!B:B"))</f>
        <v>17381</v>
      </c>
      <c r="D20" s="478">
        <f ca="1">SUMIF(INDIRECT("'"&amp;D4&amp;"'"&amp;"!A:A"),结果表仓储!B20,INDIRECT("'"&amp;D4&amp;"'"&amp;"!B:B"))</f>
        <v>21966</v>
      </c>
      <c r="E20" s="439"/>
      <c r="F20" s="440" t="s">
        <v>21</v>
      </c>
      <c r="G20" s="479">
        <f ca="1">ROUND(C20*$C$18+D20*$D$18,0)</f>
        <v>19674</v>
      </c>
      <c r="H20" s="441" t="s">
        <v>227</v>
      </c>
      <c r="I20" s="2277"/>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227</v>
      </c>
      <c r="I21" s="2277"/>
    </row>
    <row r="22" spans="1:35" ht="15" thickBot="1">
      <c r="A22" s="275" t="s">
        <v>181</v>
      </c>
      <c r="B22" s="1423"/>
      <c r="C22" s="1424"/>
      <c r="D22" s="1425">
        <f ca="1">IF(C19&lt;D19,D19/C19-1,C19/D19-1)</f>
        <v>0.26375625284220106</v>
      </c>
      <c r="E22" s="2277"/>
      <c r="F22" s="2277"/>
      <c r="G22" s="2277"/>
      <c r="H22" s="2277"/>
      <c r="I22" s="2277"/>
    </row>
    <row r="23" spans="1:35" ht="12.75" thickBot="1">
      <c r="A23" s="1242"/>
      <c r="B23" s="1242"/>
      <c r="C23" s="1242"/>
      <c r="D23" s="1242"/>
      <c r="E23" s="2277"/>
      <c r="F23" s="2277"/>
      <c r="G23" s="2277"/>
      <c r="H23" s="2277"/>
      <c r="I23" s="2277"/>
    </row>
    <row r="24" spans="1:35" ht="14.25">
      <c r="A24" s="3482" t="s">
        <v>177</v>
      </c>
      <c r="B24" s="437" t="s">
        <v>20</v>
      </c>
      <c r="C24" s="476">
        <f>IF(B30=0,0,D30)</f>
        <v>0</v>
      </c>
      <c r="D24" s="446"/>
      <c r="E24" s="2277"/>
      <c r="F24" s="2277"/>
      <c r="G24" s="2277"/>
      <c r="H24" s="2277"/>
      <c r="I24" s="2277"/>
    </row>
    <row r="25" spans="1:35" ht="14.25">
      <c r="A25" s="3483"/>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4"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4978</v>
      </c>
      <c r="D32" s="2092" t="s">
        <v>210</v>
      </c>
      <c r="E32" s="2277"/>
      <c r="F32" s="2277"/>
      <c r="G32" s="2277"/>
      <c r="H32" s="2277"/>
      <c r="I32" s="2277"/>
    </row>
    <row r="33" spans="1:15" ht="13.5">
      <c r="A33" s="457" t="s">
        <v>764</v>
      </c>
      <c r="B33" s="2091"/>
      <c r="C33" s="2877" t="s">
        <v>3125</v>
      </c>
      <c r="D33" s="2880" t="s">
        <v>3096</v>
      </c>
      <c r="E33" s="2089" t="s">
        <v>2115</v>
      </c>
      <c r="F33" s="2090" t="str">
        <f>IF(D32="楼面单价","取值（单价）","取值（总价）")</f>
        <v>取值（总价）</v>
      </c>
      <c r="G33" s="2277"/>
      <c r="H33" s="2277"/>
      <c r="I33" s="2277"/>
    </row>
    <row r="34" spans="1:15" ht="15">
      <c r="A34" s="458"/>
      <c r="B34" s="459" t="s">
        <v>767</v>
      </c>
      <c r="C34" s="489">
        <f ca="1">IF(C33="自定义",F34,C32-C35)</f>
        <v>3425</v>
      </c>
      <c r="D34" s="2093">
        <f ca="1">IF(C33="自定义",ROUND(C34/C32,3),IF(C33="收益比率",SUMIF(INDIRECT("'"&amp;D33&amp;"'"&amp;"!b:b"),"土地收益比率",INDIRECT("'"&amp;D33&amp;"'"&amp;"!c:c")),SUMIF(INDIRECT("'"&amp;D33&amp;"'"&amp;"!b:b"),"土地成本比率",INDIRECT("'"&amp;D33&amp;"'"&amp;"!c:c"))))</f>
        <v>0.68799999999999994</v>
      </c>
      <c r="E34" s="2878" t="s">
        <v>2116</v>
      </c>
      <c r="F34" s="3254">
        <f ca="1">G19+典型户型修正!S22</f>
        <v>5780</v>
      </c>
      <c r="G34" s="2277"/>
      <c r="H34" s="2277"/>
      <c r="I34" s="2277"/>
    </row>
    <row r="35" spans="1:15" ht="15.75" thickBot="1">
      <c r="A35" s="461"/>
      <c r="B35" s="2881" t="s">
        <v>769</v>
      </c>
      <c r="C35" s="2882">
        <f ca="1">IF(C33="自定义",F35,ROUND(C32*D35,0))</f>
        <v>1553</v>
      </c>
      <c r="D35" s="2883">
        <f ca="1">IF(C33="自定义",ROUND(C35/C32,3),IF(C33="收益比率",SUMIF(INDIRECT("'"&amp;D33&amp;"'"&amp;"!b:b"),"建筑物收益比率",INDIRECT("'"&amp;D33&amp;"'"&amp;"!c:c")),SUMIF(INDIRECT("'"&amp;D33&amp;"'"&amp;"!b:b"),"建筑物成本比率",INDIRECT("'"&amp;D33&amp;"'"&amp;"!c:c"))))</f>
        <v>0.312</v>
      </c>
      <c r="E35" s="2879" t="s">
        <v>2117</v>
      </c>
      <c r="F35" s="495"/>
      <c r="G35" s="2277"/>
      <c r="H35" s="2277"/>
      <c r="I35" s="2277"/>
    </row>
    <row r="36" spans="1:15" ht="15.75" thickBot="1">
      <c r="A36" s="3484" t="s">
        <v>765</v>
      </c>
      <c r="B36" s="455" t="s">
        <v>766</v>
      </c>
      <c r="C36" s="486"/>
      <c r="D36" s="456"/>
      <c r="E36" s="1245"/>
      <c r="F36" s="2278"/>
      <c r="G36" s="2277"/>
      <c r="H36" s="2277"/>
      <c r="I36" s="2277"/>
    </row>
    <row r="37" spans="1:15" ht="15.75" thickBot="1">
      <c r="A37" s="3485"/>
      <c r="B37" s="13" t="s">
        <v>768</v>
      </c>
      <c r="C37" s="488"/>
      <c r="D37" s="2226"/>
      <c r="E37" s="2226"/>
      <c r="F37" s="2278"/>
      <c r="G37" s="2277"/>
      <c r="H37" s="2277"/>
      <c r="I37" s="2277"/>
    </row>
    <row r="38" spans="1:15" ht="15.75" thickBot="1">
      <c r="A38" s="3486"/>
      <c r="B38" s="460" t="s">
        <v>770</v>
      </c>
      <c r="C38" s="1136"/>
      <c r="D38" s="1246" t="s">
        <v>771</v>
      </c>
      <c r="E38" s="2226"/>
      <c r="F38" s="2278"/>
      <c r="G38" s="2277"/>
      <c r="H38" s="2277"/>
      <c r="I38" s="2277"/>
    </row>
    <row r="39" spans="1:15" ht="13.5">
      <c r="A39" s="439" t="s">
        <v>772</v>
      </c>
      <c r="B39" s="462" t="s">
        <v>773</v>
      </c>
      <c r="C39" s="463" t="s">
        <v>774</v>
      </c>
      <c r="D39" s="463" t="s">
        <v>775</v>
      </c>
      <c r="E39" s="464" t="s">
        <v>776</v>
      </c>
      <c r="F39" s="2278"/>
      <c r="G39" s="2277"/>
      <c r="H39" s="2277"/>
      <c r="I39" s="2277"/>
    </row>
    <row r="40" spans="1:15" ht="13.5">
      <c r="A40" s="1247" t="s">
        <v>777</v>
      </c>
      <c r="B40" s="490"/>
      <c r="C40" s="491"/>
      <c r="D40" s="491"/>
      <c r="E40" s="492"/>
      <c r="F40" s="2278"/>
      <c r="G40" s="2277"/>
      <c r="H40" s="2277"/>
      <c r="I40" s="2277"/>
    </row>
    <row r="41" spans="1:15" ht="13.5">
      <c r="A41" s="1247" t="s">
        <v>778</v>
      </c>
      <c r="B41" s="490"/>
      <c r="C41" s="491"/>
      <c r="D41" s="491"/>
      <c r="E41" s="492"/>
      <c r="F41" s="2278"/>
      <c r="G41" s="2277"/>
      <c r="H41" s="2277"/>
      <c r="I41" s="2277"/>
    </row>
    <row r="42" spans="1:15" ht="14.25" thickBot="1">
      <c r="A42" s="1248"/>
      <c r="B42" s="493"/>
      <c r="C42" s="494"/>
      <c r="D42" s="494"/>
      <c r="E42" s="495"/>
      <c r="F42" s="2278"/>
      <c r="G42" s="2277"/>
      <c r="H42" s="2277"/>
      <c r="I42" s="2277"/>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71" t="s">
        <v>214</v>
      </c>
      <c r="K44" s="3272"/>
      <c r="L44" s="3272"/>
      <c r="M44" s="3272"/>
      <c r="N44" s="3272"/>
      <c r="O44" s="3272"/>
    </row>
    <row r="45" spans="1:15" ht="14.25" customHeight="1" thickBot="1">
      <c r="A45" s="3487" t="s">
        <v>799</v>
      </c>
      <c r="B45" s="3488"/>
      <c r="C45" s="3489"/>
      <c r="D45" s="496">
        <f ca="1">ROUND(H101*F45,0)</f>
        <v>4978</v>
      </c>
      <c r="E45" s="497" t="s">
        <v>800</v>
      </c>
      <c r="F45" s="498">
        <v>1</v>
      </c>
      <c r="G45" s="499" t="s">
        <v>801</v>
      </c>
      <c r="H45" s="2277"/>
      <c r="I45" s="2277"/>
      <c r="J45" s="3490" t="s">
        <v>215</v>
      </c>
      <c r="K45" s="3490"/>
      <c r="L45" s="3490"/>
      <c r="M45" s="3490"/>
      <c r="N45" s="3490"/>
      <c r="O45" s="3490"/>
    </row>
    <row r="46" spans="1:15" ht="14.25" customHeight="1">
      <c r="A46" s="3491" t="s">
        <v>287</v>
      </c>
      <c r="B46" s="3492"/>
      <c r="C46" s="3492"/>
      <c r="D46" s="3492"/>
      <c r="E46" s="3492"/>
      <c r="F46" s="3492"/>
      <c r="G46" s="3493"/>
      <c r="H46" s="2279"/>
      <c r="I46" s="2232"/>
      <c r="J46" s="1500">
        <v>1</v>
      </c>
      <c r="K46" s="3490" t="s">
        <v>216</v>
      </c>
      <c r="L46" s="3490"/>
      <c r="M46" s="3494"/>
      <c r="N46" s="3494"/>
      <c r="O46" s="3494"/>
    </row>
    <row r="47" spans="1:15" ht="12" customHeight="1">
      <c r="A47" s="501" t="s">
        <v>288</v>
      </c>
      <c r="B47" s="502"/>
      <c r="C47" s="503"/>
      <c r="D47" s="504" t="s">
        <v>289</v>
      </c>
      <c r="E47" s="313" t="s">
        <v>290</v>
      </c>
      <c r="F47" s="505" t="s">
        <v>802</v>
      </c>
      <c r="G47" s="506" t="s">
        <v>803</v>
      </c>
      <c r="H47" s="2279"/>
      <c r="I47" s="2232"/>
      <c r="J47" s="1500">
        <v>2</v>
      </c>
      <c r="K47" s="3490" t="s">
        <v>217</v>
      </c>
      <c r="L47" s="3490"/>
      <c r="M47" s="3495">
        <f>'数据-取费表'!B2</f>
        <v>43040</v>
      </c>
      <c r="N47" s="3495"/>
      <c r="O47" s="3495"/>
    </row>
    <row r="48" spans="1:15" ht="25.5">
      <c r="A48" s="3496" t="s">
        <v>291</v>
      </c>
      <c r="B48" s="3497"/>
      <c r="C48" s="3497"/>
      <c r="D48" s="471">
        <f>IF(H48="情况1",0,IF(H48="情况2",D52,IF(H48="情况3",D53,IF(H48="情况4",D54))))</f>
        <v>0</v>
      </c>
      <c r="E48" s="1923" t="str">
        <f>IF(H48="情况4","(销售额-原购置价)×税（费）率","销售额×税（费）率")</f>
        <v>销售额×税（费）率</v>
      </c>
      <c r="F48" s="507" t="str">
        <f>IF(H48="情况1","免征",'数据-取费表'!B41)</f>
        <v>免征</v>
      </c>
      <c r="G48" s="465" t="s">
        <v>780</v>
      </c>
      <c r="H48" s="1431" t="s">
        <v>2418</v>
      </c>
      <c r="I48" s="2279"/>
      <c r="J48" s="1500">
        <v>3</v>
      </c>
      <c r="K48" s="3490" t="s">
        <v>781</v>
      </c>
      <c r="L48" s="3490"/>
      <c r="M48" s="3498">
        <f ca="1">H101</f>
        <v>4978</v>
      </c>
      <c r="N48" s="3498"/>
      <c r="O48" s="3498"/>
    </row>
    <row r="49" spans="1:35" ht="25.5" customHeight="1">
      <c r="A49" s="508" t="s">
        <v>804</v>
      </c>
      <c r="B49" s="3499" t="s">
        <v>805</v>
      </c>
      <c r="C49" s="3499"/>
      <c r="D49" s="509">
        <v>0</v>
      </c>
      <c r="E49" s="312" t="s">
        <v>806</v>
      </c>
      <c r="F49" s="317" t="s">
        <v>171</v>
      </c>
      <c r="G49" s="3500"/>
      <c r="H49" s="2277"/>
      <c r="I49" s="2280"/>
      <c r="J49" s="1500">
        <v>4</v>
      </c>
      <c r="K49" s="3490" t="str">
        <f>IF(项目基本情况!E8="房地产抵押价值","房地产抵押价值","抵押担保权已注销时的房地产抵押价值")</f>
        <v>房地产抵押价值</v>
      </c>
      <c r="L49" s="3490"/>
      <c r="M49" s="3498">
        <f ca="1">IF(项目基本情况!E8="房地产抵押价值",H107,H109)</f>
        <v>4978</v>
      </c>
      <c r="N49" s="3498"/>
      <c r="O49" s="3498"/>
    </row>
    <row r="50" spans="1:35" ht="25.5" customHeight="1">
      <c r="A50" s="510"/>
      <c r="B50" s="3499" t="s">
        <v>294</v>
      </c>
      <c r="C50" s="3499"/>
      <c r="D50" s="511"/>
      <c r="E50" s="320"/>
      <c r="F50" s="512"/>
      <c r="G50" s="3501"/>
      <c r="H50" s="2277"/>
      <c r="I50" s="2280"/>
      <c r="J50" s="3490" t="s">
        <v>218</v>
      </c>
      <c r="K50" s="3490"/>
      <c r="L50" s="3490"/>
      <c r="M50" s="3490"/>
      <c r="N50" s="3490"/>
      <c r="O50" s="3490"/>
    </row>
    <row r="51" spans="1:35" ht="12" customHeight="1">
      <c r="A51" s="513"/>
      <c r="B51" s="3499" t="s">
        <v>295</v>
      </c>
      <c r="C51" s="3499"/>
      <c r="D51" s="514"/>
      <c r="E51" s="319"/>
      <c r="F51" s="512"/>
      <c r="G51" s="3502"/>
      <c r="H51" s="2277"/>
      <c r="I51" s="2280"/>
      <c r="J51" s="3273" t="s">
        <v>219</v>
      </c>
      <c r="K51" s="3490" t="s">
        <v>220</v>
      </c>
      <c r="L51" s="3490"/>
      <c r="M51" s="3273" t="s">
        <v>3002</v>
      </c>
      <c r="N51" s="3273" t="s">
        <v>221</v>
      </c>
      <c r="O51" s="3273" t="s">
        <v>222</v>
      </c>
    </row>
    <row r="52" spans="1:35" ht="24" customHeight="1">
      <c r="A52" s="515" t="s">
        <v>296</v>
      </c>
      <c r="B52" s="3499" t="s">
        <v>297</v>
      </c>
      <c r="C52" s="3499"/>
      <c r="D52" s="514">
        <f ca="1">ROUND(D45*'数据-取费表'!B41/(1+'数据-取费表'!C42),0)</f>
        <v>265</v>
      </c>
      <c r="E52" s="299" t="s">
        <v>298</v>
      </c>
      <c r="F52" s="516">
        <f>'数据-取费表'!B41</f>
        <v>5.6000000000000001E-2</v>
      </c>
      <c r="G52" s="466"/>
      <c r="H52" s="2277"/>
      <c r="I52" s="2280"/>
      <c r="J52" s="1500">
        <v>1</v>
      </c>
      <c r="K52" s="3505" t="s">
        <v>782</v>
      </c>
      <c r="L52" s="3505"/>
      <c r="M52" s="3274">
        <f>D48</f>
        <v>0</v>
      </c>
      <c r="N52" s="1499" t="str">
        <f>E48</f>
        <v>销售额×税（费）率</v>
      </c>
      <c r="O52" s="3275" t="str">
        <f>F48</f>
        <v>免征</v>
      </c>
    </row>
    <row r="53" spans="1:35" ht="12" customHeight="1">
      <c r="A53" s="515" t="s">
        <v>299</v>
      </c>
      <c r="B53" s="3503" t="s">
        <v>300</v>
      </c>
      <c r="C53" s="3504"/>
      <c r="D53" s="514">
        <f ca="1">ROUND(D45*'数据-取费表'!B41/(1+'数据-取费表'!C42),0)</f>
        <v>265</v>
      </c>
      <c r="E53" s="299" t="s">
        <v>298</v>
      </c>
      <c r="F53" s="516">
        <f>'数据-取费表'!B41</f>
        <v>5.6000000000000001E-2</v>
      </c>
      <c r="G53" s="466"/>
      <c r="H53" s="2277"/>
      <c r="I53" s="2280"/>
      <c r="J53" s="1500">
        <v>2</v>
      </c>
      <c r="K53" s="3505" t="s">
        <v>783</v>
      </c>
      <c r="L53" s="3505"/>
      <c r="M53" s="3274">
        <f t="shared" ref="M53:O54" ca="1" si="0">D55</f>
        <v>2</v>
      </c>
      <c r="N53" s="1499" t="str">
        <f t="shared" si="0"/>
        <v>销售额×税（费）率</v>
      </c>
      <c r="O53" s="3275">
        <f t="shared" si="0"/>
        <v>5.0000000000000001E-4</v>
      </c>
    </row>
    <row r="54" spans="1:35" ht="12" customHeight="1">
      <c r="A54" s="515" t="s">
        <v>301</v>
      </c>
      <c r="B54" s="3503" t="s">
        <v>302</v>
      </c>
      <c r="C54" s="3504"/>
      <c r="D54" s="514">
        <f ca="1">C68</f>
        <v>265</v>
      </c>
      <c r="E54" s="319" t="s">
        <v>303</v>
      </c>
      <c r="F54" s="516">
        <f>'数据-取费表'!B41</f>
        <v>5.6000000000000001E-2</v>
      </c>
      <c r="G54" s="466"/>
      <c r="H54" s="2281"/>
      <c r="I54" s="2280"/>
      <c r="J54" s="1500">
        <v>3</v>
      </c>
      <c r="K54" s="3505" t="s">
        <v>784</v>
      </c>
      <c r="L54" s="3505"/>
      <c r="M54" s="3274">
        <f t="shared" ca="1" si="0"/>
        <v>2818</v>
      </c>
      <c r="N54" s="1499" t="str">
        <f t="shared" si="0"/>
        <v>增值额×税（费）率</v>
      </c>
      <c r="O54" s="3276" t="str">
        <f t="shared" si="0"/>
        <v>——</v>
      </c>
    </row>
    <row r="55" spans="1:35" ht="24" customHeight="1">
      <c r="A55" s="3506" t="s">
        <v>304</v>
      </c>
      <c r="B55" s="3497"/>
      <c r="C55" s="3497"/>
      <c r="D55" s="517">
        <f ca="1">IF(H55="个人住宅",0,ROUND(D45*I55,0))</f>
        <v>2</v>
      </c>
      <c r="E55" s="299" t="s">
        <v>305</v>
      </c>
      <c r="F55" s="516">
        <f>IF(H55="正常",I55,"免征")</f>
        <v>5.0000000000000001E-4</v>
      </c>
      <c r="G55" s="466"/>
      <c r="H55" s="1431" t="s">
        <v>155</v>
      </c>
      <c r="I55" s="518">
        <f>'数据-取费表'!B49</f>
        <v>5.0000000000000001E-4</v>
      </c>
      <c r="J55" s="1500" t="str">
        <f>IF(H59="非个人房产","",4)</f>
        <v/>
      </c>
      <c r="K55" s="3505" t="str">
        <f>IF(H59="非个人房产","——","个人所得税")</f>
        <v>——</v>
      </c>
      <c r="L55" s="3505"/>
      <c r="M55" s="3277" t="str">
        <f>D59</f>
        <v>——</v>
      </c>
      <c r="N55" s="3278" t="str">
        <f>E59</f>
        <v>——</v>
      </c>
      <c r="O55" s="3279" t="str">
        <f>F59</f>
        <v>——</v>
      </c>
    </row>
    <row r="56" spans="1:35" ht="24.75">
      <c r="A56" s="3506" t="s">
        <v>306</v>
      </c>
      <c r="B56" s="3497"/>
      <c r="C56" s="3497"/>
      <c r="D56" s="517">
        <f ca="1">IF(H56="个人住宅",D57,D58)</f>
        <v>2818</v>
      </c>
      <c r="E56" s="299" t="s">
        <v>307</v>
      </c>
      <c r="F56" s="516" t="str">
        <f>IF(H56="正常",F58,"免征")</f>
        <v>——</v>
      </c>
      <c r="G56" s="1255" t="s">
        <v>785</v>
      </c>
      <c r="H56" s="1430" t="s">
        <v>155</v>
      </c>
      <c r="I56" s="2282"/>
      <c r="J56" s="1500" t="str">
        <f>IF(项目基本情况!K6="上海银行",IF(J55="",4,J55+1),"")</f>
        <v/>
      </c>
      <c r="K56" s="3507" t="str">
        <f>IF(项目基本情况!K6="上海银行","其他处置费用","")</f>
        <v/>
      </c>
      <c r="L56" s="3508"/>
      <c r="M56" s="3274" t="str">
        <f>IF(项目基本情况!K6="上海银行",M69,"")</f>
        <v/>
      </c>
      <c r="N56" s="3515" t="str">
        <f>IF(项目基本情况!K6="上海银行","包含处置中涉及的律师、诉讼、拍卖、评估等费用","")</f>
        <v/>
      </c>
      <c r="O56" s="3516"/>
    </row>
    <row r="57" spans="1:35" ht="12.75">
      <c r="A57" s="515" t="s">
        <v>292</v>
      </c>
      <c r="B57" s="3517" t="s">
        <v>308</v>
      </c>
      <c r="C57" s="3518"/>
      <c r="D57" s="519">
        <v>0</v>
      </c>
      <c r="E57" s="312" t="s">
        <v>293</v>
      </c>
      <c r="F57" s="487"/>
      <c r="G57" s="466"/>
      <c r="H57" s="2282"/>
      <c r="I57" s="2282"/>
      <c r="J57" s="3519">
        <f>IF(AND(J55="",J56=""),4,IF(项目基本情况!K6="上海银行",结果表仓储!J56+1,结果表仓储!J55+1))</f>
        <v>4</v>
      </c>
      <c r="K57" s="3505" t="s">
        <v>786</v>
      </c>
      <c r="L57" s="3280" t="s">
        <v>223</v>
      </c>
      <c r="M57" s="3281"/>
      <c r="N57" s="3282">
        <f ca="1">SUMIF(M52:M56,"&lt;9e307")</f>
        <v>2820</v>
      </c>
      <c r="O57" s="3283"/>
      <c r="P57" s="3270">
        <f ca="1">N57/M49</f>
        <v>0.56649256729610287</v>
      </c>
    </row>
    <row r="58" spans="1:35" ht="24.75">
      <c r="A58" s="515" t="s">
        <v>296</v>
      </c>
      <c r="B58" s="3517" t="s">
        <v>309</v>
      </c>
      <c r="C58" s="3520"/>
      <c r="D58" s="517">
        <f ca="1">IF(H58="转让取得",C81,C97)</f>
        <v>2818</v>
      </c>
      <c r="E58" s="299" t="s">
        <v>307</v>
      </c>
      <c r="F58" s="313" t="s">
        <v>171</v>
      </c>
      <c r="G58" s="466"/>
      <c r="H58" s="1430" t="s">
        <v>1137</v>
      </c>
      <c r="I58" s="2282"/>
      <c r="J58" s="3519"/>
      <c r="K58" s="3505"/>
      <c r="L58" s="3280" t="s">
        <v>224</v>
      </c>
      <c r="M58" s="3284"/>
      <c r="N58" s="3285" t="str">
        <f ca="1">NUMBERSTRING(INT(N57*10000),2)&amp;"元整"</f>
        <v>贰仟捌佰贰拾万元整</v>
      </c>
      <c r="O58" s="3286"/>
    </row>
    <row r="59" spans="1:35" ht="24.75" thickBot="1">
      <c r="A59" s="3521" t="s">
        <v>310</v>
      </c>
      <c r="B59" s="3522"/>
      <c r="C59" s="3522"/>
      <c r="D59" s="520" t="str">
        <f>IF(H59="非个人房产","——",IF(H59="个人住宅",0,ROUND(D45*I59,0)))</f>
        <v>——</v>
      </c>
      <c r="E59" s="521" t="str">
        <f>IF(H59="非个人房产","——","销售额×税（费）率")</f>
        <v>——</v>
      </c>
      <c r="F59" s="522" t="str">
        <f>IF(H59="非个人房产","——",IF(H59="个人住宅","免征",I59))</f>
        <v>——</v>
      </c>
      <c r="G59" s="1256" t="s">
        <v>170</v>
      </c>
      <c r="H59" s="1430" t="s">
        <v>1136</v>
      </c>
      <c r="I59" s="523">
        <v>0.01</v>
      </c>
      <c r="J59" s="3523">
        <f>J57+1</f>
        <v>5</v>
      </c>
      <c r="K59" s="3505" t="s">
        <v>172</v>
      </c>
      <c r="L59" s="1499" t="s">
        <v>223</v>
      </c>
      <c r="M59" s="3287"/>
      <c r="N59" s="3288">
        <f ca="1">M49-N57</f>
        <v>2158</v>
      </c>
      <c r="O59" s="3289"/>
    </row>
    <row r="60" spans="1:35" ht="12" customHeight="1">
      <c r="A60" s="1257"/>
      <c r="B60" s="1242"/>
      <c r="C60" s="1242"/>
      <c r="D60" s="1242"/>
      <c r="E60" s="229"/>
      <c r="F60" s="2282"/>
      <c r="G60" s="2282"/>
      <c r="H60" s="2283"/>
      <c r="I60" s="2277"/>
      <c r="J60" s="3524"/>
      <c r="K60" s="3505"/>
      <c r="L60" s="3280" t="s">
        <v>224</v>
      </c>
      <c r="M60" s="3284"/>
      <c r="N60" s="3285" t="str">
        <f ca="1">NUMBERSTRING(INT(N59*10000),2)&amp;"元整"</f>
        <v>贰仟壹佰伍拾捌万元整</v>
      </c>
      <c r="O60" s="3286"/>
    </row>
    <row r="61" spans="1:35" ht="13.5" thickBot="1">
      <c r="A61" s="3509" t="s">
        <v>311</v>
      </c>
      <c r="B61" s="3509"/>
      <c r="C61" s="3509"/>
      <c r="D61" s="3509"/>
      <c r="E61" s="3509"/>
      <c r="F61" s="2282"/>
      <c r="G61" s="2282"/>
      <c r="H61" s="2283"/>
      <c r="I61" s="2277"/>
      <c r="J61" s="1500">
        <f>J59+1</f>
        <v>6</v>
      </c>
      <c r="K61" s="3505" t="s">
        <v>225</v>
      </c>
      <c r="L61" s="3505"/>
      <c r="M61" s="3290"/>
      <c r="N61" s="3291">
        <f ca="1">ROUND(N59*10000/'数据-汇总表'!E3,0)</f>
        <v>8365</v>
      </c>
      <c r="O61" s="3292"/>
    </row>
    <row r="62" spans="1:35" ht="12.75">
      <c r="A62" s="3510" t="s">
        <v>312</v>
      </c>
      <c r="B62" s="3511"/>
      <c r="C62" s="1917"/>
      <c r="D62" s="1917" t="s">
        <v>320</v>
      </c>
      <c r="E62" s="524" t="s">
        <v>321</v>
      </c>
      <c r="F62" s="2282"/>
      <c r="G62" s="2282"/>
      <c r="H62" s="2283"/>
      <c r="I62" s="2277"/>
    </row>
    <row r="63" spans="1:35" ht="12.75">
      <c r="A63" s="535" t="s">
        <v>1899</v>
      </c>
      <c r="B63" s="525" t="s">
        <v>313</v>
      </c>
      <c r="C63" s="526">
        <f ca="1">ROUND((C64+C65)/(1+'数据-取费表'!C42),0)</f>
        <v>4741</v>
      </c>
      <c r="D63" s="527"/>
      <c r="E63" s="528"/>
      <c r="F63" s="2282"/>
      <c r="G63" s="2282"/>
      <c r="H63" s="2283"/>
      <c r="I63" s="2277"/>
      <c r="J63" s="3512" t="s">
        <v>2995</v>
      </c>
      <c r="K63" s="3269" t="s">
        <v>2996</v>
      </c>
      <c r="L63" s="3267">
        <f ca="1">IF(M49&gt;10000,M49*0.5%,IF(AND(M49&gt;1000,M49&lt;=10000),M49*1%,IF(AND(M49&gt;100,M49&lt;=1000),M49*3%,IF(AND(M49&gt;10,M49&lt;=100),M49*5%,M49*8%))))</f>
        <v>49.78</v>
      </c>
      <c r="M63" s="313">
        <f ca="1">ROUND(L63,1)</f>
        <v>49.8</v>
      </c>
      <c r="Z63" s="1433"/>
      <c r="AI63" s="1243"/>
    </row>
    <row r="64" spans="1:35" ht="14.25" customHeight="1">
      <c r="A64" s="529" t="s">
        <v>1894</v>
      </c>
      <c r="B64" s="530" t="s">
        <v>314</v>
      </c>
      <c r="C64" s="531">
        <f ca="1">D45</f>
        <v>4978</v>
      </c>
      <c r="D64" s="532" t="s">
        <v>167</v>
      </c>
      <c r="E64" s="533"/>
      <c r="F64" s="2282"/>
      <c r="G64" s="2282"/>
      <c r="H64" s="2283"/>
      <c r="I64" s="2277"/>
      <c r="J64" s="3512"/>
      <c r="K64" s="3269" t="s">
        <v>2997</v>
      </c>
      <c r="L64" s="3267">
        <f ca="1">IF(M49&gt;2000,M49*0.5%,IF(AND(M49&gt;1000,M49&lt;=2000),M49*0.6%,IF(AND(M49&gt;500,M49&lt;=1000),M49*0.7%,IF(AND(M49&gt;200,M49&lt;=500),M49*0.8%,IF(AND(M49&gt;100,M49&lt;=200),M49*0.9%,IF(AND(M49&gt;50,M49&lt;=100),M49*1%,IF(AND(M49&gt;20,M49&lt;=50),M49*1.5%,IF(AND(M49&gt;10,M49&lt;=20),M49*2%,IF(AND(M49&gt;1,M49&lt;=10),M49*2.5%)))))))))</f>
        <v>24.89</v>
      </c>
      <c r="M64" s="313">
        <f t="shared" ref="M64:M65" ca="1" si="1">ROUND(L64,1)</f>
        <v>24.9</v>
      </c>
      <c r="N64" s="469" t="s">
        <v>3003</v>
      </c>
      <c r="Z64" s="1433"/>
      <c r="AI64" s="1243"/>
    </row>
    <row r="65" spans="1:35" ht="14.25" customHeight="1">
      <c r="A65" s="529" t="s">
        <v>1895</v>
      </c>
      <c r="B65" s="530" t="s">
        <v>315</v>
      </c>
      <c r="C65" s="534"/>
      <c r="D65" s="532"/>
      <c r="E65" s="533"/>
      <c r="F65" s="2282"/>
      <c r="G65" s="2282"/>
      <c r="H65" s="2283"/>
      <c r="I65" s="2277"/>
      <c r="J65" s="3512"/>
      <c r="K65" s="3269" t="s">
        <v>2998</v>
      </c>
      <c r="L65" s="3267">
        <f ca="1">IF(M49&gt;1000,M49*0.1%,IF(AND(M49&gt;500,M49&lt;=1000),M49*0.5%,IF(AND(M49&gt;50,M49&lt;=500),M49*1%,IF(AND(M49&gt;1,M49&lt;=50),M49*1.5%))))</f>
        <v>4.9779999999999998</v>
      </c>
      <c r="M65" s="313">
        <f t="shared" ca="1" si="1"/>
        <v>5</v>
      </c>
      <c r="N65" s="469" t="s">
        <v>3004</v>
      </c>
      <c r="Z65" s="1433"/>
      <c r="AI65" s="1243"/>
    </row>
    <row r="66" spans="1:35" ht="14.25" customHeight="1">
      <c r="A66" s="535" t="s">
        <v>1896</v>
      </c>
      <c r="B66" s="536" t="s">
        <v>316</v>
      </c>
      <c r="C66" s="537"/>
      <c r="D66" s="538" t="s">
        <v>167</v>
      </c>
      <c r="E66" s="3321" t="s">
        <v>3041</v>
      </c>
      <c r="F66" s="2282"/>
      <c r="G66" s="2282"/>
      <c r="H66" s="2283"/>
      <c r="I66" s="2277"/>
      <c r="J66" s="3512"/>
      <c r="K66" s="3269" t="s">
        <v>2999</v>
      </c>
      <c r="L66" s="3267">
        <f ca="1">M49*0.5%</f>
        <v>24.89</v>
      </c>
      <c r="M66" s="313">
        <f ca="1">IF(L66&gt;0.5,0.5,ROUND(L66,0))</f>
        <v>0.5</v>
      </c>
      <c r="N66" s="469" t="s">
        <v>3005</v>
      </c>
      <c r="Z66" s="1433"/>
      <c r="AI66" s="1243"/>
    </row>
    <row r="67" spans="1:35" ht="14.25" customHeight="1">
      <c r="A67" s="535" t="s">
        <v>1897</v>
      </c>
      <c r="B67" s="536" t="s">
        <v>317</v>
      </c>
      <c r="C67" s="539">
        <f ca="1">C63-C66</f>
        <v>4741</v>
      </c>
      <c r="D67" s="532" t="s">
        <v>167</v>
      </c>
      <c r="E67" s="533"/>
      <c r="F67" s="2282"/>
      <c r="G67" s="2282"/>
      <c r="H67" s="2283"/>
      <c r="I67" s="2277"/>
      <c r="J67" s="3512"/>
      <c r="K67" s="3269" t="s">
        <v>3000</v>
      </c>
      <c r="L67" s="3267">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3"/>
      <c r="AI67" s="1243"/>
    </row>
    <row r="68" spans="1:35" ht="14.25" customHeight="1" thickBot="1">
      <c r="A68" s="540" t="s">
        <v>1898</v>
      </c>
      <c r="B68" s="541" t="s">
        <v>318</v>
      </c>
      <c r="C68" s="542">
        <f ca="1">IF(C67&lt;=0,0,ROUND(C67*D68,0))</f>
        <v>265</v>
      </c>
      <c r="D68" s="543">
        <f>'数据-取费表'!B41</f>
        <v>5.6000000000000001E-2</v>
      </c>
      <c r="E68" s="544"/>
      <c r="F68" s="2282"/>
      <c r="G68" s="2282"/>
      <c r="H68" s="2283"/>
      <c r="I68" s="2277"/>
      <c r="J68" s="3512"/>
      <c r="K68" s="3269" t="s">
        <v>3001</v>
      </c>
      <c r="L68" s="3267">
        <f ca="1">IF(M49&gt;10000,M49*0.5%,IF(AND(M49&gt;5000,M49&lt;=10000),M49*1%,IF(AND(M49&gt;1000,M49&lt;=5000),M49*2%,IF(AND(M49&gt;200,M49&lt;=1000),M49*3%,M49*5%))))</f>
        <v>99.56</v>
      </c>
      <c r="M68" s="313">
        <f ca="1">ROUND(L68,1)</f>
        <v>99.6</v>
      </c>
      <c r="Z68" s="1433"/>
      <c r="AI68" s="1243"/>
    </row>
    <row r="69" spans="1:35" s="1244" customFormat="1" ht="16.5" customHeight="1">
      <c r="A69" s="1258"/>
      <c r="B69" s="1259"/>
      <c r="C69" s="1260"/>
      <c r="D69" s="1261"/>
      <c r="E69" s="1262"/>
      <c r="F69" s="229"/>
      <c r="G69" s="229"/>
      <c r="H69" s="241"/>
      <c r="I69" s="1242"/>
      <c r="J69" s="3512"/>
      <c r="K69" s="3269" t="s">
        <v>187</v>
      </c>
      <c r="L69" s="3268"/>
      <c r="M69" s="313">
        <f ca="1">ROUND(SUM(M63:M68),0)</f>
        <v>182</v>
      </c>
      <c r="N69" s="3270">
        <f ca="1">M69/M49</f>
        <v>3.6560867818400962E-2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3" t="s">
        <v>319</v>
      </c>
      <c r="B70" s="3514"/>
      <c r="C70" s="3514"/>
      <c r="D70" s="3514"/>
      <c r="E70" s="3514"/>
      <c r="F70" s="3514"/>
      <c r="G70" s="3514"/>
      <c r="H70" s="3514"/>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c r="A71" s="3510" t="s">
        <v>312</v>
      </c>
      <c r="B71" s="3511"/>
      <c r="C71" s="1917"/>
      <c r="D71" s="1917" t="s">
        <v>320</v>
      </c>
      <c r="E71" s="545" t="s">
        <v>321</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c r="A72" s="535" t="s">
        <v>1899</v>
      </c>
      <c r="B72" s="536" t="s">
        <v>322</v>
      </c>
      <c r="C72" s="539">
        <f ca="1">ROUND(D45/(1+'数据-取费表'!C42),0)</f>
        <v>4741</v>
      </c>
      <c r="D72" s="532" t="s">
        <v>167</v>
      </c>
      <c r="E72" s="1920"/>
      <c r="F72" s="1921"/>
      <c r="G72" s="1921"/>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c r="A73" s="535" t="s">
        <v>1896</v>
      </c>
      <c r="B73" s="505" t="s">
        <v>323</v>
      </c>
      <c r="C73" s="539">
        <f ca="1">C74+C78</f>
        <v>28</v>
      </c>
      <c r="D73" s="532" t="s">
        <v>167</v>
      </c>
      <c r="E73" s="1920"/>
      <c r="F73" s="1921"/>
      <c r="G73" s="1921"/>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c r="A74" s="549" t="s">
        <v>1900</v>
      </c>
      <c r="B74" s="530" t="s">
        <v>324</v>
      </c>
      <c r="C74" s="532">
        <f>ROUND(IF(G77="2016年5月1日后购买",C75/(1+'数据-取费表'!C42)+C76+C77,C75+C76+C77),0)</f>
        <v>0</v>
      </c>
      <c r="D74" s="532" t="s">
        <v>167</v>
      </c>
      <c r="E74" s="1920"/>
      <c r="F74" s="1921"/>
      <c r="G74" s="1921"/>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c r="A75" s="549" t="s">
        <v>1901</v>
      </c>
      <c r="B75" s="530" t="s">
        <v>325</v>
      </c>
      <c r="C75" s="550"/>
      <c r="D75" s="532" t="s">
        <v>167</v>
      </c>
      <c r="E75" s="551" t="s">
        <v>326</v>
      </c>
      <c r="F75" s="1426" t="s">
        <v>2419</v>
      </c>
      <c r="G75" s="551" t="s">
        <v>796</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customHeight="1">
      <c r="A76" s="549" t="s">
        <v>1903</v>
      </c>
      <c r="B76" s="553" t="s">
        <v>327</v>
      </c>
      <c r="C76" s="532">
        <f>IF(F75="购房发票",ROUND(C75*H75*D76,0),0)</f>
        <v>0</v>
      </c>
      <c r="D76" s="554">
        <v>0.05</v>
      </c>
      <c r="E76" s="3503" t="s">
        <v>328</v>
      </c>
      <c r="F76" s="3499"/>
      <c r="G76" s="3499"/>
      <c r="H76" s="3539"/>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customHeight="1">
      <c r="A77" s="549" t="s">
        <v>1904</v>
      </c>
      <c r="B77" s="530" t="s">
        <v>329</v>
      </c>
      <c r="C77" s="532">
        <f>ROUND(IF(G77="个人住宅",0,IF(G77="2016年5月1日前购买",C75*D77,C75*D77/(1+'数据-取费表'!C42))),0)</f>
        <v>0</v>
      </c>
      <c r="D77" s="555">
        <f>'数据-取费表'!B48+'数据-取费表'!B49</f>
        <v>3.0499999999999999E-2</v>
      </c>
      <c r="E77" s="303" t="s">
        <v>797</v>
      </c>
      <c r="F77" s="556"/>
      <c r="G77" s="1427" t="s">
        <v>2509</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customHeight="1">
      <c r="A78" s="549" t="s">
        <v>1902</v>
      </c>
      <c r="B78" s="530" t="s">
        <v>330</v>
      </c>
      <c r="C78" s="557">
        <f ca="1">ROUND(D45*D78/(1+'数据-取费表'!C42),0)</f>
        <v>28</v>
      </c>
      <c r="D78" s="558">
        <f>'数据-取费表'!B43</f>
        <v>6.000000000000001E-3</v>
      </c>
      <c r="E78" s="3525" t="s">
        <v>2510</v>
      </c>
      <c r="F78" s="3526"/>
      <c r="G78" s="3526"/>
      <c r="H78" s="3527"/>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c r="A79" s="1799" t="s">
        <v>1905</v>
      </c>
      <c r="B79" s="536" t="s">
        <v>331</v>
      </c>
      <c r="C79" s="539">
        <f ca="1">C72-C73</f>
        <v>4713</v>
      </c>
      <c r="D79" s="532" t="s">
        <v>167</v>
      </c>
      <c r="E79" s="1920"/>
      <c r="F79" s="1921"/>
      <c r="G79" s="1921"/>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c r="A80" s="1799" t="s">
        <v>1906</v>
      </c>
      <c r="B80" s="536" t="s">
        <v>332</v>
      </c>
      <c r="C80" s="559">
        <f ca="1">IF(C79&lt;=0,0,C79/C73)</f>
        <v>168.32142857142858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thickBot="1">
      <c r="A81" s="1800" t="s">
        <v>1907</v>
      </c>
      <c r="B81" s="541" t="s">
        <v>333</v>
      </c>
      <c r="C81" s="560">
        <f ca="1">ROUND(IF(C79&lt;=0,0,IF(C80&gt;=200%,C79*60%-C73*35%,IF(C80&gt;=100%,C79*50%-C73*15%,IF(C80&gt;=50%,C79*40%-C73*5%,IF(C80&lt;50%,C79*30%,0))))),0)</f>
        <v>2818</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thickBot="1">
      <c r="A83" s="3513" t="s">
        <v>334</v>
      </c>
      <c r="B83" s="3514"/>
      <c r="C83" s="3514"/>
      <c r="D83" s="3514"/>
      <c r="E83" s="3514"/>
      <c r="F83" s="3514"/>
      <c r="G83" s="3514"/>
      <c r="H83" s="3514"/>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c r="A84" s="3510" t="s">
        <v>312</v>
      </c>
      <c r="B84" s="3511"/>
      <c r="C84" s="1917"/>
      <c r="D84" s="1917"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c r="A85" s="535" t="s">
        <v>1899</v>
      </c>
      <c r="B85" s="536" t="s">
        <v>322</v>
      </c>
      <c r="C85" s="539">
        <f ca="1">ROUND(D45/(1+'数据-取费表'!C42),0)</f>
        <v>4741</v>
      </c>
      <c r="D85" s="532" t="s">
        <v>167</v>
      </c>
      <c r="E85" s="1920"/>
      <c r="F85" s="1921"/>
      <c r="G85" s="1921"/>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c r="A86" s="535" t="s">
        <v>1896</v>
      </c>
      <c r="B86" s="505" t="s">
        <v>323</v>
      </c>
      <c r="C86" s="539">
        <f ca="1">IF(H88="仅含出让金",C87+C90+C91+C92+C93+C94,C87+C91+C92+C93+C94)</f>
        <v>28</v>
      </c>
      <c r="D86" s="567"/>
      <c r="E86" s="1920"/>
      <c r="F86" s="1921"/>
      <c r="G86" s="1921"/>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c r="A87" s="549" t="s">
        <v>1900</v>
      </c>
      <c r="B87" s="530" t="s">
        <v>335</v>
      </c>
      <c r="C87" s="557">
        <f>C88+C89</f>
        <v>0</v>
      </c>
      <c r="D87" s="558"/>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c r="A88" s="549" t="s">
        <v>1901</v>
      </c>
      <c r="B88" s="530" t="s">
        <v>336</v>
      </c>
      <c r="C88" s="568"/>
      <c r="D88" s="558"/>
      <c r="E88" s="569" t="s">
        <v>337</v>
      </c>
      <c r="F88" s="1916"/>
      <c r="G88" s="570" t="s">
        <v>338</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c r="A89" s="549" t="s">
        <v>1903</v>
      </c>
      <c r="B89" s="530" t="s">
        <v>329</v>
      </c>
      <c r="C89" s="557">
        <f>ROUND(C88*D89,0)</f>
        <v>0</v>
      </c>
      <c r="D89" s="558">
        <f>'数据-取费表'!B48+'数据-取费表'!B49</f>
        <v>3.0499999999999999E-2</v>
      </c>
      <c r="E89" s="569" t="s">
        <v>339</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c r="A90" s="549" t="s">
        <v>1902</v>
      </c>
      <c r="B90" s="530" t="s">
        <v>340</v>
      </c>
      <c r="C90" s="568"/>
      <c r="D90" s="558"/>
      <c r="E90" s="569"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customHeight="1">
      <c r="A91" s="1801" t="s">
        <v>1908</v>
      </c>
      <c r="B91" s="530" t="s">
        <v>341</v>
      </c>
      <c r="C91" s="557">
        <f>IF(H91="——",成本法!C33,I91)</f>
        <v>0</v>
      </c>
      <c r="D91" s="558"/>
      <c r="E91" s="3540" t="s">
        <v>798</v>
      </c>
      <c r="F91" s="3526"/>
      <c r="G91" s="3526"/>
      <c r="H91" s="1429" t="s">
        <v>2320</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customHeight="1">
      <c r="A92" s="1801" t="s">
        <v>1909</v>
      </c>
      <c r="B92" s="530" t="s">
        <v>342</v>
      </c>
      <c r="C92" s="557">
        <f>ROUND((C87+C90+C91)*D92,0)</f>
        <v>0</v>
      </c>
      <c r="D92" s="558">
        <v>0.1</v>
      </c>
      <c r="E92" s="3540" t="s">
        <v>343</v>
      </c>
      <c r="F92" s="3526"/>
      <c r="G92" s="3526"/>
      <c r="H92" s="3527"/>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customHeight="1">
      <c r="A93" s="1801" t="s">
        <v>1910</v>
      </c>
      <c r="B93" s="530" t="s">
        <v>330</v>
      </c>
      <c r="C93" s="557">
        <f ca="1">ROUND(D45*D93/(1+'数据-取费表'!C42),0)</f>
        <v>28</v>
      </c>
      <c r="D93" s="558">
        <f>'数据-取费表'!B43</f>
        <v>6.000000000000001E-3</v>
      </c>
      <c r="E93" s="3525" t="s">
        <v>2510</v>
      </c>
      <c r="F93" s="3526"/>
      <c r="G93" s="3526"/>
      <c r="H93" s="3527"/>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customHeight="1">
      <c r="A94" s="1801" t="s">
        <v>1911</v>
      </c>
      <c r="B94" s="530" t="s">
        <v>344</v>
      </c>
      <c r="C94" s="568">
        <f>ROUND((C87+C90+C91)*D94,0)</f>
        <v>0</v>
      </c>
      <c r="D94" s="558">
        <v>0.2</v>
      </c>
      <c r="E94" s="3528" t="s">
        <v>3056</v>
      </c>
      <c r="F94" s="3529"/>
      <c r="G94" s="3529"/>
      <c r="H94" s="3530"/>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c r="A95" s="1799" t="s">
        <v>1905</v>
      </c>
      <c r="B95" s="536" t="s">
        <v>331</v>
      </c>
      <c r="C95" s="539">
        <f ca="1">ROUND(C85-C86,0)</f>
        <v>4713</v>
      </c>
      <c r="D95" s="532" t="s">
        <v>167</v>
      </c>
      <c r="E95" s="1920"/>
      <c r="F95" s="1921"/>
      <c r="G95" s="1921"/>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c r="A96" s="1799" t="s">
        <v>1906</v>
      </c>
      <c r="B96" s="536" t="s">
        <v>332</v>
      </c>
      <c r="C96" s="559">
        <f ca="1">IF(C95&lt;=0,0,C95/C86)</f>
        <v>168.32142857142858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thickBot="1">
      <c r="A97" s="1800" t="s">
        <v>1907</v>
      </c>
      <c r="B97" s="541" t="s">
        <v>333</v>
      </c>
      <c r="C97" s="560">
        <f ca="1">ROUND(IF(C95&lt;=0,0,IF(C96&gt;=200%,C95*60%-C86*35%,IF(C96&gt;=100%,C95*50%-C86*15%,IF(C96&gt;=50%,C95*40%-C86*5%,IF(C96&lt;50%,C95*30%,0))))),0)</f>
        <v>2818</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229</v>
      </c>
      <c r="B99" s="1242"/>
      <c r="C99" s="1242"/>
      <c r="D99" s="1242"/>
      <c r="E99" s="229"/>
      <c r="F99" s="229"/>
      <c r="G99" s="229"/>
      <c r="H99" s="241"/>
      <c r="I99" s="2277"/>
    </row>
    <row r="100" spans="1:35" ht="18.75" customHeight="1">
      <c r="A100" s="3462" t="s">
        <v>230</v>
      </c>
      <c r="B100" s="3463"/>
      <c r="C100" s="3463"/>
      <c r="D100" s="3531"/>
      <c r="E100" s="3463" t="s">
        <v>2909</v>
      </c>
      <c r="F100" s="3463"/>
      <c r="G100" s="3463"/>
      <c r="H100" s="3531"/>
      <c r="I100" s="2277"/>
    </row>
    <row r="101" spans="1:35" ht="18.75" customHeight="1">
      <c r="A101" s="3532" t="s">
        <v>208</v>
      </c>
      <c r="B101" s="3533"/>
      <c r="C101" s="1265" t="str">
        <f>C4</f>
        <v>成本法</v>
      </c>
      <c r="D101" s="1266" t="str">
        <f>D4</f>
        <v>收益法仓储</v>
      </c>
      <c r="E101" s="3534" t="s">
        <v>1913</v>
      </c>
      <c r="F101" s="3535"/>
      <c r="G101" s="1267" t="s">
        <v>210</v>
      </c>
      <c r="H101" s="1985">
        <f ca="1">H118</f>
        <v>4978</v>
      </c>
      <c r="I101" s="2277"/>
    </row>
    <row r="102" spans="1:35" ht="18.75" customHeight="1">
      <c r="A102" s="3536" t="s">
        <v>209</v>
      </c>
      <c r="B102" s="1267" t="s">
        <v>210</v>
      </c>
      <c r="C102" s="1234">
        <f ca="1">C19</f>
        <v>4398</v>
      </c>
      <c r="D102" s="1235">
        <f ca="1">D19</f>
        <v>5558</v>
      </c>
      <c r="E102" s="3534"/>
      <c r="F102" s="3535"/>
      <c r="G102" s="1267" t="s">
        <v>211</v>
      </c>
      <c r="H102" s="711">
        <f ca="1">I118</f>
        <v>19674</v>
      </c>
      <c r="I102" s="2277"/>
    </row>
    <row r="103" spans="1:35" ht="42.75" customHeight="1">
      <c r="A103" s="3536"/>
      <c r="B103" s="1267" t="s">
        <v>211</v>
      </c>
      <c r="C103" s="1236">
        <f ca="1">C20</f>
        <v>17381</v>
      </c>
      <c r="D103" s="1237">
        <f ca="1">D20</f>
        <v>21966</v>
      </c>
      <c r="E103" s="3537" t="s">
        <v>3018</v>
      </c>
      <c r="F103" s="3538"/>
      <c r="G103" s="1268" t="s">
        <v>213</v>
      </c>
      <c r="H103" s="1985">
        <f>IF(D36="正常操作",H104+H105+H106,H105+H106)</f>
        <v>0</v>
      </c>
      <c r="I103" s="2277"/>
    </row>
    <row r="104" spans="1:35" ht="18.75" customHeight="1">
      <c r="A104" s="3536" t="s">
        <v>212</v>
      </c>
      <c r="B104" s="1269" t="s">
        <v>210</v>
      </c>
      <c r="C104" s="1238">
        <f ca="1">H118</f>
        <v>4978</v>
      </c>
      <c r="D104" s="1239"/>
      <c r="E104" s="13" t="s">
        <v>1912</v>
      </c>
      <c r="F104" s="6"/>
      <c r="G104" s="1268" t="s">
        <v>213</v>
      </c>
      <c r="H104" s="1986">
        <f>IF(D36="同一抵押权人同一抵押物续贷",C36&amp;"（未扣减，详见特别提示）",C36)</f>
        <v>0</v>
      </c>
      <c r="I104" s="2277"/>
    </row>
    <row r="105" spans="1:35" ht="18.75" customHeight="1" thickBot="1">
      <c r="A105" s="3546"/>
      <c r="B105" s="1270" t="s">
        <v>211</v>
      </c>
      <c r="C105" s="1240">
        <f ca="1">I118</f>
        <v>19674</v>
      </c>
      <c r="D105" s="1241"/>
      <c r="E105" s="13" t="s">
        <v>1914</v>
      </c>
      <c r="F105" s="6"/>
      <c r="G105" s="1268" t="s">
        <v>213</v>
      </c>
      <c r="H105" s="1986">
        <f>C37</f>
        <v>0</v>
      </c>
      <c r="I105" s="2277"/>
    </row>
    <row r="106" spans="1:35" ht="18.75" customHeight="1">
      <c r="A106" s="1242" t="s">
        <v>2010</v>
      </c>
      <c r="B106" s="1242"/>
      <c r="C106" s="1242"/>
      <c r="D106" s="1242"/>
      <c r="E106" s="467" t="s">
        <v>1915</v>
      </c>
      <c r="F106" s="6"/>
      <c r="G106" s="1268" t="s">
        <v>213</v>
      </c>
      <c r="H106" s="1986">
        <f>C38</f>
        <v>0</v>
      </c>
      <c r="I106" s="2277"/>
    </row>
    <row r="107" spans="1:35" ht="18.75" customHeight="1">
      <c r="A107" s="2277"/>
      <c r="B107" s="2277"/>
      <c r="C107" s="2277"/>
      <c r="D107" s="2277"/>
      <c r="E107" s="3547" t="str">
        <f>IF(项目基本情况!E8="已注销","——","3.房地产抵押价值")</f>
        <v>3.房地产抵押价值</v>
      </c>
      <c r="F107" s="3535"/>
      <c r="G107" s="1267" t="s">
        <v>210</v>
      </c>
      <c r="H107" s="1985">
        <f ca="1">IF(E107="——","——",H101-H103)</f>
        <v>4978</v>
      </c>
      <c r="I107" s="2277"/>
    </row>
    <row r="108" spans="1:35" ht="18.75" customHeight="1">
      <c r="A108" s="2277"/>
      <c r="B108" s="2277"/>
      <c r="C108" s="2277"/>
      <c r="D108" s="2277"/>
      <c r="E108" s="3547"/>
      <c r="F108" s="3535"/>
      <c r="G108" s="1267" t="s">
        <v>211</v>
      </c>
      <c r="H108" s="711">
        <f ca="1">ROUND(H107*10000/'数据-汇总表'!E3,0)</f>
        <v>19296</v>
      </c>
      <c r="I108" s="2277"/>
    </row>
    <row r="109" spans="1:35" ht="18.75" customHeight="1">
      <c r="A109" s="2277"/>
      <c r="B109" s="2277"/>
      <c r="C109" s="2277"/>
      <c r="D109" s="2277"/>
      <c r="E109" s="3547" t="str">
        <f>IF(项目基本情况!E8="已注销及未注销","4.抵押担保权已注销时的房地产抵押价值",IF(项目基本情况!E8="已注销","3.抵押担保权已注销时的房地产抵押价值","——"))</f>
        <v>——</v>
      </c>
      <c r="F109" s="3535"/>
      <c r="G109" s="1267" t="s">
        <v>210</v>
      </c>
      <c r="H109" s="685" t="str">
        <f>IF(E109="——","——",H101-H105-H106)</f>
        <v>——</v>
      </c>
      <c r="I109" s="2277"/>
    </row>
    <row r="110" spans="1:35" ht="18.75" customHeight="1">
      <c r="A110" s="2277"/>
      <c r="B110" s="2277"/>
      <c r="C110" s="2277"/>
      <c r="D110" s="2277"/>
      <c r="E110" s="3547"/>
      <c r="F110" s="3535"/>
      <c r="G110" s="1267" t="s">
        <v>211</v>
      </c>
      <c r="H110" s="711" t="str">
        <f>IF(H109="——","——",ROUND(H109*10000/'数据-汇总表'!E3,0))</f>
        <v>——</v>
      </c>
      <c r="I110" s="2277"/>
    </row>
    <row r="111" spans="1:35" ht="18.75" customHeight="1">
      <c r="A111" s="2277"/>
      <c r="B111" s="2277"/>
      <c r="C111" s="2277"/>
      <c r="D111" s="2277"/>
      <c r="E111" s="3548" t="str">
        <f>IF(项目基本情况!E9="抵押净值",IF(OR(项目基本情况!E8="已注销",项目基本情况!E8="房地产抵押价值"),"4.抵押净值","5.抵押净值"),"——")</f>
        <v>——</v>
      </c>
      <c r="F111" s="3549"/>
      <c r="G111" s="1267" t="s">
        <v>210</v>
      </c>
      <c r="H111" s="1985" t="str">
        <f>IF(E111="——","——",N59)</f>
        <v>——</v>
      </c>
      <c r="I111" s="2277"/>
    </row>
    <row r="112" spans="1:35" ht="18.75" customHeight="1" thickBot="1">
      <c r="A112" s="2277"/>
      <c r="B112" s="2277"/>
      <c r="C112" s="2277"/>
      <c r="D112" s="2277"/>
      <c r="E112" s="3550"/>
      <c r="F112" s="3551"/>
      <c r="G112" s="1271" t="s">
        <v>211</v>
      </c>
      <c r="H112" s="1422" t="str">
        <f>IF(E111="——","——",N61)</f>
        <v>——</v>
      </c>
      <c r="I112" s="2277"/>
    </row>
    <row r="113" spans="1:11" ht="18.75" customHeight="1">
      <c r="A113" s="2277"/>
      <c r="B113" s="2277"/>
      <c r="C113" s="2277"/>
      <c r="D113" s="2277"/>
      <c r="E113" s="3552" t="s">
        <v>2010</v>
      </c>
      <c r="F113" s="3552"/>
      <c r="G113" s="3552"/>
      <c r="H113" s="3552"/>
      <c r="I113" s="2277"/>
    </row>
    <row r="114" spans="1:11" ht="3.75" customHeight="1">
      <c r="A114" s="1242"/>
      <c r="B114" s="1242"/>
      <c r="C114" s="1242"/>
      <c r="D114" s="1242"/>
      <c r="E114" s="1257"/>
      <c r="F114" s="1257"/>
      <c r="G114" s="1257"/>
      <c r="H114" s="1257"/>
      <c r="I114" s="1242"/>
    </row>
    <row r="115" spans="1:11" ht="18.75" customHeight="1">
      <c r="A115" s="3553" t="s">
        <v>226</v>
      </c>
      <c r="B115" s="3554"/>
      <c r="C115" s="3554"/>
      <c r="D115" s="3554"/>
      <c r="E115" s="3554"/>
      <c r="F115" s="3554"/>
      <c r="G115" s="3554"/>
      <c r="H115" s="3554"/>
      <c r="I115" s="3555"/>
    </row>
    <row r="116" spans="1:11" ht="27" customHeight="1">
      <c r="A116" s="3420" t="s">
        <v>5</v>
      </c>
      <c r="B116" s="3541" t="s">
        <v>787</v>
      </c>
      <c r="C116" s="3541" t="s">
        <v>788</v>
      </c>
      <c r="D116" s="3543" t="s">
        <v>206</v>
      </c>
      <c r="E116" s="3544"/>
      <c r="F116" s="3545" t="s">
        <v>2388</v>
      </c>
      <c r="G116" s="3545"/>
      <c r="H116" s="3420" t="s">
        <v>6</v>
      </c>
      <c r="I116" s="3420"/>
    </row>
    <row r="117" spans="1:11" ht="18.75" customHeight="1">
      <c r="A117" s="3420"/>
      <c r="B117" s="3542"/>
      <c r="C117" s="3542"/>
      <c r="D117" s="1914" t="s">
        <v>7</v>
      </c>
      <c r="E117" s="1914" t="s">
        <v>789</v>
      </c>
      <c r="F117" s="1914" t="s">
        <v>7</v>
      </c>
      <c r="G117" s="1914" t="s">
        <v>8</v>
      </c>
      <c r="H117" s="1914" t="s">
        <v>7</v>
      </c>
      <c r="I117" s="1914" t="s">
        <v>8</v>
      </c>
    </row>
    <row r="118" spans="1:11" ht="24.75" customHeight="1">
      <c r="A118" s="2032" t="str">
        <f>项目基本情况!S2</f>
        <v>北京市西城区真武庙路二条10号楼1层7单元102及103共计两套商业服务用房及-1层-102号储藏用房房地产房地产</v>
      </c>
      <c r="B118" s="1919">
        <f>M18</f>
        <v>2530.29</v>
      </c>
      <c r="C118" s="1919">
        <f>M19</f>
        <v>0</v>
      </c>
      <c r="D118" s="1919">
        <f ca="1">ROUND(IF(D32="总价",C34,E118*B118/10000),0)</f>
        <v>3425</v>
      </c>
      <c r="E118" s="1919">
        <f ca="1">ROUND(IF(C33="自定义",IF(D32="楼面单价",C34,D118*10000/B118),I118-G118),0)</f>
        <v>13536</v>
      </c>
      <c r="F118" s="1919">
        <f ca="1">ROUND(IF(D32="总价",C35,G118*B118/10000),0)</f>
        <v>1553</v>
      </c>
      <c r="G118" s="1919">
        <f ca="1">ROUND(IF(D32="楼面单价",C35,F118*10000/B118),0)</f>
        <v>6138</v>
      </c>
      <c r="H118" s="1919">
        <f ca="1">ROUND(IF(D32="总价",C32,I118*B118/10000),0)</f>
        <v>4978</v>
      </c>
      <c r="I118" s="1919">
        <f ca="1">ROUND(IF(D32="楼面单价",C32,H118*10000/B118),0)</f>
        <v>19674</v>
      </c>
    </row>
    <row r="119" spans="1:11" ht="18.75" customHeight="1">
      <c r="A119" s="3420" t="s">
        <v>9</v>
      </c>
      <c r="B119" s="3420"/>
      <c r="C119" s="3420"/>
      <c r="D119" s="3559" t="str">
        <f ca="1">NUMBERSTRING(INT(D118*10000),2)&amp;"元整"</f>
        <v>叁仟肆佰贰拾伍万元整</v>
      </c>
      <c r="E119" s="3561"/>
      <c r="F119" s="3559" t="str">
        <f ca="1">NUMBERSTRING(INT(F118*10000),2)&amp;"元整"</f>
        <v>壹仟伍佰伍拾叁万元整</v>
      </c>
      <c r="G119" s="3561"/>
      <c r="H119" s="3559" t="str">
        <f ca="1">NUMBERSTRING(INT(H118*10000),2)&amp;"元整"</f>
        <v>肆仟玖佰柒拾捌万元整</v>
      </c>
      <c r="I119" s="3561"/>
    </row>
    <row r="120" spans="1:11" ht="18.75" customHeight="1">
      <c r="A120" s="3566" t="str">
        <f>MID(E103,3,LEN(E103)-2)</f>
        <v>估价师知悉的法定优先受偿款</v>
      </c>
      <c r="B120" s="3567"/>
      <c r="C120" s="3568"/>
      <c r="D120" s="3563">
        <f>H103</f>
        <v>0</v>
      </c>
      <c r="E120" s="3564"/>
      <c r="F120" s="3564"/>
      <c r="G120" s="3564"/>
      <c r="H120" s="3564"/>
      <c r="I120" s="3565"/>
      <c r="K120" s="1433" t="str">
        <f>IF(D120=0,"故，本次评估不存在"&amp;A120,"故，本次评估"&amp;A120&amp;"为人民币"&amp;D120&amp;"万元整。")</f>
        <v>故，本次评估不存在估价师知悉的法定优先受偿款</v>
      </c>
    </row>
    <row r="121" spans="1:11" ht="18.75" customHeight="1">
      <c r="A121" s="3556" t="s">
        <v>9</v>
      </c>
      <c r="B121" s="3557"/>
      <c r="C121" s="3558"/>
      <c r="D121" s="3559" t="str">
        <f>IF(D120=0,"零元整",NUMBERSTRING(INT(D120*10000),2)&amp;"元整")</f>
        <v>零元整</v>
      </c>
      <c r="E121" s="3560"/>
      <c r="F121" s="3560"/>
      <c r="G121" s="3560"/>
      <c r="H121" s="3560"/>
      <c r="I121" s="3561"/>
    </row>
    <row r="122" spans="1:11" ht="18.75" customHeight="1">
      <c r="A122" s="3562" t="str">
        <f>MID(E107,3,LEN(E107)-2)</f>
        <v>房地产抵押价值</v>
      </c>
      <c r="B122" s="3562"/>
      <c r="C122" s="3562"/>
      <c r="D122" s="3563">
        <f ca="1">H107</f>
        <v>4978</v>
      </c>
      <c r="E122" s="3564"/>
      <c r="F122" s="3564"/>
      <c r="G122" s="3564"/>
      <c r="H122" s="3564"/>
      <c r="I122" s="3565"/>
    </row>
    <row r="123" spans="1:11" ht="18.75" customHeight="1">
      <c r="A123" s="3420" t="s">
        <v>9</v>
      </c>
      <c r="B123" s="3420"/>
      <c r="C123" s="3420"/>
      <c r="D123" s="3559" t="str">
        <f ca="1">NUMBERSTRING(INT(D122*10000),2)&amp;"元整"</f>
        <v>肆仟玖佰柒拾捌万元整</v>
      </c>
      <c r="E123" s="3560"/>
      <c r="F123" s="3560"/>
      <c r="G123" s="3560"/>
      <c r="H123" s="3560"/>
      <c r="I123" s="3561"/>
    </row>
    <row r="124" spans="1:11" ht="18.75" customHeight="1">
      <c r="A124" s="3562" t="str">
        <f>MID(E109,3,LEN(E109)-2)</f>
        <v/>
      </c>
      <c r="B124" s="3562"/>
      <c r="C124" s="3562"/>
      <c r="D124" s="3563" t="str">
        <f>H109</f>
        <v>——</v>
      </c>
      <c r="E124" s="3564"/>
      <c r="F124" s="3564"/>
      <c r="G124" s="3564"/>
      <c r="H124" s="3564"/>
      <c r="I124" s="3565"/>
    </row>
    <row r="125" spans="1:11" ht="18.75" customHeight="1">
      <c r="A125" s="3420" t="s">
        <v>9</v>
      </c>
      <c r="B125" s="3420"/>
      <c r="C125" s="3420"/>
      <c r="D125" s="3559" t="e">
        <f>NUMBERSTRING(INT(D124*10000),2)&amp;"元整"</f>
        <v>#VALUE!</v>
      </c>
      <c r="E125" s="3560"/>
      <c r="F125" s="3560"/>
      <c r="G125" s="3560"/>
      <c r="H125" s="3560"/>
      <c r="I125" s="3561"/>
    </row>
    <row r="126" spans="1:11" ht="18.75" customHeight="1">
      <c r="A126" s="3562" t="str">
        <f>MID(E111,3,LEN(E111)-2)</f>
        <v/>
      </c>
      <c r="B126" s="3562"/>
      <c r="C126" s="3562"/>
      <c r="D126" s="3563" t="str">
        <f>H111</f>
        <v>——</v>
      </c>
      <c r="E126" s="3564"/>
      <c r="F126" s="3564"/>
      <c r="G126" s="3564"/>
      <c r="H126" s="3564"/>
      <c r="I126" s="3565"/>
    </row>
    <row r="127" spans="1:11" ht="18.75" customHeight="1">
      <c r="A127" s="3420" t="s">
        <v>9</v>
      </c>
      <c r="B127" s="3420"/>
      <c r="C127" s="3420"/>
      <c r="D127" s="3559" t="e">
        <f>NUMBERSTRING(INT(D126*10000),2)&amp;"元整"</f>
        <v>#VALUE!</v>
      </c>
      <c r="E127" s="3560"/>
      <c r="F127" s="3560"/>
      <c r="G127" s="3560"/>
      <c r="H127" s="3560"/>
      <c r="I127" s="3561"/>
    </row>
    <row r="128" spans="1:11" ht="21.75" customHeight="1">
      <c r="A128" s="3569" t="s">
        <v>2009</v>
      </c>
      <c r="B128" s="3569"/>
      <c r="C128" s="3569"/>
      <c r="D128" s="3569"/>
      <c r="E128" s="3569"/>
      <c r="F128" s="3569"/>
      <c r="G128" s="3569"/>
      <c r="H128" s="3569"/>
      <c r="I128" s="3569"/>
    </row>
    <row r="129" spans="1:35" ht="21.75" customHeight="1">
      <c r="A129" s="2027" t="s">
        <v>790</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21" priority="21" stopIfTrue="1" operator="equal">
      <formula>25</formula>
    </cfRule>
  </conditionalFormatting>
  <conditionalFormatting sqref="C8:C9">
    <cfRule type="cellIs" dxfId="120" priority="19" stopIfTrue="1" operator="equal">
      <formula>15</formula>
    </cfRule>
  </conditionalFormatting>
  <conditionalFormatting sqref="C14:C16">
    <cfRule type="cellIs" dxfId="119" priority="13" stopIfTrue="1" operator="equal">
      <formula>30</formula>
    </cfRule>
  </conditionalFormatting>
  <conditionalFormatting sqref="D5:D7">
    <cfRule type="cellIs" dxfId="118" priority="10" stopIfTrue="1" operator="equal">
      <formula>25</formula>
    </cfRule>
  </conditionalFormatting>
  <conditionalFormatting sqref="D8:D9">
    <cfRule type="cellIs" dxfId="117" priority="9" stopIfTrue="1" operator="equal">
      <formula>15</formula>
    </cfRule>
  </conditionalFormatting>
  <conditionalFormatting sqref="C10:D13">
    <cfRule type="cellIs" dxfId="116" priority="8" stopIfTrue="1" operator="equal">
      <formula>15</formula>
    </cfRule>
  </conditionalFormatting>
  <conditionalFormatting sqref="D14:D16">
    <cfRule type="cellIs" dxfId="115" priority="6"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80" zoomScaleNormal="80" zoomScaleSheetLayoutView="90" workbookViewId="0">
      <selection activeCell="I34" sqref="I34"/>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92" t="s">
        <v>3062</v>
      </c>
      <c r="D1" s="1273"/>
      <c r="E1" s="2585" t="s">
        <v>2450</v>
      </c>
      <c r="F1" s="2586">
        <f ca="1">J53</f>
        <v>35.979999999999997</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820</v>
      </c>
      <c r="B2" s="1406">
        <f ca="1">C40+J29+L46</f>
        <v>5558</v>
      </c>
      <c r="C2" s="1299" t="s">
        <v>1104</v>
      </c>
      <c r="D2" s="1275"/>
      <c r="E2" s="2575"/>
      <c r="F2" s="1276"/>
      <c r="G2" s="2287"/>
      <c r="H2" s="1274"/>
      <c r="I2" s="1274"/>
      <c r="J2" s="1274"/>
      <c r="K2" s="1298"/>
      <c r="L2" s="1274"/>
      <c r="M2" s="1274"/>
    </row>
    <row r="3" spans="1:37" ht="18" customHeight="1" thickBot="1">
      <c r="A3" s="675" t="s">
        <v>821</v>
      </c>
      <c r="B3" s="1407">
        <f ca="1">IF(ISERROR(B2*10000/F43),0,ROUND(B2*10000/F43,0))</f>
        <v>21966</v>
      </c>
      <c r="C3" s="1299" t="s">
        <v>1105</v>
      </c>
      <c r="D3" s="1275"/>
      <c r="E3" s="2575"/>
      <c r="F3" s="1276"/>
      <c r="G3" s="2287"/>
      <c r="H3" s="676" t="s">
        <v>911</v>
      </c>
      <c r="I3" s="1274"/>
      <c r="J3" s="1274"/>
      <c r="K3" s="1298"/>
      <c r="L3" s="1274"/>
      <c r="M3" s="1274"/>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2539</v>
      </c>
      <c r="C5" s="2626">
        <f ca="1">C6+C10+C12</f>
        <v>244</v>
      </c>
      <c r="D5" s="2636" t="s">
        <v>2541</v>
      </c>
      <c r="E5" s="2627"/>
      <c r="F5" s="2628"/>
      <c r="G5" s="2288"/>
      <c r="H5" s="681">
        <v>1</v>
      </c>
      <c r="I5" s="682" t="s">
        <v>2539</v>
      </c>
      <c r="J5" s="2626">
        <f ca="1">J6+J10+J12</f>
        <v>0</v>
      </c>
      <c r="K5" s="2629" t="s">
        <v>2541</v>
      </c>
      <c r="L5" s="2627"/>
      <c r="M5" s="2628"/>
    </row>
    <row r="6" spans="1:37" ht="18" customHeight="1">
      <c r="A6" s="2622" t="s">
        <v>2546</v>
      </c>
      <c r="B6" s="3616" t="s">
        <v>2540</v>
      </c>
      <c r="C6" s="2631">
        <f ca="1">ROUND(F6*F8*F7*(1-F9)/10000,0)</f>
        <v>244</v>
      </c>
      <c r="D6" s="2625" t="s">
        <v>2542</v>
      </c>
      <c r="E6" s="684" t="s">
        <v>917</v>
      </c>
      <c r="F6" s="685">
        <f ca="1">INDIRECT("'数据-取费表'!u"&amp;$G$1)</f>
        <v>3</v>
      </c>
      <c r="G6" s="2288"/>
      <c r="H6" s="2622" t="s">
        <v>2549</v>
      </c>
      <c r="I6" s="3616" t="s">
        <v>2540</v>
      </c>
      <c r="J6" s="683">
        <f ca="1">ROUND(M6*M8*M7*(1-M9)/10000,0)</f>
        <v>0</v>
      </c>
      <c r="K6" s="2625" t="s">
        <v>2542</v>
      </c>
      <c r="L6" s="684" t="s">
        <v>917</v>
      </c>
      <c r="M6" s="685">
        <f ca="1">INDIRECT("'数据-取费表'!z"&amp;$G$1)</f>
        <v>0</v>
      </c>
    </row>
    <row r="7" spans="1:37" ht="18" customHeight="1">
      <c r="A7" s="2630"/>
      <c r="B7" s="3617"/>
      <c r="C7" s="2632"/>
      <c r="D7" s="2061"/>
      <c r="E7" s="2633" t="s">
        <v>918</v>
      </c>
      <c r="F7" s="685">
        <f ca="1">IF(INDIRECT("'数据-取费表'!ah"&amp;$G$1)="",INDIRECT("'数据-取费表'!k"&amp;$G$1),INDIRECT("'数据-取费表'!ah"&amp;$G$1))</f>
        <v>2530.29</v>
      </c>
      <c r="G7" s="2288"/>
      <c r="H7" s="686"/>
      <c r="I7" s="3617"/>
      <c r="J7" s="688"/>
      <c r="K7" s="689"/>
      <c r="L7" s="684" t="s">
        <v>918</v>
      </c>
      <c r="M7" s="685">
        <f ca="1">F7</f>
        <v>2530.29</v>
      </c>
    </row>
    <row r="8" spans="1:37" ht="18" customHeight="1">
      <c r="A8" s="686"/>
      <c r="B8" s="3617"/>
      <c r="C8" s="688"/>
      <c r="D8" s="689"/>
      <c r="E8" s="684" t="s">
        <v>919</v>
      </c>
      <c r="F8" s="685">
        <f ca="1">INDIRECT("'数据-取费表'!ai"&amp;$G$1)</f>
        <v>365</v>
      </c>
      <c r="G8" s="2288"/>
      <c r="H8" s="686"/>
      <c r="I8" s="3617"/>
      <c r="J8" s="688"/>
      <c r="K8" s="689"/>
      <c r="L8" s="684" t="s">
        <v>919</v>
      </c>
      <c r="M8" s="685">
        <f ca="1">INDIRECT("'数据-取费表'!ai"&amp;$G$1)</f>
        <v>365</v>
      </c>
    </row>
    <row r="9" spans="1:37" ht="18" customHeight="1">
      <c r="A9" s="686"/>
      <c r="B9" s="3618"/>
      <c r="C9" s="688"/>
      <c r="D9" s="689"/>
      <c r="E9" s="684" t="s">
        <v>920</v>
      </c>
      <c r="F9" s="694">
        <f ca="1">INDIRECT("'数据-取费表'!w"&amp;$G$1)</f>
        <v>0.12</v>
      </c>
      <c r="G9" s="2288"/>
      <c r="H9" s="686"/>
      <c r="I9" s="3618"/>
      <c r="J9" s="688"/>
      <c r="K9" s="689"/>
      <c r="L9" s="695" t="s">
        <v>920</v>
      </c>
      <c r="M9" s="696">
        <f ca="1">INDIRECT("'数据-取费表'!ab"&amp;$G$1)</f>
        <v>0</v>
      </c>
    </row>
    <row r="10" spans="1:37" ht="18" customHeight="1">
      <c r="A10" s="2622" t="s">
        <v>2547</v>
      </c>
      <c r="B10" s="2623" t="s">
        <v>2535</v>
      </c>
      <c r="C10" s="698">
        <f ca="1">ROUND(IF(F10="押一",F6*F8*F7/12*F11,IF(F10="押二",F6*F8*F7/12*2*F11,IF(F10="押三",F6*F8*F7/12*3*F11,C11*F11)))/10000,0)</f>
        <v>0</v>
      </c>
      <c r="D10" s="2634" t="s">
        <v>2543</v>
      </c>
      <c r="E10" s="2097" t="s">
        <v>2537</v>
      </c>
      <c r="F10" s="3372" t="s">
        <v>3099</v>
      </c>
      <c r="G10" s="2288"/>
      <c r="H10" s="2622" t="s">
        <v>2550</v>
      </c>
      <c r="I10" s="2623" t="s">
        <v>2535</v>
      </c>
      <c r="J10" s="683">
        <f ca="1">ROUND(IF(M10="押一",M6*M8*M7/12*M11,IF(M10="押二",M6*M8*M7/12*2*M11,IF(M10="押三",M6*M8*M7/12*3*M11,J11*M11)))/10000,0)</f>
        <v>0</v>
      </c>
      <c r="K10" s="2634" t="s">
        <v>2543</v>
      </c>
      <c r="L10" s="2097" t="s">
        <v>2537</v>
      </c>
      <c r="M10" s="2729" t="s">
        <v>2629</v>
      </c>
    </row>
    <row r="11" spans="1:37" ht="18" customHeight="1">
      <c r="A11" s="690"/>
      <c r="B11" s="2624" t="s">
        <v>2702</v>
      </c>
      <c r="C11" s="2415"/>
      <c r="D11" s="2870"/>
      <c r="E11" s="2097" t="s">
        <v>2538</v>
      </c>
      <c r="F11" s="696">
        <f ca="1">'数据-取费表'!B39</f>
        <v>1.4999999999999999E-2</v>
      </c>
      <c r="G11" s="2288"/>
      <c r="H11" s="2635"/>
      <c r="I11" s="2624" t="s">
        <v>2702</v>
      </c>
      <c r="J11" s="2415"/>
      <c r="K11" s="1280"/>
      <c r="L11" s="2097" t="s">
        <v>2538</v>
      </c>
      <c r="M11" s="2096">
        <f ca="1">'数据-取费表'!B39</f>
        <v>1.4999999999999999E-2</v>
      </c>
    </row>
    <row r="12" spans="1:37" ht="18" customHeight="1" thickBot="1">
      <c r="A12" s="2670" t="s">
        <v>2548</v>
      </c>
      <c r="B12" s="2671" t="s">
        <v>2536</v>
      </c>
      <c r="C12" s="2672"/>
      <c r="D12" s="2673"/>
      <c r="E12" s="2674"/>
      <c r="F12" s="2675"/>
      <c r="G12" s="2288"/>
      <c r="H12" s="2670" t="s">
        <v>2551</v>
      </c>
      <c r="I12" s="2671" t="s">
        <v>2536</v>
      </c>
      <c r="J12" s="2672"/>
      <c r="K12" s="2689"/>
      <c r="L12" s="2674"/>
      <c r="M12" s="2690"/>
    </row>
    <row r="13" spans="1:37" ht="18" customHeight="1" thickTop="1">
      <c r="A13" s="2666">
        <v>2</v>
      </c>
      <c r="B13" s="2667" t="s">
        <v>921</v>
      </c>
      <c r="C13" s="692">
        <f ca="1">ROUND(C29*F13,0)</f>
        <v>756</v>
      </c>
      <c r="D13" s="2668" t="s">
        <v>922</v>
      </c>
      <c r="E13" s="2668" t="s">
        <v>923</v>
      </c>
      <c r="F13" s="2669">
        <f ca="1">INDIRECT("'数据-取费表'!y"&amp;$G$1)</f>
        <v>0.9</v>
      </c>
      <c r="G13" s="2288"/>
      <c r="H13" s="2666">
        <v>2</v>
      </c>
      <c r="I13" s="2667" t="s">
        <v>921</v>
      </c>
      <c r="J13" s="2621">
        <f ca="1">ROUND(J14*J15,0)</f>
        <v>0</v>
      </c>
      <c r="K13" s="2676" t="s">
        <v>922</v>
      </c>
      <c r="L13" s="2687"/>
      <c r="M13" s="2688"/>
    </row>
    <row r="14" spans="1:37" ht="18" customHeight="1">
      <c r="A14" s="2438" t="s">
        <v>2377</v>
      </c>
      <c r="B14" s="684" t="s">
        <v>359</v>
      </c>
      <c r="C14" s="702">
        <f ca="1">INDIRECT("'数据-取费表'!m"&amp;$G$1)+INDIRECT("'数据-取费表'!t"&amp;$G$1)</f>
        <v>582</v>
      </c>
      <c r="D14" s="2215" t="s">
        <v>924</v>
      </c>
      <c r="E14" s="2214"/>
      <c r="F14" s="703"/>
      <c r="G14" s="2288"/>
      <c r="H14" s="2438" t="s">
        <v>2380</v>
      </c>
      <c r="I14" s="684" t="s">
        <v>925</v>
      </c>
      <c r="J14" s="313">
        <f ca="1">C29</f>
        <v>840</v>
      </c>
      <c r="K14" s="303"/>
      <c r="L14" s="700"/>
      <c r="M14" s="701"/>
    </row>
    <row r="15" spans="1:37" s="706" customFormat="1" ht="18" customHeight="1" thickBot="1">
      <c r="A15" s="2438" t="s">
        <v>2612</v>
      </c>
      <c r="B15" s="684" t="s">
        <v>360</v>
      </c>
      <c r="C15" s="313">
        <f ca="1">ROUND(C14*F15,0)</f>
        <v>29</v>
      </c>
      <c r="D15" s="704" t="s">
        <v>926</v>
      </c>
      <c r="E15" s="704" t="s">
        <v>927</v>
      </c>
      <c r="F15" s="705">
        <f>'数据-取费表'!B33</f>
        <v>0.05</v>
      </c>
      <c r="G15" s="2289"/>
      <c r="H15" s="2678" t="s">
        <v>2387</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2613</v>
      </c>
      <c r="B16" s="684" t="s">
        <v>361</v>
      </c>
      <c r="C16" s="313">
        <f ca="1">ROUND(INDIRECT("'数据-取费表'!m"&amp;$G$1)*F16,0)</f>
        <v>0</v>
      </c>
      <c r="D16" s="684" t="s">
        <v>926</v>
      </c>
      <c r="E16" s="684" t="s">
        <v>927</v>
      </c>
      <c r="F16" s="707">
        <f ca="1">IF(INDIRECT("'数据-取费表'!c"&amp;$G$1)="住宅",'数据-取费表'!B34,0)</f>
        <v>0</v>
      </c>
      <c r="G16" s="2288"/>
      <c r="H16" s="2666" t="s">
        <v>2345</v>
      </c>
      <c r="I16" s="2667" t="s">
        <v>928</v>
      </c>
      <c r="J16" s="692">
        <f ca="1">ROUND(J17+J22+J23+J24,0)</f>
        <v>20</v>
      </c>
      <c r="K16" s="2676" t="s">
        <v>929</v>
      </c>
      <c r="L16" s="2677"/>
      <c r="M16" s="2628"/>
    </row>
    <row r="17" spans="1:37" s="706" customFormat="1" ht="18" customHeight="1">
      <c r="A17" s="2438" t="s">
        <v>2614</v>
      </c>
      <c r="B17" s="684" t="s">
        <v>362</v>
      </c>
      <c r="C17" s="313">
        <f ca="1">ROUND(F17*(F43+INDIRECT("'数据-取费表'!S"&amp;$G$1))/10000,0)</f>
        <v>51</v>
      </c>
      <c r="D17" s="684" t="s">
        <v>930</v>
      </c>
      <c r="E17" s="684" t="s">
        <v>931</v>
      </c>
      <c r="F17" s="315">
        <f>'数据-取费表'!B35</f>
        <v>200</v>
      </c>
      <c r="G17" s="2289"/>
      <c r="H17" s="2438" t="s">
        <v>2380</v>
      </c>
      <c r="I17" s="684" t="s">
        <v>363</v>
      </c>
      <c r="J17" s="313">
        <f ca="1">ROUND(IF(项目基本情况!B11="自然人",J5*M17,J18+J19+J20),1)</f>
        <v>7.1</v>
      </c>
      <c r="K17" s="2215" t="s">
        <v>932</v>
      </c>
      <c r="L17" s="2213"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2615</v>
      </c>
      <c r="B18" s="684" t="s">
        <v>364</v>
      </c>
      <c r="C18" s="313">
        <f ca="1">ROUND(C14*F18,0)</f>
        <v>9</v>
      </c>
      <c r="D18" s="684" t="s">
        <v>926</v>
      </c>
      <c r="E18" s="684" t="s">
        <v>927</v>
      </c>
      <c r="F18" s="707">
        <f>'数据-取费表'!B36</f>
        <v>1.4999999999999999E-2</v>
      </c>
      <c r="G18" s="2289"/>
      <c r="H18" s="2438" t="s">
        <v>2377</v>
      </c>
      <c r="I18" s="684" t="s">
        <v>934</v>
      </c>
      <c r="J18" s="313">
        <f ca="1">ROUND(J5*M18/(1+'数据-取费表'!C42),2)</f>
        <v>0</v>
      </c>
      <c r="K18" s="2213" t="s">
        <v>935</v>
      </c>
      <c r="L18" s="684" t="s">
        <v>927</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2546</v>
      </c>
      <c r="B19" s="684" t="s">
        <v>366</v>
      </c>
      <c r="C19" s="313">
        <f ca="1">SUM(C14:C18)</f>
        <v>671</v>
      </c>
      <c r="D19" s="471" t="s">
        <v>936</v>
      </c>
      <c r="E19" s="2223"/>
      <c r="F19" s="315"/>
      <c r="G19" s="2288"/>
      <c r="H19" s="2438" t="s">
        <v>2612</v>
      </c>
      <c r="I19" s="684" t="s">
        <v>937</v>
      </c>
      <c r="J19" s="313">
        <f ca="1">IF(K19="按租金收入计税",ROUND(J5*M19,2),ROUND(C29*M19*0.7,2))</f>
        <v>7.06</v>
      </c>
      <c r="K19" s="1300" t="s">
        <v>2420</v>
      </c>
      <c r="L19" s="684" t="s">
        <v>927</v>
      </c>
      <c r="M19" s="707">
        <f>IF(K19="按租金收入计税",'数据-取费表'!B51,'数据-取费表'!B50)</f>
        <v>1.2E-2</v>
      </c>
    </row>
    <row r="20" spans="1:37" s="706" customFormat="1" ht="18" customHeight="1">
      <c r="A20" s="2438" t="s">
        <v>2616</v>
      </c>
      <c r="B20" s="684" t="s">
        <v>367</v>
      </c>
      <c r="C20" s="313">
        <f ca="1">ROUND(C19*F20,0)</f>
        <v>13</v>
      </c>
      <c r="D20" s="709" t="s">
        <v>938</v>
      </c>
      <c r="E20" s="684" t="s">
        <v>927</v>
      </c>
      <c r="F20" s="707">
        <f>'数据-取费表'!B37</f>
        <v>0.02</v>
      </c>
      <c r="G20" s="2289"/>
      <c r="H20" s="2438" t="s">
        <v>2613</v>
      </c>
      <c r="I20" s="496" t="s">
        <v>939</v>
      </c>
      <c r="J20" s="314">
        <f ca="1">ROUND(M20*M21/10000,2)</f>
        <v>0</v>
      </c>
      <c r="K20" s="710" t="s">
        <v>940</v>
      </c>
      <c r="L20" s="684" t="s">
        <v>941</v>
      </c>
      <c r="M20" s="711">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2617</v>
      </c>
      <c r="B21" s="684" t="s">
        <v>942</v>
      </c>
      <c r="C21" s="313" t="s">
        <v>71</v>
      </c>
      <c r="D21" s="709" t="s">
        <v>943</v>
      </c>
      <c r="E21" s="684" t="s">
        <v>944</v>
      </c>
      <c r="F21" s="707">
        <f>'数据-取费表'!B38</f>
        <v>0.02</v>
      </c>
      <c r="G21" s="2289"/>
      <c r="H21" s="712"/>
      <c r="I21" s="693"/>
      <c r="J21" s="318"/>
      <c r="K21" s="713"/>
      <c r="L21" s="684" t="s">
        <v>945</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2618</v>
      </c>
      <c r="B22" s="684" t="s">
        <v>946</v>
      </c>
      <c r="C22" s="313"/>
      <c r="D22" s="2701" t="str">
        <f>IF(F23&lt;=1,"单利计息。","复利计息。")&amp;"建造成本、管理费用、销售费用产生的利息。"</f>
        <v>复利计息。建造成本、管理费用、销售费用产生的利息。</v>
      </c>
      <c r="E22" s="2223"/>
      <c r="F22" s="315"/>
      <c r="G22" s="2288"/>
      <c r="H22" s="2438" t="s">
        <v>2387</v>
      </c>
      <c r="I22" s="684" t="s">
        <v>947</v>
      </c>
      <c r="J22" s="313">
        <f ca="1">ROUND(J14*M22,1)</f>
        <v>12.6</v>
      </c>
      <c r="K22" s="2213" t="s">
        <v>948</v>
      </c>
      <c r="L22" s="684" t="s">
        <v>927</v>
      </c>
      <c r="M22" s="714">
        <f ca="1">INDIRECT("'数据-取费表'!Ak"&amp;$G$1)</f>
        <v>1.4999999999999999E-2</v>
      </c>
    </row>
    <row r="23" spans="1:37" s="706" customFormat="1" ht="18" customHeight="1">
      <c r="A23" s="2438" t="s">
        <v>2377</v>
      </c>
      <c r="B23" s="684" t="s">
        <v>2532</v>
      </c>
      <c r="C23" s="313">
        <f ca="1">IF('数据-取费表'!B22&lt;=1,ROUND(C19*F24*F23/2,0)+ROUND(C20*F24*F23/2,0),ROUND(C19*(POWER((1+F24),F23/2)-1),0)+ROUND(C20*(POWER((1+F24),F23/2)-1),0))</f>
        <v>24</v>
      </c>
      <c r="D23" s="2705" t="str">
        <f>IF(F23&lt;=1,"(建造成本+管理费用)×利率×(建设周期÷2)","(建造成本+管理费用)×((1+利率)^(建设周期÷2)-1)")</f>
        <v>(建造成本+管理费用)×((1+利率)^(建设周期÷2)-1)</v>
      </c>
      <c r="E23" s="684" t="s">
        <v>949</v>
      </c>
      <c r="F23" s="711">
        <f>'数据-取费表'!B20</f>
        <v>1.5</v>
      </c>
      <c r="G23" s="2289"/>
      <c r="H23" s="2438" t="s">
        <v>2617</v>
      </c>
      <c r="I23" s="684" t="s">
        <v>368</v>
      </c>
      <c r="J23" s="313">
        <f ca="1">ROUND(J13*M23,1)</f>
        <v>0</v>
      </c>
      <c r="K23" s="2213" t="s">
        <v>950</v>
      </c>
      <c r="L23" s="684" t="s">
        <v>927</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2383</v>
      </c>
      <c r="B24" s="684" t="s">
        <v>951</v>
      </c>
      <c r="C24" s="313">
        <f ca="1">ROUND(IF('数据-取费表'!B22&lt;=1,F21*F24*F23/2,F21*(POWER((1+F24),F23/2)-1)),4)</f>
        <v>6.9999999999999999E-4</v>
      </c>
      <c r="D24" s="2705" t="str">
        <f>IF(F23&lt;=1,"销售费用×利率×(建设周期÷2)","销售费用×((1+利率)^(建设周期÷2)-1)")</f>
        <v>销售费用×((1+利率)^(建设周期÷2)-1)</v>
      </c>
      <c r="E24" s="684" t="s">
        <v>952</v>
      </c>
      <c r="F24" s="717">
        <f ca="1">'数据-取费表'!B40</f>
        <v>4.7500000000000001E-2</v>
      </c>
      <c r="G24" s="2289"/>
      <c r="H24" s="2678" t="s">
        <v>2618</v>
      </c>
      <c r="I24" s="2679" t="s">
        <v>367</v>
      </c>
      <c r="J24" s="2680">
        <f ca="1">ROUND(J5*M24,1)</f>
        <v>0</v>
      </c>
      <c r="K24" s="2681" t="s">
        <v>953</v>
      </c>
      <c r="L24" s="2679" t="s">
        <v>927</v>
      </c>
      <c r="M24" s="2675">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2384</v>
      </c>
      <c r="B25" s="684" t="s">
        <v>372</v>
      </c>
      <c r="C25" s="313"/>
      <c r="D25" s="471" t="s">
        <v>954</v>
      </c>
      <c r="E25" s="2223"/>
      <c r="F25" s="315"/>
      <c r="G25" s="2288"/>
      <c r="H25" s="2666" t="s">
        <v>2360</v>
      </c>
      <c r="I25" s="2683" t="s">
        <v>955</v>
      </c>
      <c r="J25" s="692">
        <f ca="1">J5-J16</f>
        <v>-20</v>
      </c>
      <c r="K25" s="2684" t="s">
        <v>956</v>
      </c>
      <c r="L25" s="2685"/>
      <c r="M25" s="2686"/>
    </row>
    <row r="26" spans="1:37" ht="18" customHeight="1">
      <c r="A26" s="2438" t="s">
        <v>2377</v>
      </c>
      <c r="B26" s="684" t="s">
        <v>2533</v>
      </c>
      <c r="C26" s="313">
        <f ca="1">ROUND((C19+C20)*F26,0)</f>
        <v>68</v>
      </c>
      <c r="D26" s="709" t="s">
        <v>957</v>
      </c>
      <c r="E26" s="695" t="s">
        <v>958</v>
      </c>
      <c r="F26" s="694">
        <f ca="1">INDIRECT("'数据-取费表'!q"&amp;$G$1)</f>
        <v>0.1</v>
      </c>
      <c r="G26" s="2288"/>
      <c r="H26" s="681" t="s">
        <v>2363</v>
      </c>
      <c r="I26" s="682" t="s">
        <v>959</v>
      </c>
      <c r="J26" s="683">
        <f ca="1">IF(J5&lt;&gt;0,ROUND(J25*(1-((1+M28)/(1+M26))^M27)/(M26-M28),0),0)</f>
        <v>0</v>
      </c>
      <c r="K26" s="710" t="s">
        <v>960</v>
      </c>
      <c r="L26" s="684" t="s">
        <v>966</v>
      </c>
      <c r="M26" s="694">
        <f ca="1">INDIRECT("'数据-取费表'!I"&amp;$G$1)</f>
        <v>4.4999999999999998E-2</v>
      </c>
    </row>
    <row r="27" spans="1:37" ht="18" customHeight="1">
      <c r="A27" s="2438" t="s">
        <v>2383</v>
      </c>
      <c r="B27" s="684" t="s">
        <v>375</v>
      </c>
      <c r="C27" s="313">
        <f ca="1">ROUND(F21*F26,4)</f>
        <v>2E-3</v>
      </c>
      <c r="D27" s="709" t="s">
        <v>961</v>
      </c>
      <c r="E27" s="704"/>
      <c r="F27" s="705"/>
      <c r="G27" s="2288"/>
      <c r="H27" s="686"/>
      <c r="I27" s="687"/>
      <c r="J27" s="688"/>
      <c r="K27" s="718" t="s">
        <v>962</v>
      </c>
      <c r="L27" s="684" t="s">
        <v>967</v>
      </c>
      <c r="M27" s="719">
        <f ca="1">INDIRECT("'数据-取费表'!ag"&amp;$G$1)</f>
        <v>0</v>
      </c>
    </row>
    <row r="28" spans="1:37" s="706" customFormat="1" ht="18" customHeight="1">
      <c r="A28" s="2438" t="s">
        <v>2385</v>
      </c>
      <c r="B28" s="684" t="s">
        <v>376</v>
      </c>
      <c r="C28" s="313">
        <f>ROUND(F28/(1+'数据-取费表'!C42),4)</f>
        <v>5.33E-2</v>
      </c>
      <c r="D28" s="709" t="s">
        <v>968</v>
      </c>
      <c r="E28" s="684" t="s">
        <v>927</v>
      </c>
      <c r="F28" s="707">
        <f>'数据-取费表'!B41</f>
        <v>5.6000000000000001E-2</v>
      </c>
      <c r="G28" s="2289"/>
      <c r="H28" s="690"/>
      <c r="I28" s="691"/>
      <c r="J28" s="692"/>
      <c r="K28" s="713"/>
      <c r="L28" s="684" t="s">
        <v>969</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2386</v>
      </c>
      <c r="B29" s="2679" t="s">
        <v>970</v>
      </c>
      <c r="C29" s="2680">
        <f ca="1">ROUND((C19+C20+C23+C26)/(1-F21-C24-C27-C28),0)</f>
        <v>840</v>
      </c>
      <c r="D29" s="2681"/>
      <c r="E29" s="2679"/>
      <c r="F29" s="2682"/>
      <c r="G29" s="2289"/>
      <c r="H29" s="720" t="s">
        <v>2370</v>
      </c>
      <c r="I29" s="721" t="s">
        <v>963</v>
      </c>
      <c r="J29" s="722">
        <f ca="1">ROUND(J26/(1+F40)^F41,0)</f>
        <v>0</v>
      </c>
      <c r="K29" s="723" t="s">
        <v>964</v>
      </c>
      <c r="L29" s="724"/>
      <c r="M29" s="725">
        <f ca="1">INDIRECT("'数据-取费表'!k"&amp;$G$1)</f>
        <v>2530.29</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2345</v>
      </c>
      <c r="B30" s="2667" t="s">
        <v>928</v>
      </c>
      <c r="C30" s="692">
        <f ca="1">ROUND(C31+C36+C37+C38,0)</f>
        <v>39</v>
      </c>
      <c r="D30" s="2676" t="s">
        <v>929</v>
      </c>
      <c r="E30" s="2677"/>
      <c r="F30" s="2628"/>
      <c r="G30" s="2288"/>
      <c r="H30" s="1277"/>
      <c r="I30" s="1278"/>
      <c r="J30" s="1279"/>
      <c r="K30" s="1280"/>
      <c r="L30" s="1281"/>
      <c r="M30" s="1282"/>
    </row>
    <row r="31" spans="1:37" ht="18" customHeight="1">
      <c r="A31" s="2438" t="s">
        <v>2546</v>
      </c>
      <c r="B31" s="684" t="s">
        <v>363</v>
      </c>
      <c r="C31" s="313">
        <f ca="1">ROUND(IF(项目基本情况!B11="自然人",C5*F31,C32+C33+C34),1)</f>
        <v>20.100000000000001</v>
      </c>
      <c r="D31" s="2215" t="s">
        <v>932</v>
      </c>
      <c r="E31" s="2213" t="s">
        <v>971</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2611</v>
      </c>
      <c r="B32" s="684" t="s">
        <v>934</v>
      </c>
      <c r="C32" s="313">
        <f ca="1">IF(项目基本情况!B11="自然人","——",ROUND(C5*F32/(1+'数据-取费表'!C42),2))</f>
        <v>13.01</v>
      </c>
      <c r="D32" s="2213" t="s">
        <v>935</v>
      </c>
      <c r="E32" s="684" t="s">
        <v>927</v>
      </c>
      <c r="F32" s="717">
        <f>'数据-取费表'!B41</f>
        <v>5.6000000000000001E-2</v>
      </c>
      <c r="G32" s="2288"/>
      <c r="H32" s="1283"/>
      <c r="I32" s="1284"/>
      <c r="J32" s="1285"/>
      <c r="K32" s="1286"/>
      <c r="L32" s="1287"/>
      <c r="M32" s="1288"/>
    </row>
    <row r="33" spans="1:18" ht="18" customHeight="1">
      <c r="A33" s="2438" t="s">
        <v>2612</v>
      </c>
      <c r="B33" s="684" t="s">
        <v>937</v>
      </c>
      <c r="C33" s="313">
        <f ca="1">IF(项目基本情况!B11="自然人","——",IF(D33="按租金收入计税",ROUND(C5*F33,2),IF(D33="按房产原值计税",ROUND(C29*F33*0.7,2),INDIRECT("'数据-取费表'!Aj"&amp;$G$1))))</f>
        <v>7.06</v>
      </c>
      <c r="D33" s="1300" t="s">
        <v>2420</v>
      </c>
      <c r="E33" s="684" t="s">
        <v>365</v>
      </c>
      <c r="F33" s="707">
        <f>IF(D33="按票据","——",IF(D33="按租金收入计税",'数据-取费表'!B51,'数据-取费表'!B50))</f>
        <v>1.2E-2</v>
      </c>
      <c r="G33" s="2288"/>
      <c r="H33" s="1289"/>
      <c r="I33" s="2884"/>
      <c r="J33" s="2885"/>
      <c r="K33" s="1290"/>
      <c r="L33" s="1289"/>
      <c r="M33" s="1289"/>
    </row>
    <row r="34" spans="1:18" ht="18" customHeight="1">
      <c r="A34" s="2622" t="s">
        <v>2613</v>
      </c>
      <c r="B34" s="496" t="s">
        <v>972</v>
      </c>
      <c r="C34" s="314">
        <f ca="1">IF(项目基本情况!B11="自然人","——",ROUND(F34*F35/10000,2))</f>
        <v>0</v>
      </c>
      <c r="D34" s="710" t="s">
        <v>973</v>
      </c>
      <c r="E34" s="684" t="s">
        <v>974</v>
      </c>
      <c r="F34" s="711">
        <f>'数据-取费表'!B52</f>
        <v>24</v>
      </c>
      <c r="G34" s="2288"/>
      <c r="H34" s="1277"/>
      <c r="I34" s="2884"/>
      <c r="J34" s="2885"/>
      <c r="K34" s="1291"/>
      <c r="L34" s="1292"/>
      <c r="M34" s="1292"/>
    </row>
    <row r="35" spans="1:18" ht="18" customHeight="1">
      <c r="A35" s="2696"/>
      <c r="B35" s="2694"/>
      <c r="C35" s="318"/>
      <c r="D35" s="713"/>
      <c r="E35" s="684" t="s">
        <v>945</v>
      </c>
      <c r="F35" s="685">
        <f ca="1">INDIRECT("'数据-取费表'!r"&amp;$G$1)</f>
        <v>0</v>
      </c>
      <c r="G35" s="2288"/>
      <c r="H35" s="1277"/>
      <c r="I35" s="2884"/>
      <c r="J35" s="2885"/>
      <c r="K35" s="1290"/>
      <c r="L35" s="1289"/>
      <c r="M35" s="1289"/>
    </row>
    <row r="36" spans="1:18" ht="18" customHeight="1">
      <c r="A36" s="2695" t="s">
        <v>2387</v>
      </c>
      <c r="B36" s="684" t="s">
        <v>947</v>
      </c>
      <c r="C36" s="313">
        <f ca="1">ROUND(C29*F36,1)</f>
        <v>12.6</v>
      </c>
      <c r="D36" s="2213" t="s">
        <v>977</v>
      </c>
      <c r="E36" s="684" t="s">
        <v>978</v>
      </c>
      <c r="F36" s="714">
        <f ca="1">INDIRECT("'数据-取费表'!Ak"&amp;$G$1)</f>
        <v>1.4999999999999999E-2</v>
      </c>
      <c r="G36" s="2288"/>
      <c r="H36" s="1289"/>
      <c r="I36" s="2884"/>
      <c r="J36" s="2885"/>
      <c r="K36" s="1293"/>
      <c r="L36" s="1289"/>
      <c r="M36" s="1289"/>
    </row>
    <row r="37" spans="1:18" ht="18" customHeight="1">
      <c r="A37" s="2438" t="s">
        <v>2617</v>
      </c>
      <c r="B37" s="684" t="s">
        <v>368</v>
      </c>
      <c r="C37" s="313">
        <f ca="1">ROUND(C13*F37,1)</f>
        <v>1.5</v>
      </c>
      <c r="D37" s="2213" t="s">
        <v>369</v>
      </c>
      <c r="E37" s="684" t="s">
        <v>370</v>
      </c>
      <c r="F37" s="716">
        <f ca="1">INDIRECT("'数据-取费表'!Al"&amp;$G$1)</f>
        <v>2E-3</v>
      </c>
      <c r="G37" s="2288"/>
      <c r="H37" s="1289"/>
      <c r="I37" s="2884"/>
      <c r="J37" s="2885"/>
      <c r="K37" s="1293"/>
      <c r="L37" s="1289"/>
      <c r="M37" s="1289"/>
    </row>
    <row r="38" spans="1:18" ht="18" customHeight="1" thickBot="1">
      <c r="A38" s="2678" t="s">
        <v>2618</v>
      </c>
      <c r="B38" s="2679" t="s">
        <v>367</v>
      </c>
      <c r="C38" s="2680">
        <f ca="1">ROUND(C5*F38,1)</f>
        <v>4.9000000000000004</v>
      </c>
      <c r="D38" s="2681" t="s">
        <v>371</v>
      </c>
      <c r="E38" s="2679" t="s">
        <v>370</v>
      </c>
      <c r="F38" s="2675">
        <f ca="1">INDIRECT("'数据-取费表'!Am"&amp;$G$1)</f>
        <v>0.02</v>
      </c>
      <c r="G38" s="2288"/>
      <c r="H38" s="1289"/>
      <c r="I38" s="2884"/>
      <c r="J38" s="2885"/>
      <c r="K38" s="1294"/>
      <c r="L38" s="1289"/>
      <c r="M38" s="1289"/>
    </row>
    <row r="39" spans="1:18" ht="24.6" customHeight="1" thickTop="1">
      <c r="A39" s="2666" t="s">
        <v>2360</v>
      </c>
      <c r="B39" s="2683" t="s">
        <v>377</v>
      </c>
      <c r="C39" s="692">
        <f ca="1">C5-C30</f>
        <v>205</v>
      </c>
      <c r="D39" s="2684" t="s">
        <v>378</v>
      </c>
      <c r="E39" s="2685"/>
      <c r="F39" s="2686"/>
      <c r="G39" s="2288"/>
      <c r="H39" s="1289"/>
      <c r="I39" s="2884"/>
      <c r="J39" s="2885"/>
      <c r="K39" s="1294"/>
      <c r="L39" s="1289"/>
      <c r="M39" s="1289"/>
    </row>
    <row r="40" spans="1:18" ht="18" customHeight="1">
      <c r="A40" s="681" t="s">
        <v>2363</v>
      </c>
      <c r="B40" s="682" t="s">
        <v>379</v>
      </c>
      <c r="C40" s="683">
        <f ca="1">ROUND(C39*(1-((1+F42)/(1+F40))^F41)/(F40-F42),0)</f>
        <v>5543</v>
      </c>
      <c r="D40" s="710" t="s">
        <v>373</v>
      </c>
      <c r="E40" s="684" t="s">
        <v>374</v>
      </c>
      <c r="F40" s="694">
        <f ca="1">INDIRECT("'数据-取费表'!I"&amp;$G$1)</f>
        <v>4.4999999999999998E-2</v>
      </c>
      <c r="G40" s="2288"/>
      <c r="H40" s="1295"/>
      <c r="I40" s="2884"/>
      <c r="J40" s="2885"/>
      <c r="K40" s="1294"/>
      <c r="L40" s="1295"/>
      <c r="M40" s="1295"/>
    </row>
    <row r="41" spans="1:18" ht="18" customHeight="1">
      <c r="A41" s="686"/>
      <c r="B41" s="687"/>
      <c r="C41" s="688"/>
      <c r="D41" s="718" t="s">
        <v>380</v>
      </c>
      <c r="E41" s="684" t="s">
        <v>381</v>
      </c>
      <c r="F41" s="719">
        <f ca="1">IF(INDIRECT("'数据-取费表'!af"&amp;$G$1)=0,INDIRECT("'数据-取费表'!ae"&amp;$G$1),INDIRECT("'数据-取费表'!af"&amp;$G$1))</f>
        <v>35.979999999999997</v>
      </c>
      <c r="G41" s="2288"/>
      <c r="H41" s="1191"/>
      <c r="I41" s="2884"/>
      <c r="J41" s="2885"/>
      <c r="K41" s="1293"/>
      <c r="L41" s="1191"/>
      <c r="M41" s="1191"/>
    </row>
    <row r="42" spans="1:18" ht="18" customHeight="1">
      <c r="A42" s="690"/>
      <c r="B42" s="691"/>
      <c r="C42" s="692"/>
      <c r="D42" s="713"/>
      <c r="E42" s="684" t="s">
        <v>382</v>
      </c>
      <c r="F42" s="694">
        <f ca="1">INDIRECT("'数据-取费表'!v"&amp;$G$1)</f>
        <v>0.03</v>
      </c>
      <c r="G42" s="2288"/>
      <c r="H42" s="1191"/>
      <c r="I42" s="2884"/>
      <c r="J42" s="2885"/>
      <c r="K42" s="1293"/>
      <c r="L42" s="1191"/>
      <c r="M42" s="1191"/>
    </row>
    <row r="43" spans="1:18" ht="18" customHeight="1" thickBot="1">
      <c r="A43" s="720" t="s">
        <v>2370</v>
      </c>
      <c r="B43" s="721" t="s">
        <v>383</v>
      </c>
      <c r="C43" s="722">
        <f ca="1">ROUND(C40*10000/F43,0)</f>
        <v>21907</v>
      </c>
      <c r="D43" s="723" t="s">
        <v>384</v>
      </c>
      <c r="E43" s="724" t="s">
        <v>385</v>
      </c>
      <c r="F43" s="725">
        <f ca="1">INDIRECT("'数据-取费表'!k"&amp;$G$1)</f>
        <v>2530.29</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2493</v>
      </c>
      <c r="P45" s="1295"/>
      <c r="Q45" s="1295"/>
      <c r="R45" s="1295"/>
    </row>
    <row r="46" spans="1:18" s="1454" customFormat="1" ht="21" thickBot="1">
      <c r="A46" s="2396" t="s">
        <v>2332</v>
      </c>
      <c r="B46" s="2397"/>
      <c r="C46" s="2725">
        <f ca="1">C68-C40</f>
        <v>0</v>
      </c>
      <c r="D46" s="2726" t="str">
        <f>C2</f>
        <v>万元</v>
      </c>
      <c r="E46" s="1432"/>
      <c r="F46" s="1432"/>
      <c r="I46" s="2578" t="s">
        <v>2428</v>
      </c>
      <c r="J46" s="2579"/>
      <c r="K46" s="2580"/>
      <c r="L46" s="2582">
        <f ca="1">IF(M47="住宅",0,IF(L48&gt;J51,L60,J60))</f>
        <v>15</v>
      </c>
      <c r="O46" s="2594" t="s">
        <v>2471</v>
      </c>
      <c r="P46" s="2595" t="s">
        <v>2472</v>
      </c>
      <c r="Q46" s="2596" t="s">
        <v>2470</v>
      </c>
      <c r="R46" s="2596" t="s">
        <v>2473</v>
      </c>
    </row>
    <row r="47" spans="1:18" s="1454" customFormat="1" ht="15.75" thickBot="1">
      <c r="A47" s="2398" t="s">
        <v>2334</v>
      </c>
      <c r="B47" s="2434" t="s">
        <v>2335</v>
      </c>
      <c r="C47" s="2730" t="s">
        <v>2336</v>
      </c>
      <c r="D47" s="2434" t="s">
        <v>2337</v>
      </c>
      <c r="E47" s="2537" t="s">
        <v>2338</v>
      </c>
      <c r="F47" s="2538"/>
      <c r="G47" s="1456"/>
      <c r="I47" s="2553" t="s">
        <v>2421</v>
      </c>
      <c r="J47" s="2554" t="s">
        <v>3083</v>
      </c>
      <c r="K47" s="2563" t="s">
        <v>2444</v>
      </c>
      <c r="L47" s="2564">
        <f ca="1">INDIRECT("'数据-取费表'!d"&amp;$G$1)</f>
        <v>50</v>
      </c>
      <c r="M47" s="2584" t="str">
        <f>IF(ISNUMBER(FIND("住宅",C1)),"住宅","非住宅")</f>
        <v>非住宅</v>
      </c>
      <c r="O47" s="2587" t="s">
        <v>2456</v>
      </c>
      <c r="P47" s="2597" t="s">
        <v>2474</v>
      </c>
      <c r="Q47" s="2588">
        <f ca="1">C40+J29</f>
        <v>5543</v>
      </c>
      <c r="R47" s="2588" t="s">
        <v>2475</v>
      </c>
    </row>
    <row r="48" spans="1:18" s="1454" customFormat="1" ht="47.25" thickBot="1">
      <c r="A48" s="2711" t="s">
        <v>2623</v>
      </c>
      <c r="B48" s="682" t="s">
        <v>2339</v>
      </c>
      <c r="C48" s="2721">
        <f ca="1">C49+C53+C55</f>
        <v>244</v>
      </c>
      <c r="D48" s="2715"/>
      <c r="E48" s="2716"/>
      <c r="F48" s="2418"/>
      <c r="G48" s="1456"/>
      <c r="H48" s="1457"/>
      <c r="I48" s="2544" t="s">
        <v>2422</v>
      </c>
      <c r="J48" s="2555" t="s">
        <v>2423</v>
      </c>
      <c r="K48" s="2565" t="s">
        <v>2445</v>
      </c>
      <c r="L48" s="2168">
        <f ca="1">INDIRECT("'数据-取费表'!f"&amp;$G$1)</f>
        <v>35.979999999999997</v>
      </c>
      <c r="O48" s="2587" t="s">
        <v>2457</v>
      </c>
      <c r="P48" s="2597" t="s">
        <v>2476</v>
      </c>
      <c r="Q48" s="2588">
        <f ca="1">J60</f>
        <v>15</v>
      </c>
      <c r="R48" s="2588" t="s">
        <v>2484</v>
      </c>
    </row>
    <row r="49" spans="1:18" s="1454" customFormat="1" ht="15.75" thickBot="1">
      <c r="A49" s="2431" t="s">
        <v>2624</v>
      </c>
      <c r="B49" s="2714" t="s">
        <v>2626</v>
      </c>
      <c r="C49" s="2723">
        <f ca="1">ROUND(F49*F51*F50*(1-F52)/10000,0)</f>
        <v>244</v>
      </c>
      <c r="D49" s="2533" t="s">
        <v>2340</v>
      </c>
      <c r="E49" s="2536" t="s">
        <v>2333</v>
      </c>
      <c r="F49" s="2539">
        <f ca="1">F6</f>
        <v>3</v>
      </c>
      <c r="G49" s="1458"/>
      <c r="H49" s="1457"/>
      <c r="I49" s="2544" t="s">
        <v>2442</v>
      </c>
      <c r="J49" s="2556">
        <v>2011</v>
      </c>
      <c r="K49" s="2566" t="s">
        <v>2447</v>
      </c>
      <c r="L49" s="2567"/>
      <c r="O49" s="2589" t="s">
        <v>2458</v>
      </c>
      <c r="P49" s="2597" t="s">
        <v>2477</v>
      </c>
      <c r="Q49" s="2588">
        <f ca="1">C29</f>
        <v>840</v>
      </c>
      <c r="R49" s="2588" t="s">
        <v>2475</v>
      </c>
    </row>
    <row r="50" spans="1:18" s="1454" customFormat="1" ht="15.75" thickBot="1">
      <c r="A50" s="2432"/>
      <c r="B50" s="2435"/>
      <c r="C50" s="2731"/>
      <c r="D50" s="2405"/>
      <c r="E50" s="2534" t="s">
        <v>2341</v>
      </c>
      <c r="F50" s="2535">
        <f ca="1">F7</f>
        <v>2530.29</v>
      </c>
      <c r="H50" s="1457"/>
      <c r="I50" s="2544" t="s">
        <v>2424</v>
      </c>
      <c r="J50" s="2557">
        <f>SUMPRODUCT((I63:I65=J47)*(J62:L62=J48)*(J63:L65))</f>
        <v>60</v>
      </c>
      <c r="K50" s="2566" t="s">
        <v>2448</v>
      </c>
      <c r="L50" s="2567"/>
      <c r="M50" s="2561"/>
      <c r="O50" s="2589" t="s">
        <v>2459</v>
      </c>
      <c r="P50" s="2597" t="s">
        <v>2485</v>
      </c>
      <c r="Q50" s="2590">
        <f ca="1">J58</f>
        <v>0.4</v>
      </c>
      <c r="R50" s="2588"/>
    </row>
    <row r="51" spans="1:18" s="1454" customFormat="1" ht="15.75" thickBot="1">
      <c r="A51" s="2433"/>
      <c r="B51" s="2435"/>
      <c r="C51" s="2436"/>
      <c r="D51" s="2405"/>
      <c r="E51" s="2437" t="s">
        <v>2342</v>
      </c>
      <c r="F51" s="685">
        <f ca="1">F8</f>
        <v>365</v>
      </c>
      <c r="I51" s="2558" t="s">
        <v>2429</v>
      </c>
      <c r="J51" s="2559">
        <f>IF(J49="",J50,J49+J50-YEAR('数据-取费表'!B2))</f>
        <v>54</v>
      </c>
      <c r="K51" s="2568" t="s">
        <v>2449</v>
      </c>
      <c r="L51" s="2581">
        <f ca="1">ROUND(-PV(INDIRECT("'数据-取费表'!h"&amp;$G$1),L48,(C39-C13*C76),0),0)</f>
        <v>2660</v>
      </c>
      <c r="M51" s="2562"/>
      <c r="O51" s="2589" t="s">
        <v>2460</v>
      </c>
      <c r="P51" s="2597" t="s">
        <v>2486</v>
      </c>
      <c r="Q51" s="2590">
        <f>J52</f>
        <v>0.09</v>
      </c>
      <c r="R51" s="2588"/>
    </row>
    <row r="52" spans="1:18" s="1454" customFormat="1" ht="15.75" thickBot="1">
      <c r="A52" s="2433"/>
      <c r="B52" s="2435"/>
      <c r="C52" s="2436"/>
      <c r="D52" s="2405"/>
      <c r="E52" s="2437" t="s">
        <v>2343</v>
      </c>
      <c r="F52" s="2532">
        <f ca="1">F9</f>
        <v>0.12</v>
      </c>
      <c r="I52" s="2560" t="s">
        <v>2452</v>
      </c>
      <c r="J52" s="2574">
        <v>0.09</v>
      </c>
      <c r="K52" s="2560" t="s">
        <v>2437</v>
      </c>
      <c r="L52" s="2574"/>
      <c r="M52" s="2397"/>
      <c r="O52" s="2589" t="s">
        <v>2461</v>
      </c>
      <c r="P52" s="2597" t="s">
        <v>2478</v>
      </c>
      <c r="Q52" s="2588">
        <f ca="1">J53</f>
        <v>35.979999999999997</v>
      </c>
      <c r="R52" s="2588" t="s">
        <v>2479</v>
      </c>
    </row>
    <row r="53" spans="1:18" s="1454" customFormat="1" ht="43.5" thickBot="1">
      <c r="A53" s="2829" t="s">
        <v>2625</v>
      </c>
      <c r="B53" s="433" t="s">
        <v>2535</v>
      </c>
      <c r="C53" s="698">
        <f ca="1">ROUND(IF(F53="押一",F49*F51*F50/12*F11,IF(F53="押二",F49*F51*F50/12*2*F11,IF(F53="押三",F49*F51*F50/12*3*F11,C54*F11)))/10000,0)</f>
        <v>0</v>
      </c>
      <c r="D53" s="2634" t="s">
        <v>2543</v>
      </c>
      <c r="E53" s="2097" t="s">
        <v>2537</v>
      </c>
      <c r="F53" s="2831" t="s">
        <v>3099</v>
      </c>
      <c r="I53" s="2570" t="s">
        <v>2454</v>
      </c>
      <c r="J53" s="2571">
        <f ca="1">IF(M47="住宅",J51,MIN(J51,L48))</f>
        <v>35.979999999999997</v>
      </c>
      <c r="K53" s="3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0"/>
      <c r="O53" s="2587" t="s">
        <v>2462</v>
      </c>
      <c r="P53" s="2597" t="s">
        <v>2480</v>
      </c>
      <c r="Q53" s="2588">
        <f ca="1">Q47+Q48</f>
        <v>5558</v>
      </c>
      <c r="R53" s="2588" t="s">
        <v>2463</v>
      </c>
    </row>
    <row r="54" spans="1:18" s="1454" customFormat="1" ht="16.5" thickBot="1">
      <c r="A54" s="2830"/>
      <c r="B54" s="2624" t="s">
        <v>2702</v>
      </c>
      <c r="C54" s="2415"/>
      <c r="D54" s="2634"/>
      <c r="E54" s="2778"/>
      <c r="F54" s="2540"/>
      <c r="I54" s="2412"/>
      <c r="J54" s="2569"/>
      <c r="K54" s="2569"/>
      <c r="L54" s="2569"/>
      <c r="M54" s="1458"/>
      <c r="O54" s="2591" t="s">
        <v>2487</v>
      </c>
      <c r="P54" s="1295"/>
      <c r="Q54" s="1295"/>
      <c r="R54" s="1295"/>
    </row>
    <row r="55" spans="1:18" s="1454" customFormat="1" ht="15.75" thickBot="1">
      <c r="A55" s="2670" t="s">
        <v>2548</v>
      </c>
      <c r="B55" s="2671" t="s">
        <v>2536</v>
      </c>
      <c r="C55" s="2672"/>
      <c r="D55" s="2634"/>
      <c r="E55" s="2710"/>
      <c r="F55" s="2540"/>
      <c r="I55" s="3323" t="s">
        <v>2430</v>
      </c>
      <c r="J55" s="3322">
        <f ca="1">ROUND(IF(J47="钢混",J57/J50,1-(1-2%)*(J50-J57)/J50),3)</f>
        <v>0.3</v>
      </c>
      <c r="K55" s="2551" t="s">
        <v>2431</v>
      </c>
      <c r="L55" s="2573"/>
      <c r="O55" s="2594" t="s">
        <v>2471</v>
      </c>
      <c r="P55" s="2595" t="s">
        <v>2472</v>
      </c>
      <c r="Q55" s="2596" t="s">
        <v>2470</v>
      </c>
      <c r="R55" s="2596" t="s">
        <v>2473</v>
      </c>
    </row>
    <row r="56" spans="1:18" s="1454" customFormat="1" ht="44.25" thickTop="1" thickBot="1">
      <c r="A56" s="2409">
        <v>2</v>
      </c>
      <c r="B56" s="2410" t="s">
        <v>2344</v>
      </c>
      <c r="C56" s="608">
        <f ca="1">C13</f>
        <v>756</v>
      </c>
      <c r="D56" s="2698"/>
      <c r="E56" s="2411"/>
      <c r="F56" s="2540"/>
      <c r="I56" s="2543" t="s">
        <v>2432</v>
      </c>
      <c r="J56" s="2572" t="s">
        <v>41</v>
      </c>
      <c r="K56" s="2544" t="s">
        <v>2436</v>
      </c>
      <c r="L56" s="2168" t="str">
        <f ca="1">IF(L48&lt;J51,"——",L48-J51)</f>
        <v>——</v>
      </c>
      <c r="O56" s="2587" t="s">
        <v>2456</v>
      </c>
      <c r="P56" s="2597" t="s">
        <v>2474</v>
      </c>
      <c r="Q56" s="2588">
        <f ca="1">C40+J29</f>
        <v>5543</v>
      </c>
      <c r="R56" s="2588" t="s">
        <v>2475</v>
      </c>
    </row>
    <row r="57" spans="1:18" s="1454" customFormat="1" ht="29.25" thickBot="1">
      <c r="A57" s="2541"/>
      <c r="B57" s="2402" t="s">
        <v>2374</v>
      </c>
      <c r="C57" s="614">
        <f ca="1">C29</f>
        <v>840</v>
      </c>
      <c r="D57" s="2413"/>
      <c r="E57" s="2414"/>
      <c r="F57" s="2542"/>
      <c r="I57" s="2545" t="s">
        <v>2453</v>
      </c>
      <c r="J57" s="2549">
        <f ca="1">IF(OR(M47="住宅",J51&lt;L48,J56="是"),"——",J51-L48)</f>
        <v>18.020000000000003</v>
      </c>
      <c r="K57" s="2544" t="s">
        <v>2906</v>
      </c>
      <c r="L57" s="2168" t="str">
        <f ca="1">IF(L48&lt;J51,"——",IF(L55="比较法",L49,IF(L55="基准地价",L50,L51)))</f>
        <v>——</v>
      </c>
      <c r="O57" s="2587" t="s">
        <v>2457</v>
      </c>
      <c r="P57" s="2597" t="s">
        <v>2481</v>
      </c>
      <c r="Q57" s="2588">
        <f ca="1">L60</f>
        <v>0</v>
      </c>
      <c r="R57" s="2588" t="s">
        <v>2496</v>
      </c>
    </row>
    <row r="58" spans="1:18" s="1454" customFormat="1" ht="29.25" thickBot="1">
      <c r="A58" s="697" t="s">
        <v>2345</v>
      </c>
      <c r="B58" s="2410" t="s">
        <v>2375</v>
      </c>
      <c r="C58" s="698">
        <f ca="1">ROUND(C59+C64+C65+C66,0)</f>
        <v>39</v>
      </c>
      <c r="D58" s="2416" t="s">
        <v>2376</v>
      </c>
      <c r="E58" s="2417"/>
      <c r="F58" s="2418"/>
      <c r="I58" s="2545" t="s">
        <v>2433</v>
      </c>
      <c r="J58" s="3324">
        <f ca="1">IF(J55&lt;0.4,0.4,J55)</f>
        <v>0.4</v>
      </c>
      <c r="K58" s="2568" t="s">
        <v>2907</v>
      </c>
      <c r="L58" s="2168">
        <f ca="1">IF(ISERROR(POWER(1+L52,L47-L48)*(POWER(1+L52,L48)-1)/(POWER(1+L52,L47)-1)),0,POWER(1+L52,L47-L48)*(POWER(1+L52,L48)-1)/(POWER(1+L52,L47)-1))</f>
        <v>0</v>
      </c>
      <c r="O58" s="2589" t="s">
        <v>2458</v>
      </c>
      <c r="P58" s="2597" t="s">
        <v>2488</v>
      </c>
      <c r="Q58" s="2588">
        <f>IF(L55="比较法",L49,IF(L55="基准地价",L50,0))</f>
        <v>0</v>
      </c>
      <c r="R58" s="2588" t="s">
        <v>2475</v>
      </c>
    </row>
    <row r="59" spans="1:18" s="1454" customFormat="1" ht="29.25" thickBot="1">
      <c r="A59" s="2438" t="s">
        <v>2380</v>
      </c>
      <c r="B59" s="2402" t="s">
        <v>363</v>
      </c>
      <c r="C59" s="313">
        <f ca="1">ROUND(IF(项目基本情况!B11="自然人",C48*F59,C60+C61+C62),1)</f>
        <v>20.100000000000001</v>
      </c>
      <c r="D59" s="2419" t="s">
        <v>2346</v>
      </c>
      <c r="E59" s="2420" t="s">
        <v>2347</v>
      </c>
      <c r="F59" s="708" t="str">
        <f ca="1">IF(项目基本情况!B11="企业","",IF(INDIRECT("'数据-取费表'!c"&amp;$G$1)="住宅",5%,IF(F49*F50*F51/12/(1+'数据-取费表'!C42)&gt;20000,12%,7%)))</f>
        <v/>
      </c>
      <c r="I59" s="2545" t="s">
        <v>2434</v>
      </c>
      <c r="J59" s="2549">
        <f ca="1">IF(OR(M47="住宅",J51&lt;L48,J56="是"),"——",ROUND(C29*J58,0))</f>
        <v>336</v>
      </c>
      <c r="K59" s="2568" t="s">
        <v>2908</v>
      </c>
      <c r="L59" s="2168">
        <f ca="1">IF(ISERROR(POWER(1+L52,L47-J51)*(POWER(1+L52,J51)-1)/(POWER(1+L52,L47)-1)),0,POWER(1+L52,L47-J51)*(POWER(1+L52,J51)-1)/(POWER(1+L52,L47)-1))</f>
        <v>0</v>
      </c>
      <c r="O59" s="2589" t="s">
        <v>2459</v>
      </c>
      <c r="P59" s="2597" t="s">
        <v>2489</v>
      </c>
      <c r="Q59" s="2590">
        <f>L52</f>
        <v>0</v>
      </c>
      <c r="R59" s="2588"/>
    </row>
    <row r="60" spans="1:18" s="1454" customFormat="1" ht="20.25" thickBot="1">
      <c r="A60" s="2438" t="s">
        <v>2377</v>
      </c>
      <c r="B60" s="2402" t="s">
        <v>2348</v>
      </c>
      <c r="C60" s="313">
        <f ca="1">IF(项目基本情况!B11="自然人","——",ROUND(C48*F60/(1+'数据-取费表'!C42),2))</f>
        <v>13.01</v>
      </c>
      <c r="D60" s="2420" t="s">
        <v>2349</v>
      </c>
      <c r="E60" s="2402" t="s">
        <v>2350</v>
      </c>
      <c r="F60" s="717">
        <f t="shared" ref="F60:F66" si="0">F32</f>
        <v>5.6000000000000001E-2</v>
      </c>
      <c r="I60" s="2546" t="s">
        <v>2435</v>
      </c>
      <c r="J60" s="2550">
        <f ca="1">IF(OR(M47="住宅",J51&lt;L48,J56="是"),"0",ROUND(J59/(1+J52)^J53,0))</f>
        <v>15</v>
      </c>
      <c r="K60" s="2552" t="s">
        <v>2438</v>
      </c>
      <c r="L60" s="2550">
        <f ca="1">IF(OR(M47="住宅",L48&lt;J51),0,ROUND(L57*(L58/L59-1),0))</f>
        <v>0</v>
      </c>
      <c r="O60" s="2589" t="s">
        <v>2460</v>
      </c>
      <c r="P60" s="2597" t="s">
        <v>2490</v>
      </c>
      <c r="Q60" s="2588">
        <f ca="1">L58</f>
        <v>0</v>
      </c>
      <c r="R60" s="2588" t="s">
        <v>2465</v>
      </c>
    </row>
    <row r="61" spans="1:18" s="1454" customFormat="1" ht="20.25" thickBot="1">
      <c r="A61" s="2438" t="s">
        <v>2378</v>
      </c>
      <c r="B61" s="2402" t="s">
        <v>2351</v>
      </c>
      <c r="C61" s="313">
        <f ca="1">IF(项目基本情况!B11="自然人","——",IF(D61="按租金收入计税",ROUND(C48*F61,2),IF(D61="按房产原值计税",ROUND(C57*F61*0.7,2),INDIRECT("'数据-取费表'!Aj"&amp;$G$1))))</f>
        <v>7.06</v>
      </c>
      <c r="D61" s="1300" t="s">
        <v>2420</v>
      </c>
      <c r="E61" s="2402" t="s">
        <v>2350</v>
      </c>
      <c r="F61" s="707">
        <f t="shared" si="0"/>
        <v>1.2E-2</v>
      </c>
      <c r="I61" s="2412"/>
      <c r="J61" s="2412"/>
      <c r="K61" s="2412"/>
      <c r="L61" s="2412"/>
      <c r="O61" s="2589" t="s">
        <v>2461</v>
      </c>
      <c r="P61" s="2597" t="s">
        <v>2491</v>
      </c>
      <c r="Q61" s="2588">
        <f ca="1">L59</f>
        <v>0</v>
      </c>
      <c r="R61" s="2588" t="s">
        <v>2466</v>
      </c>
    </row>
    <row r="62" spans="1:18" s="1454" customFormat="1" ht="15.75" thickBot="1">
      <c r="A62" s="2438" t="s">
        <v>2379</v>
      </c>
      <c r="B62" s="2401" t="s">
        <v>2352</v>
      </c>
      <c r="C62" s="314">
        <f ca="1">IF(项目基本情况!B11="自然人","——",ROUND(F62*F63/10000,2))</f>
        <v>0</v>
      </c>
      <c r="D62" s="2421" t="s">
        <v>2353</v>
      </c>
      <c r="E62" s="2402" t="s">
        <v>2354</v>
      </c>
      <c r="F62" s="711">
        <f t="shared" si="0"/>
        <v>24</v>
      </c>
      <c r="I62" s="2547" t="s">
        <v>2425</v>
      </c>
      <c r="J62" s="2548" t="s">
        <v>2426</v>
      </c>
      <c r="K62" s="2548" t="s">
        <v>2427</v>
      </c>
      <c r="L62" s="2548" t="s">
        <v>2423</v>
      </c>
      <c r="M62" s="3325" t="s">
        <v>3042</v>
      </c>
      <c r="O62" s="2587" t="s">
        <v>2462</v>
      </c>
      <c r="P62" s="2597" t="s">
        <v>2480</v>
      </c>
      <c r="Q62" s="2588">
        <f ca="1">Q56+Q57</f>
        <v>5543</v>
      </c>
      <c r="R62" s="2588" t="s">
        <v>2463</v>
      </c>
    </row>
    <row r="63" spans="1:18" s="1454" customFormat="1" ht="16.5" thickBot="1">
      <c r="A63" s="712"/>
      <c r="B63" s="2408"/>
      <c r="C63" s="318"/>
      <c r="D63" s="2422"/>
      <c r="E63" s="2402" t="s">
        <v>2355</v>
      </c>
      <c r="F63" s="685">
        <f t="shared" ca="1" si="0"/>
        <v>0</v>
      </c>
      <c r="I63" s="2547" t="s">
        <v>2439</v>
      </c>
      <c r="J63" s="3328">
        <v>70</v>
      </c>
      <c r="K63" s="3328">
        <v>50</v>
      </c>
      <c r="L63" s="3328">
        <v>80</v>
      </c>
      <c r="M63" s="3326">
        <v>0.02</v>
      </c>
      <c r="O63" s="2591" t="s">
        <v>2494</v>
      </c>
      <c r="P63" s="1295"/>
      <c r="Q63" s="1295"/>
      <c r="R63" s="1295"/>
    </row>
    <row r="64" spans="1:18" s="1454" customFormat="1" ht="15.75" thickBot="1">
      <c r="A64" s="2438" t="s">
        <v>2387</v>
      </c>
      <c r="B64" s="2402" t="s">
        <v>2356</v>
      </c>
      <c r="C64" s="313">
        <f ca="1">ROUND(C57*F64,1)</f>
        <v>12.6</v>
      </c>
      <c r="D64" s="2420" t="s">
        <v>2357</v>
      </c>
      <c r="E64" s="2402" t="s">
        <v>2350</v>
      </c>
      <c r="F64" s="714">
        <f t="shared" ca="1" si="0"/>
        <v>1.4999999999999999E-2</v>
      </c>
      <c r="I64" s="2547" t="s">
        <v>2440</v>
      </c>
      <c r="J64" s="3328">
        <v>50</v>
      </c>
      <c r="K64" s="3328">
        <v>35</v>
      </c>
      <c r="L64" s="3328">
        <v>60</v>
      </c>
      <c r="M64" s="3327">
        <v>0</v>
      </c>
      <c r="O64" s="2594" t="s">
        <v>2471</v>
      </c>
      <c r="P64" s="2595" t="s">
        <v>2472</v>
      </c>
      <c r="Q64" s="2596" t="s">
        <v>2470</v>
      </c>
      <c r="R64" s="2596" t="s">
        <v>2473</v>
      </c>
    </row>
    <row r="65" spans="1:18" s="1454" customFormat="1" ht="15.75" thickBot="1">
      <c r="A65" s="2438" t="s">
        <v>2381</v>
      </c>
      <c r="B65" s="2402" t="s">
        <v>368</v>
      </c>
      <c r="C65" s="313">
        <f ca="1">ROUND(C56*F65,1)</f>
        <v>1.5</v>
      </c>
      <c r="D65" s="2420" t="s">
        <v>2358</v>
      </c>
      <c r="E65" s="2402" t="s">
        <v>2350</v>
      </c>
      <c r="F65" s="716">
        <f t="shared" ca="1" si="0"/>
        <v>2E-3</v>
      </c>
      <c r="I65" s="2547" t="s">
        <v>2441</v>
      </c>
      <c r="J65" s="3328">
        <v>40</v>
      </c>
      <c r="K65" s="3328">
        <v>30</v>
      </c>
      <c r="L65" s="3328">
        <v>50</v>
      </c>
      <c r="M65" s="3326">
        <v>0.02</v>
      </c>
      <c r="O65" s="2587" t="s">
        <v>2456</v>
      </c>
      <c r="P65" s="2597" t="s">
        <v>2474</v>
      </c>
      <c r="Q65" s="2588">
        <f ca="1">C40+J29</f>
        <v>5543</v>
      </c>
      <c r="R65" s="2588" t="s">
        <v>2475</v>
      </c>
    </row>
    <row r="66" spans="1:18" s="1454" customFormat="1" ht="20.25" thickBot="1">
      <c r="A66" s="2438" t="s">
        <v>2382</v>
      </c>
      <c r="B66" s="2402" t="s">
        <v>367</v>
      </c>
      <c r="C66" s="313">
        <f ca="1">ROUND(C48*F66,1)</f>
        <v>4.9000000000000004</v>
      </c>
      <c r="D66" s="2420" t="s">
        <v>2359</v>
      </c>
      <c r="E66" s="2402" t="s">
        <v>2350</v>
      </c>
      <c r="F66" s="694">
        <f t="shared" ca="1" si="0"/>
        <v>0.02</v>
      </c>
      <c r="O66" s="2587" t="s">
        <v>2457</v>
      </c>
      <c r="P66" s="2597" t="s">
        <v>2481</v>
      </c>
      <c r="Q66" s="2588">
        <f ca="1">L60</f>
        <v>0</v>
      </c>
      <c r="R66" s="2588" t="s">
        <v>2464</v>
      </c>
    </row>
    <row r="67" spans="1:18" s="1454" customFormat="1" ht="24.75" thickBot="1">
      <c r="A67" s="2409" t="s">
        <v>2360</v>
      </c>
      <c r="B67" s="2423" t="s">
        <v>2361</v>
      </c>
      <c r="C67" s="698">
        <f ca="1">C48-C58</f>
        <v>205</v>
      </c>
      <c r="D67" s="2419" t="s">
        <v>2362</v>
      </c>
      <c r="E67" s="2424"/>
      <c r="F67" s="2425"/>
      <c r="O67" s="2589" t="s">
        <v>2458</v>
      </c>
      <c r="P67" s="2597" t="s">
        <v>2488</v>
      </c>
      <c r="Q67" s="2592">
        <f ca="1">L51</f>
        <v>2660</v>
      </c>
      <c r="R67" s="2593" t="s">
        <v>2498</v>
      </c>
    </row>
    <row r="68" spans="1:18" s="1454" customFormat="1" ht="20.25" thickBot="1">
      <c r="A68" s="2399" t="s">
        <v>2363</v>
      </c>
      <c r="B68" s="2400" t="s">
        <v>2364</v>
      </c>
      <c r="C68" s="683">
        <f ca="1">ROUND(C67*(1-((1+F70)/(1+F68))^F69)/(F68-F70),0)</f>
        <v>5543</v>
      </c>
      <c r="D68" s="2421" t="s">
        <v>2365</v>
      </c>
      <c r="E68" s="2402" t="s">
        <v>2366</v>
      </c>
      <c r="F68" s="694">
        <f ca="1">F40</f>
        <v>4.4999999999999998E-2</v>
      </c>
      <c r="O68" s="2589" t="s">
        <v>2459</v>
      </c>
      <c r="P68" s="2598" t="s">
        <v>2492</v>
      </c>
      <c r="Q68" s="2588">
        <f ca="1">ROUND(Q69-Q70*Q71,0)</f>
        <v>141</v>
      </c>
      <c r="R68" s="2588" t="s">
        <v>2497</v>
      </c>
    </row>
    <row r="69" spans="1:18" s="1454" customFormat="1" ht="15.75" thickBot="1">
      <c r="A69" s="2403"/>
      <c r="B69" s="2404"/>
      <c r="C69" s="688"/>
      <c r="D69" s="2426" t="s">
        <v>2367</v>
      </c>
      <c r="E69" s="2402" t="s">
        <v>2368</v>
      </c>
      <c r="F69" s="719">
        <f ca="1">F41</f>
        <v>35.979999999999997</v>
      </c>
      <c r="O69" s="2589" t="s">
        <v>2467</v>
      </c>
      <c r="P69" s="2598" t="s">
        <v>2482</v>
      </c>
      <c r="Q69" s="2588">
        <f ca="1">C39</f>
        <v>205</v>
      </c>
      <c r="R69" s="2588" t="s">
        <v>2475</v>
      </c>
    </row>
    <row r="70" spans="1:18" s="1454" customFormat="1" ht="15.75" thickBot="1">
      <c r="A70" s="2406"/>
      <c r="B70" s="2407"/>
      <c r="C70" s="692"/>
      <c r="D70" s="2422"/>
      <c r="E70" s="2402" t="s">
        <v>2369</v>
      </c>
      <c r="F70" s="2532">
        <f ca="1">F42</f>
        <v>0.03</v>
      </c>
      <c r="O70" s="2589" t="s">
        <v>2468</v>
      </c>
      <c r="P70" s="2598" t="s">
        <v>2483</v>
      </c>
      <c r="Q70" s="2588">
        <f ca="1">C13</f>
        <v>756</v>
      </c>
      <c r="R70" s="2588" t="s">
        <v>2475</v>
      </c>
    </row>
    <row r="71" spans="1:18" s="1454" customFormat="1" ht="15.75" thickBot="1">
      <c r="A71" s="2427" t="s">
        <v>2370</v>
      </c>
      <c r="B71" s="2428" t="s">
        <v>2371</v>
      </c>
      <c r="C71" s="722">
        <f ca="1">ROUND(C68*10000/F71,0)</f>
        <v>21907</v>
      </c>
      <c r="D71" s="2429" t="s">
        <v>2372</v>
      </c>
      <c r="E71" s="2430" t="s">
        <v>2373</v>
      </c>
      <c r="F71" s="725">
        <f ca="1">F43</f>
        <v>2530.29</v>
      </c>
      <c r="I71" s="2397"/>
      <c r="K71" s="2397"/>
      <c r="O71" s="2589" t="s">
        <v>2469</v>
      </c>
      <c r="P71" s="2598" t="s">
        <v>2495</v>
      </c>
      <c r="Q71" s="2590">
        <f ca="1">C76</f>
        <v>8.5000000000000006E-2</v>
      </c>
      <c r="R71" s="2588"/>
    </row>
    <row r="72" spans="1:18" s="1454" customFormat="1" ht="15.75" thickBot="1">
      <c r="B72" s="1459"/>
      <c r="C72" s="1459"/>
      <c r="I72" s="2397"/>
      <c r="O72" s="2589" t="s">
        <v>2460</v>
      </c>
      <c r="P72" s="2597" t="s">
        <v>2489</v>
      </c>
      <c r="Q72" s="2590">
        <f>L52</f>
        <v>0</v>
      </c>
      <c r="R72" s="2588"/>
    </row>
    <row r="73" spans="1:18" ht="20.25" thickBot="1">
      <c r="A73" s="1454"/>
      <c r="B73" s="1459"/>
      <c r="C73" s="1459"/>
      <c r="D73" s="1454"/>
      <c r="E73" s="1454"/>
      <c r="F73" s="1454"/>
      <c r="I73" s="2583"/>
      <c r="O73" s="2589" t="s">
        <v>2461</v>
      </c>
      <c r="P73" s="2597" t="s">
        <v>2490</v>
      </c>
      <c r="Q73" s="2588">
        <f ca="1">L58</f>
        <v>0</v>
      </c>
      <c r="R73" s="2588" t="s">
        <v>2465</v>
      </c>
    </row>
    <row r="74" spans="1:18" ht="20.25" thickBot="1">
      <c r="A74" s="1454"/>
      <c r="B74" s="727" t="s">
        <v>386</v>
      </c>
      <c r="C74" s="728"/>
      <c r="D74" s="1454"/>
      <c r="E74" s="1454"/>
      <c r="F74" s="1454"/>
      <c r="O74" s="2589" t="s">
        <v>2499</v>
      </c>
      <c r="P74" s="2597" t="s">
        <v>2491</v>
      </c>
      <c r="Q74" s="2588">
        <f ca="1">L59</f>
        <v>0</v>
      </c>
      <c r="R74" s="2588" t="s">
        <v>2466</v>
      </c>
    </row>
    <row r="75" spans="1:18" ht="15.75" thickBot="1">
      <c r="A75" s="1454"/>
      <c r="B75" s="729" t="s">
        <v>975</v>
      </c>
      <c r="C75" s="730">
        <f ca="1">ROUND(C13*C76,0)</f>
        <v>64</v>
      </c>
      <c r="D75" s="1454"/>
      <c r="E75" s="1454"/>
      <c r="F75" s="1454"/>
      <c r="K75" s="1455"/>
      <c r="L75" s="1454"/>
      <c r="O75" s="2587" t="s">
        <v>2462</v>
      </c>
      <c r="P75" s="2597" t="s">
        <v>2480</v>
      </c>
      <c r="Q75" s="2588">
        <f ca="1">Q65+Q66</f>
        <v>5543</v>
      </c>
      <c r="R75" s="2588" t="s">
        <v>2463</v>
      </c>
    </row>
    <row r="76" spans="1:18">
      <c r="B76" s="731" t="s">
        <v>976</v>
      </c>
      <c r="C76" s="732">
        <f ca="1">INDIRECT("'数据-取费表'!j"&amp;$G$1)</f>
        <v>8.5000000000000006E-2</v>
      </c>
      <c r="I76" s="1454"/>
      <c r="J76" s="1454"/>
      <c r="K76" s="1455"/>
      <c r="L76" s="1454"/>
    </row>
    <row r="77" spans="1:18">
      <c r="B77" s="733" t="s">
        <v>979</v>
      </c>
      <c r="C77" s="734"/>
      <c r="I77" s="1454"/>
      <c r="J77" s="1454"/>
      <c r="K77" s="1455"/>
      <c r="L77" s="1454"/>
    </row>
    <row r="78" spans="1:18">
      <c r="B78" s="646" t="s">
        <v>2703</v>
      </c>
      <c r="C78" s="735"/>
    </row>
    <row r="79" spans="1:18">
      <c r="B79" s="2876" t="s">
        <v>2707</v>
      </c>
      <c r="C79" s="650">
        <f ca="1">1-C80</f>
        <v>0.68799999999999994</v>
      </c>
    </row>
    <row r="80" spans="1:18">
      <c r="B80" s="2876" t="s">
        <v>2706</v>
      </c>
      <c r="C80" s="650">
        <f ca="1">ROUND(C75/C39,3)</f>
        <v>0.312</v>
      </c>
    </row>
    <row r="81" spans="2:3">
      <c r="B81" s="646" t="s">
        <v>387</v>
      </c>
      <c r="C81" s="647"/>
    </row>
    <row r="82" spans="2:3">
      <c r="B82" s="2875" t="s">
        <v>2705</v>
      </c>
      <c r="C82" s="651">
        <f ca="1">1-C83</f>
        <v>0.86399999999999999</v>
      </c>
    </row>
    <row r="83" spans="2:3">
      <c r="B83" s="2875" t="s">
        <v>2704</v>
      </c>
      <c r="C83" s="650">
        <f ca="1">ROUND(C13/C40,3)</f>
        <v>0.13600000000000001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2678</v>
      </c>
      <c r="B1" s="2784"/>
      <c r="C1" s="2784"/>
      <c r="D1" s="2784"/>
      <c r="E1" s="2785"/>
    </row>
    <row r="2" spans="1:5" ht="14.25">
      <c r="A2" s="2786" t="s">
        <v>2679</v>
      </c>
      <c r="B2" s="2780">
        <f ca="1">SUMIF(B6:B13,"&lt;&gt;#ref!",B6:B13)</f>
        <v>5761</v>
      </c>
      <c r="C2" s="2781" t="s">
        <v>2676</v>
      </c>
      <c r="D2" s="2782" t="s">
        <v>2681</v>
      </c>
      <c r="E2" s="2790">
        <f>SUM(E6:E13)</f>
        <v>2579.75</v>
      </c>
    </row>
    <row r="3" spans="1:5" ht="14.25">
      <c r="A3" s="2786" t="s">
        <v>2680</v>
      </c>
      <c r="B3" s="2780">
        <f ca="1">ROUND(B2*10000/E2,0)</f>
        <v>22332</v>
      </c>
      <c r="C3" s="2781" t="s">
        <v>2677</v>
      </c>
      <c r="D3" s="2787"/>
      <c r="E3" s="2791"/>
    </row>
    <row r="4" spans="1:5" ht="14.25">
      <c r="A4" s="2794"/>
      <c r="B4" s="2787"/>
      <c r="C4" s="2787"/>
      <c r="D4" s="2787"/>
      <c r="E4" s="2791"/>
    </row>
    <row r="5" spans="1:5">
      <c r="A5" s="2798" t="s">
        <v>2683</v>
      </c>
      <c r="B5" s="3627" t="s">
        <v>2685</v>
      </c>
      <c r="C5" s="3627"/>
      <c r="D5" s="2797"/>
      <c r="E5" s="2799" t="s">
        <v>2684</v>
      </c>
    </row>
    <row r="6" spans="1:5">
      <c r="A6" s="2795" t="str">
        <f>'数据-取费表'!AN6</f>
        <v>收益法 (元)</v>
      </c>
      <c r="B6" s="2789">
        <f ca="1">'数据-取费表'!AO6</f>
        <v>203</v>
      </c>
      <c r="C6" s="2781" t="s">
        <v>2676</v>
      </c>
      <c r="D6" s="2787"/>
      <c r="E6" s="2790">
        <f>IF(A6=0,0,'数据-取费表'!K6+'数据-取费表'!S6)</f>
        <v>49.46</v>
      </c>
    </row>
    <row r="7" spans="1:5">
      <c r="A7" s="2795" t="str">
        <f>'数据-取费表'!AN7</f>
        <v>收益法仓储</v>
      </c>
      <c r="B7" s="2789">
        <f ca="1">'数据-取费表'!AO7</f>
        <v>5558</v>
      </c>
      <c r="C7" s="2781" t="s">
        <v>2676</v>
      </c>
      <c r="D7" s="2787"/>
      <c r="E7" s="2790">
        <f>IF(A7=0,0,'数据-取费表'!K7+'数据-取费表'!S7)</f>
        <v>2530.29</v>
      </c>
    </row>
    <row r="8" spans="1:5">
      <c r="A8" s="2795">
        <f>'数据-取费表'!AN8</f>
        <v>0</v>
      </c>
      <c r="B8" s="2789" t="e">
        <f ca="1">'数据-取费表'!AO8</f>
        <v>#REF!</v>
      </c>
      <c r="C8" s="2781" t="s">
        <v>2676</v>
      </c>
      <c r="D8" s="2787"/>
      <c r="E8" s="2790">
        <f>IF(A8=0,0,'数据-取费表'!K8+'数据-取费表'!S8)</f>
        <v>0</v>
      </c>
    </row>
    <row r="9" spans="1:5">
      <c r="A9" s="2795">
        <f>'数据-取费表'!AN9</f>
        <v>0</v>
      </c>
      <c r="B9" s="2789" t="e">
        <f ca="1">'数据-取费表'!AO9</f>
        <v>#REF!</v>
      </c>
      <c r="C9" s="2781" t="s">
        <v>2676</v>
      </c>
      <c r="D9" s="2787"/>
      <c r="E9" s="2790">
        <f>IF(A9=0,0,'数据-取费表'!K9+'数据-取费表'!S9)</f>
        <v>0</v>
      </c>
    </row>
    <row r="10" spans="1:5">
      <c r="A10" s="2795">
        <f>'数据-取费表'!AN10</f>
        <v>0</v>
      </c>
      <c r="B10" s="2789" t="e">
        <f ca="1">'数据-取费表'!AO10</f>
        <v>#REF!</v>
      </c>
      <c r="C10" s="2781" t="s">
        <v>2676</v>
      </c>
      <c r="D10" s="2787"/>
      <c r="E10" s="2790">
        <f>IF(A10=0,0,'数据-取费表'!K10+'数据-取费表'!S10)</f>
        <v>0</v>
      </c>
    </row>
    <row r="11" spans="1:5">
      <c r="A11" s="2795">
        <f>'数据-取费表'!AN11</f>
        <v>0</v>
      </c>
      <c r="B11" s="2789" t="e">
        <f ca="1">'数据-取费表'!AO11</f>
        <v>#REF!</v>
      </c>
      <c r="C11" s="2781" t="s">
        <v>2676</v>
      </c>
      <c r="D11" s="2787"/>
      <c r="E11" s="2790">
        <f>IF(A11=0,0,'数据-取费表'!K11+'数据-取费表'!S11)</f>
        <v>0</v>
      </c>
    </row>
    <row r="12" spans="1:5">
      <c r="A12" s="2795">
        <f>'数据-取费表'!AN12</f>
        <v>0</v>
      </c>
      <c r="B12" s="2789" t="e">
        <f ca="1">'数据-取费表'!AO12</f>
        <v>#REF!</v>
      </c>
      <c r="C12" s="2781" t="s">
        <v>2676</v>
      </c>
      <c r="D12" s="2787"/>
      <c r="E12" s="2790">
        <f>IF(A12=0,0,'数据-取费表'!K12+'数据-取费表'!S12)</f>
        <v>0</v>
      </c>
    </row>
    <row r="13" spans="1:5" ht="14.25" thickBot="1">
      <c r="A13" s="2796">
        <f>'数据-取费表'!AN13</f>
        <v>0</v>
      </c>
      <c r="B13" s="2792" t="e">
        <f ca="1">'数据-取费表'!AO13</f>
        <v>#REF!</v>
      </c>
      <c r="C13" s="2800" t="s">
        <v>2676</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4" t="s">
        <v>2552</v>
      </c>
      <c r="B1" s="3645"/>
      <c r="C1" s="3646"/>
      <c r="D1" s="3647">
        <f>SUM(I10,I15,I20,I21,I23)</f>
        <v>0</v>
      </c>
      <c r="E1" s="3647"/>
      <c r="F1" s="3647"/>
      <c r="G1" s="3647"/>
      <c r="H1" s="3647"/>
      <c r="I1" s="3648"/>
    </row>
    <row r="2" spans="1:9">
      <c r="A2" s="3634" t="s">
        <v>2553</v>
      </c>
      <c r="B2" s="3635" t="s">
        <v>2554</v>
      </c>
      <c r="C2" s="3635"/>
      <c r="D2" s="2638" t="s">
        <v>2555</v>
      </c>
      <c r="E2" s="2638" t="s">
        <v>2556</v>
      </c>
      <c r="F2" s="2638" t="s">
        <v>2557</v>
      </c>
      <c r="G2" s="2638" t="s">
        <v>2558</v>
      </c>
      <c r="H2" s="2638" t="s">
        <v>2559</v>
      </c>
      <c r="I2" s="2639" t="s">
        <v>2560</v>
      </c>
    </row>
    <row r="3" spans="1:9">
      <c r="A3" s="3634"/>
      <c r="B3" s="3635" t="s">
        <v>2561</v>
      </c>
      <c r="C3" s="3635"/>
      <c r="D3" s="2640"/>
      <c r="E3" s="2638"/>
      <c r="F3" s="2641"/>
      <c r="G3" s="2641"/>
      <c r="H3" s="2642"/>
      <c r="I3" s="2643">
        <f>ROUND(D3*E3*F3*G3*H3/10000,0)</f>
        <v>0</v>
      </c>
    </row>
    <row r="4" spans="1:9">
      <c r="A4" s="3634"/>
      <c r="B4" s="3635" t="s">
        <v>2562</v>
      </c>
      <c r="C4" s="3635"/>
      <c r="D4" s="2640"/>
      <c r="E4" s="2638"/>
      <c r="F4" s="2641"/>
      <c r="G4" s="2641"/>
      <c r="H4" s="2642"/>
      <c r="I4" s="2643">
        <f t="shared" ref="I4:I9" si="0">ROUND(D4*E4*F4*G4*H4/10000,0)</f>
        <v>0</v>
      </c>
    </row>
    <row r="5" spans="1:9">
      <c r="A5" s="3634"/>
      <c r="B5" s="3635" t="s">
        <v>2563</v>
      </c>
      <c r="C5" s="3635"/>
      <c r="D5" s="2640"/>
      <c r="E5" s="2638"/>
      <c r="F5" s="2641"/>
      <c r="G5" s="2641"/>
      <c r="H5" s="2642"/>
      <c r="I5" s="2643">
        <f t="shared" si="0"/>
        <v>0</v>
      </c>
    </row>
    <row r="6" spans="1:9">
      <c r="A6" s="3634"/>
      <c r="B6" s="3635" t="s">
        <v>2564</v>
      </c>
      <c r="C6" s="3635"/>
      <c r="D6" s="2640"/>
      <c r="E6" s="2638"/>
      <c r="F6" s="2641"/>
      <c r="G6" s="2641"/>
      <c r="H6" s="2642"/>
      <c r="I6" s="2643">
        <f t="shared" si="0"/>
        <v>0</v>
      </c>
    </row>
    <row r="7" spans="1:9">
      <c r="A7" s="3634"/>
      <c r="B7" s="3635" t="s">
        <v>2565</v>
      </c>
      <c r="C7" s="3635"/>
      <c r="D7" s="2640"/>
      <c r="E7" s="2638"/>
      <c r="F7" s="2641"/>
      <c r="G7" s="2641"/>
      <c r="H7" s="2642"/>
      <c r="I7" s="2643">
        <f t="shared" si="0"/>
        <v>0</v>
      </c>
    </row>
    <row r="8" spans="1:9">
      <c r="A8" s="3634"/>
      <c r="B8" s="3635" t="s">
        <v>2566</v>
      </c>
      <c r="C8" s="3635"/>
      <c r="D8" s="2640"/>
      <c r="E8" s="2638"/>
      <c r="F8" s="2641"/>
      <c r="G8" s="2641"/>
      <c r="H8" s="2642"/>
      <c r="I8" s="2643">
        <f t="shared" si="0"/>
        <v>0</v>
      </c>
    </row>
    <row r="9" spans="1:9">
      <c r="A9" s="3634"/>
      <c r="B9" s="3635" t="s">
        <v>2567</v>
      </c>
      <c r="C9" s="3635"/>
      <c r="D9" s="2640"/>
      <c r="E9" s="2638"/>
      <c r="F9" s="2641"/>
      <c r="G9" s="2641"/>
      <c r="H9" s="2642"/>
      <c r="I9" s="2643">
        <f t="shared" si="0"/>
        <v>0</v>
      </c>
    </row>
    <row r="10" spans="1:9">
      <c r="A10" s="3634"/>
      <c r="B10" s="3636" t="s">
        <v>2568</v>
      </c>
      <c r="C10" s="3636"/>
      <c r="D10" s="2644"/>
      <c r="E10" s="2644" t="e">
        <f>ROUND(D1*10000/D10/H9,0)</f>
        <v>#DIV/0!</v>
      </c>
      <c r="F10" s="2645"/>
      <c r="G10" s="2645"/>
      <c r="H10" s="2646"/>
      <c r="I10" s="2647">
        <f>SUM(I3:I9)</f>
        <v>0</v>
      </c>
    </row>
    <row r="11" spans="1:9" ht="14.25">
      <c r="A11" s="3634" t="s">
        <v>2569</v>
      </c>
      <c r="B11" s="3635" t="s">
        <v>2570</v>
      </c>
      <c r="C11" s="3635"/>
      <c r="D11" s="2640" t="s">
        <v>2571</v>
      </c>
      <c r="E11" s="2640" t="s">
        <v>2572</v>
      </c>
      <c r="F11" s="2641" t="s">
        <v>2573</v>
      </c>
      <c r="G11" s="2641" t="s">
        <v>2559</v>
      </c>
      <c r="H11" s="2648" t="s">
        <v>2574</v>
      </c>
      <c r="I11" s="2639" t="s">
        <v>2560</v>
      </c>
    </row>
    <row r="12" spans="1:9">
      <c r="A12" s="3634"/>
      <c r="B12" s="3635" t="s">
        <v>2575</v>
      </c>
      <c r="C12" s="3635"/>
      <c r="D12" s="2640"/>
      <c r="E12" s="2640"/>
      <c r="F12" s="2641"/>
      <c r="G12" s="2642"/>
      <c r="H12" s="2649"/>
      <c r="I12" s="2639">
        <f>ROUND(D12*E12*F12*G12/10000,0)</f>
        <v>0</v>
      </c>
    </row>
    <row r="13" spans="1:9">
      <c r="A13" s="3634"/>
      <c r="B13" s="3635" t="s">
        <v>2576</v>
      </c>
      <c r="C13" s="3635"/>
      <c r="D13" s="2640"/>
      <c r="E13" s="2640"/>
      <c r="F13" s="2641"/>
      <c r="G13" s="2642"/>
      <c r="H13" s="2649"/>
      <c r="I13" s="2639">
        <f>ROUND(D13*E13*F13*G13/10000,0)</f>
        <v>0</v>
      </c>
    </row>
    <row r="14" spans="1:9">
      <c r="A14" s="3634"/>
      <c r="B14" s="3635" t="s">
        <v>2577</v>
      </c>
      <c r="C14" s="3635"/>
      <c r="D14" s="2640"/>
      <c r="E14" s="2640"/>
      <c r="F14" s="2641"/>
      <c r="G14" s="2642"/>
      <c r="H14" s="2649"/>
      <c r="I14" s="2639">
        <f>ROUND(D14*E14*F14*G14/10000,0)</f>
        <v>0</v>
      </c>
    </row>
    <row r="15" spans="1:9">
      <c r="A15" s="3634"/>
      <c r="B15" s="3636" t="s">
        <v>2568</v>
      </c>
      <c r="C15" s="3636"/>
      <c r="D15" s="2644"/>
      <c r="E15" s="2644">
        <f>SUM(E12:E14)</f>
        <v>0</v>
      </c>
      <c r="F15" s="2645"/>
      <c r="G15" s="2642"/>
      <c r="H15" s="2649"/>
      <c r="I15" s="2650">
        <f>SUM(I12:I14)</f>
        <v>0</v>
      </c>
    </row>
    <row r="16" spans="1:9" ht="24">
      <c r="A16" s="3634" t="s">
        <v>2578</v>
      </c>
      <c r="B16" s="3635" t="s">
        <v>2579</v>
      </c>
      <c r="C16" s="3635"/>
      <c r="D16" s="2640" t="s">
        <v>2555</v>
      </c>
      <c r="E16" s="2651" t="s">
        <v>2580</v>
      </c>
      <c r="F16" s="2641" t="s">
        <v>2581</v>
      </c>
      <c r="G16" s="2642" t="s">
        <v>2559</v>
      </c>
      <c r="H16" s="2648" t="s">
        <v>2574</v>
      </c>
      <c r="I16" s="2639" t="s">
        <v>2560</v>
      </c>
    </row>
    <row r="17" spans="1:9" ht="14.25">
      <c r="A17" s="3634"/>
      <c r="B17" s="3635" t="s">
        <v>2582</v>
      </c>
      <c r="C17" s="3635"/>
      <c r="D17" s="2640"/>
      <c r="E17" s="2640"/>
      <c r="F17" s="2641"/>
      <c r="G17" s="2642"/>
      <c r="H17" s="2652"/>
      <c r="I17" s="2653">
        <f>ROUND(D17*E17*F17*G17/10000,0)</f>
        <v>0</v>
      </c>
    </row>
    <row r="18" spans="1:9" ht="14.25">
      <c r="A18" s="3634"/>
      <c r="B18" s="3635" t="s">
        <v>2583</v>
      </c>
      <c r="C18" s="3635"/>
      <c r="D18" s="2640"/>
      <c r="E18" s="2640"/>
      <c r="F18" s="2641"/>
      <c r="G18" s="2642"/>
      <c r="H18" s="2652"/>
      <c r="I18" s="2653">
        <f>ROUND(D18*E18*F18*G18/10000,0)</f>
        <v>0</v>
      </c>
    </row>
    <row r="19" spans="1:9" ht="14.25">
      <c r="A19" s="3634"/>
      <c r="B19" s="3635" t="s">
        <v>2584</v>
      </c>
      <c r="C19" s="3635"/>
      <c r="D19" s="2640"/>
      <c r="E19" s="2640"/>
      <c r="F19" s="2641"/>
      <c r="G19" s="2642"/>
      <c r="H19" s="2652"/>
      <c r="I19" s="2653">
        <f>ROUND(D19*E19*F19*G19/10000,0)</f>
        <v>0</v>
      </c>
    </row>
    <row r="20" spans="1:9">
      <c r="A20" s="3634"/>
      <c r="B20" s="3636" t="s">
        <v>2568</v>
      </c>
      <c r="C20" s="3636"/>
      <c r="D20" s="2644">
        <f>SUM(D17:D19)</f>
        <v>0</v>
      </c>
      <c r="E20" s="2644"/>
      <c r="F20" s="2645"/>
      <c r="G20" s="2642"/>
      <c r="H20" s="2649"/>
      <c r="I20" s="2650">
        <f>SUM(I17:I19)</f>
        <v>0</v>
      </c>
    </row>
    <row r="21" spans="1:9">
      <c r="A21" s="3634" t="s">
        <v>2585</v>
      </c>
      <c r="B21" s="3637"/>
      <c r="C21" s="3637"/>
      <c r="D21" s="3637"/>
      <c r="E21" s="3637"/>
      <c r="F21" s="3637"/>
      <c r="G21" s="3637"/>
      <c r="H21" s="3303">
        <v>0.1</v>
      </c>
      <c r="I21" s="2647">
        <f>ROUND(I10*H21,0)</f>
        <v>0</v>
      </c>
    </row>
    <row r="22" spans="1:9" ht="14.25">
      <c r="A22" s="3638" t="s">
        <v>2586</v>
      </c>
      <c r="B22" s="3639"/>
      <c r="C22" s="3640"/>
      <c r="D22" s="2654" t="s">
        <v>2587</v>
      </c>
      <c r="E22" s="2654" t="s">
        <v>2588</v>
      </c>
      <c r="F22" s="2655" t="s">
        <v>2589</v>
      </c>
      <c r="G22" s="2655" t="s">
        <v>2590</v>
      </c>
      <c r="H22" s="2648" t="s">
        <v>2591</v>
      </c>
      <c r="I22" s="2639" t="s">
        <v>2592</v>
      </c>
    </row>
    <row r="23" spans="1:9" ht="14.25" thickBot="1">
      <c r="A23" s="3641"/>
      <c r="B23" s="3642"/>
      <c r="C23" s="3643"/>
      <c r="D23" s="2656"/>
      <c r="E23" s="2656"/>
      <c r="F23" s="2656"/>
      <c r="G23" s="2657"/>
      <c r="H23" s="2658"/>
      <c r="I23" s="2659">
        <f>ROUND(E23*D23*F23*(1-G23)/10000,0)</f>
        <v>0</v>
      </c>
    </row>
    <row r="26" spans="1:9">
      <c r="A26" s="2660" t="s">
        <v>2593</v>
      </c>
      <c r="B26" s="2660"/>
      <c r="C26" s="2660"/>
      <c r="D26" s="2660"/>
      <c r="E26" s="3631">
        <f>C27-C30-C31-C32</f>
        <v>0</v>
      </c>
      <c r="F26" s="3631"/>
      <c r="G26" s="3631"/>
      <c r="H26" s="3255" t="s">
        <v>2964</v>
      </c>
    </row>
    <row r="27" spans="1:9">
      <c r="A27" s="2661">
        <v>1</v>
      </c>
      <c r="B27" s="2662" t="s">
        <v>2594</v>
      </c>
      <c r="C27" s="2662">
        <f>C28+C29</f>
        <v>0</v>
      </c>
      <c r="D27" s="2662"/>
      <c r="E27" s="3632"/>
      <c r="F27" s="3632"/>
      <c r="G27" s="3632"/>
    </row>
    <row r="28" spans="1:9">
      <c r="A28" s="2663" t="s">
        <v>2595</v>
      </c>
      <c r="B28" s="2662" t="s">
        <v>2596</v>
      </c>
      <c r="C28" s="2662"/>
      <c r="D28" s="2662"/>
      <c r="E28" s="3632"/>
      <c r="F28" s="3632"/>
      <c r="G28" s="3632"/>
    </row>
    <row r="29" spans="1:9">
      <c r="A29" s="2663" t="s">
        <v>2597</v>
      </c>
      <c r="B29" s="2662" t="s">
        <v>2598</v>
      </c>
      <c r="C29" s="2662"/>
      <c r="D29" s="2662"/>
      <c r="E29" s="2662" t="s">
        <v>2599</v>
      </c>
      <c r="F29" s="2662"/>
      <c r="G29" s="2662"/>
    </row>
    <row r="30" spans="1:9">
      <c r="A30" s="2661">
        <v>2</v>
      </c>
      <c r="B30" s="2662" t="s">
        <v>2600</v>
      </c>
      <c r="C30" s="2662">
        <f>C27*D30</f>
        <v>0</v>
      </c>
      <c r="D30" s="2664">
        <v>0.2</v>
      </c>
      <c r="E30" s="2662" t="s">
        <v>2601</v>
      </c>
      <c r="F30" s="2662"/>
      <c r="G30" s="2662"/>
    </row>
    <row r="31" spans="1:9">
      <c r="A31" s="2661">
        <v>3</v>
      </c>
      <c r="B31" s="2662" t="s">
        <v>2602</v>
      </c>
      <c r="C31" s="2662">
        <f>C25*D31</f>
        <v>0</v>
      </c>
      <c r="D31" s="2664">
        <v>0.15</v>
      </c>
      <c r="E31" s="2662" t="s">
        <v>2603</v>
      </c>
      <c r="F31" s="2662"/>
      <c r="G31" s="2662"/>
    </row>
    <row r="32" spans="1:9">
      <c r="A32" s="2661">
        <v>4</v>
      </c>
      <c r="B32" s="2662" t="s">
        <v>2604</v>
      </c>
      <c r="C32" s="2662">
        <f>C27*D32</f>
        <v>0</v>
      </c>
      <c r="D32" s="2664">
        <v>0.05</v>
      </c>
      <c r="E32" s="3633"/>
      <c r="F32" s="3633"/>
      <c r="G32" s="3633"/>
    </row>
    <row r="33" spans="1:7" hidden="1">
      <c r="A33" s="3628" t="s">
        <v>2605</v>
      </c>
      <c r="B33" s="3629"/>
      <c r="C33" s="3629"/>
      <c r="D33" s="3630"/>
      <c r="E33" s="3631"/>
      <c r="F33" s="3631"/>
      <c r="G33" s="3631"/>
    </row>
    <row r="34" spans="1:7" hidden="1">
      <c r="A34" s="2665">
        <v>1</v>
      </c>
      <c r="B34" s="2662" t="s">
        <v>2606</v>
      </c>
      <c r="C34" s="2662"/>
      <c r="D34" s="2662"/>
      <c r="E34" s="3632"/>
      <c r="F34" s="3632"/>
      <c r="G34" s="3632"/>
    </row>
    <row r="35" spans="1:7" hidden="1">
      <c r="A35" s="2665">
        <v>2</v>
      </c>
      <c r="B35" s="2662" t="s">
        <v>2607</v>
      </c>
      <c r="C35" s="2662"/>
      <c r="D35" s="2662"/>
      <c r="E35" s="3632"/>
      <c r="F35" s="3632"/>
      <c r="G35" s="3632"/>
    </row>
    <row r="36" spans="1:7" hidden="1">
      <c r="A36" s="2665">
        <v>3</v>
      </c>
      <c r="B36" s="2662" t="s">
        <v>2608</v>
      </c>
      <c r="C36" s="2662"/>
      <c r="D36" s="2662"/>
      <c r="E36" s="3632"/>
      <c r="F36" s="3632"/>
      <c r="G36" s="3632"/>
    </row>
    <row r="37" spans="1:7" hidden="1">
      <c r="A37" s="2665">
        <v>4</v>
      </c>
      <c r="B37" s="2662" t="s">
        <v>2609</v>
      </c>
      <c r="C37" s="2662"/>
      <c r="D37" s="2662"/>
      <c r="E37" s="3632"/>
      <c r="F37" s="3632"/>
      <c r="G37" s="3632"/>
    </row>
    <row r="38" spans="1:7" hidden="1">
      <c r="A38" s="3628" t="s">
        <v>2610</v>
      </c>
      <c r="B38" s="3629"/>
      <c r="C38" s="3629"/>
      <c r="D38" s="3630"/>
      <c r="E38" s="3631"/>
      <c r="F38" s="3631"/>
      <c r="G38" s="36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2014</v>
      </c>
    </row>
    <row r="2" spans="1:1">
      <c r="A2" s="1946"/>
    </row>
    <row r="3" spans="1:1" ht="18.75">
      <c r="A3" s="2889" t="str">
        <f>项目基本情况!B5&amp;"："</f>
        <v>北京世纪润丰源资产管理有限公司：</v>
      </c>
    </row>
    <row r="4" spans="1:1" ht="56.25">
      <c r="A4" s="1947" t="str">
        <f>"受贵公司委托，我公司对"&amp;项目基本情况!S1&amp;"进行了预评估。"</f>
        <v>受贵公司委托，我公司对北京市西城区真武庙路二条10号楼1层7单元102及103共计两套商业服务用房及-1层-102号储藏用房房地产房地产抵押价值进行了预评估。</v>
      </c>
    </row>
    <row r="5" spans="1:1" ht="18.75">
      <c r="A5" s="1948" t="s">
        <v>2015</v>
      </c>
    </row>
    <row r="6" spans="1:1" ht="18.75">
      <c r="A6" s="3056" t="s">
        <v>2875</v>
      </c>
    </row>
    <row r="7" spans="1:1" ht="93.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真武庙路二条10号楼1层7单元102及103共计两套商业服务用房及-1层-102号储藏用房房地产房地产，为所有。根据，估价对象（分摊）出让国有建设用地使用权面积为0平方米。根据《房屋所有权证》[X京房权证西字第140364、140762、140502号]，估价对象建筑面积为2579.75平方米。</v>
      </c>
    </row>
    <row r="8" spans="1:1" ht="56.25">
      <c r="A8" s="1991" t="s">
        <v>2868</v>
      </c>
    </row>
    <row r="9" spans="1:1" ht="18.75">
      <c r="A9" s="3056" t="s">
        <v>2876</v>
      </c>
    </row>
    <row r="10" spans="1:1" ht="93.75">
      <c r="A10" s="1947" t="str">
        <f>"估价对象为"&amp;项目基本情况!S2&amp;IF(结果表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真武庙路二条10号楼1层7单元102及103共计两套商业服务用房及-1层-102号储藏用房房地产房地产,属开发建设的居住项目，该项目尚在开发建设中。根据，估价对象（分摊）出让国有建设用地使用权面积为0平方米。根据《房屋所有权证》[X京房权证西字第140364、140762、140502号]，估价对象规划建筑面积为2579.75平方米。</v>
      </c>
    </row>
    <row r="11" spans="1:1" ht="75">
      <c r="A11" s="1991" t="s">
        <v>2910</v>
      </c>
    </row>
    <row r="12" spans="1:1" ht="18.75">
      <c r="A12" s="1948" t="s">
        <v>2016</v>
      </c>
    </row>
    <row r="13" spans="1:1" ht="38.25" customHeight="1">
      <c r="A13" s="1949" t="str">
        <f>IF(项目基本情况!B8="抵押",IF(项目基本情况!B5=项目基本情况!B6,定义!C51,定义!B51),定义!D51)</f>
        <v>为估价委托人在向中国民生银行股份有限公司办理贷款手续过程中，确定房地产抵押贷款额度提供参考依据而评估房地产抵押价值。</v>
      </c>
    </row>
    <row r="14" spans="1:1" ht="18.75">
      <c r="A14" s="1950" t="s">
        <v>2017</v>
      </c>
    </row>
    <row r="15" spans="1:1" ht="18.75">
      <c r="A15" s="1951" t="str">
        <f>TEXT(项目基本情况!D3,"yyyy年m月d日;;")&amp;IF(项目基本情况!D3=项目基本情况!B3,"（评估专业人员实地查勘之日）","")</f>
        <v>2017年11月1日（评估专业人员实地查勘之日）</v>
      </c>
    </row>
    <row r="16" spans="1:1" ht="18.75">
      <c r="A16" s="1950" t="s">
        <v>2019</v>
      </c>
    </row>
    <row r="17" spans="1:1" ht="75">
      <c r="A17" s="1947" t="s">
        <v>2869</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商业服务用房、仓储用房，土地取得方式为出让，出让国有建设用地使用权剩余土地使用年限为商业服务用房32年、仓储用房42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服务用房、仓储用房，实际开发程度为宗地红线外“七通”（即通路、通电、通讯、通上水、通下水、通热、燃气）、红线内场地平整条件下，剩余土地使用年限为商业服务用房32年、仓储用房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2870</v>
      </c>
    </row>
    <row r="22" spans="1:1" ht="18.75">
      <c r="A22" s="1947" t="str">
        <f>IF(项目基本情况!E9="——","",定义!C57)</f>
        <v/>
      </c>
    </row>
    <row r="23" spans="1:1" ht="18.75">
      <c r="A23" s="1950" t="s">
        <v>2034</v>
      </c>
    </row>
    <row r="24" spans="1:1" ht="18.75">
      <c r="A24" s="1954" t="str">
        <f>"本次评估采用的主估价方法为"&amp;结果表仓储!K4&amp;"和"&amp;结果表仓储!L4&amp;"。"</f>
        <v>本次评估采用的主估价方法为成本法和收益法。</v>
      </c>
    </row>
    <row r="25" spans="1:1" ht="18.75">
      <c r="A25" s="1954"/>
    </row>
    <row r="26" spans="1:1" ht="18.75">
      <c r="A26" s="2083" t="s">
        <v>2114</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980</v>
      </c>
      <c r="B1" s="3105" t="s">
        <v>981</v>
      </c>
      <c r="C1" s="3106" t="s">
        <v>982</v>
      </c>
      <c r="D1" s="3107"/>
      <c r="E1" s="3108"/>
      <c r="F1" s="3109" t="s">
        <v>2701</v>
      </c>
      <c r="G1" s="3111" t="s">
        <v>983</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984</v>
      </c>
      <c r="B2" s="2847" t="e">
        <f ca="1">IF(C2="——",ROUND(C49*D3/10000,0),ROUND(C49*D3/10000,0)-D2)</f>
        <v>#DIV/0!</v>
      </c>
      <c r="C2" s="3101"/>
      <c r="D2" s="2724" t="e">
        <f ca="1">SUMIF(INDIRECT("'"&amp;F2&amp;"'"&amp;"!A:A"),"承租人权益价值",INDIRECT("'"&amp;F2&amp;"'"&amp;"!c:c"))</f>
        <v>#REF!</v>
      </c>
      <c r="E2" s="3102" t="s">
        <v>869</v>
      </c>
      <c r="F2" s="3103"/>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985</v>
      </c>
      <c r="B3" s="742" t="e">
        <f ca="1">IF(C2="——",C49,ROUND(B2*10000/D3,0))</f>
        <v>#DIV/0!</v>
      </c>
      <c r="C3" s="142" t="s">
        <v>986</v>
      </c>
      <c r="D3" s="742">
        <f>IF(D1="",'数据-汇总表'!E3,SUMIF('数据-汇总表'!$C19:$C33,D1,'数据-汇总表'!$E19:$E33))</f>
        <v>2579.75</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987</v>
      </c>
      <c r="B4" s="144"/>
      <c r="C4" s="3589" t="s">
        <v>988</v>
      </c>
      <c r="D4" s="3590"/>
      <c r="E4" s="3591" t="s">
        <v>989</v>
      </c>
      <c r="F4" s="3592"/>
      <c r="G4" s="3589" t="s">
        <v>990</v>
      </c>
      <c r="H4" s="3590"/>
      <c r="I4" s="3589" t="s">
        <v>991</v>
      </c>
      <c r="J4" s="3590"/>
      <c r="K4" s="145" t="s">
        <v>992</v>
      </c>
      <c r="L4" s="2295"/>
      <c r="M4" s="2296"/>
      <c r="N4" s="2296"/>
      <c r="O4" s="2296"/>
      <c r="P4" s="3593" t="s">
        <v>987</v>
      </c>
      <c r="Q4" s="3594"/>
      <c r="R4" s="3599" t="s">
        <v>989</v>
      </c>
      <c r="S4" s="3600"/>
      <c r="T4" s="3599" t="s">
        <v>990</v>
      </c>
      <c r="U4" s="3600"/>
      <c r="V4" s="3584" t="s">
        <v>991</v>
      </c>
      <c r="W4" s="3584"/>
      <c r="X4" s="1339"/>
      <c r="Y4" s="3599" t="s">
        <v>987</v>
      </c>
      <c r="Z4" s="3600"/>
      <c r="AA4" s="3586" t="s">
        <v>989</v>
      </c>
      <c r="AB4" s="3586" t="s">
        <v>990</v>
      </c>
      <c r="AC4" s="3586" t="s">
        <v>991</v>
      </c>
    </row>
    <row r="5" spans="1:29">
      <c r="A5" s="146"/>
      <c r="B5" s="147"/>
      <c r="C5" s="3607" t="s">
        <v>993</v>
      </c>
      <c r="D5" s="3608"/>
      <c r="E5" s="3614" t="s">
        <v>994</v>
      </c>
      <c r="F5" s="3615"/>
      <c r="G5" s="3607" t="s">
        <v>995</v>
      </c>
      <c r="H5" s="3608"/>
      <c r="I5" s="3607" t="s">
        <v>996</v>
      </c>
      <c r="J5" s="3608"/>
      <c r="K5" s="152"/>
      <c r="L5" s="2295"/>
      <c r="M5" s="2296"/>
      <c r="N5" s="2296"/>
      <c r="O5" s="2296"/>
      <c r="P5" s="3595"/>
      <c r="Q5" s="3596"/>
      <c r="R5" s="3601"/>
      <c r="S5" s="3602"/>
      <c r="T5" s="3601"/>
      <c r="U5" s="3602"/>
      <c r="V5" s="3584"/>
      <c r="W5" s="3584"/>
      <c r="X5" s="1339"/>
      <c r="Y5" s="3601"/>
      <c r="Z5" s="3602"/>
      <c r="AA5" s="3587"/>
      <c r="AB5" s="3587"/>
      <c r="AC5" s="3587"/>
    </row>
    <row r="6" spans="1:29" ht="14.25" thickBot="1">
      <c r="A6" s="148"/>
      <c r="B6" s="149"/>
      <c r="C6" s="3605" t="s">
        <v>997</v>
      </c>
      <c r="D6" s="3606"/>
      <c r="E6" s="3612" t="s">
        <v>997</v>
      </c>
      <c r="F6" s="3613"/>
      <c r="G6" s="3605" t="s">
        <v>997</v>
      </c>
      <c r="H6" s="3606"/>
      <c r="I6" s="3605" t="s">
        <v>997</v>
      </c>
      <c r="J6" s="3606"/>
      <c r="K6" s="152" t="s">
        <v>998</v>
      </c>
      <c r="L6" s="2295"/>
      <c r="M6" s="2296"/>
      <c r="N6" s="2296"/>
      <c r="O6" s="2296"/>
      <c r="P6" s="3597"/>
      <c r="Q6" s="3598"/>
      <c r="R6" s="3601"/>
      <c r="S6" s="3602"/>
      <c r="T6" s="3603"/>
      <c r="U6" s="3604"/>
      <c r="V6" s="3584"/>
      <c r="W6" s="3584"/>
      <c r="X6" s="1339"/>
      <c r="Y6" s="3603"/>
      <c r="Z6" s="3604"/>
      <c r="AA6" s="3588"/>
      <c r="AB6" s="3588"/>
      <c r="AC6" s="3588"/>
    </row>
    <row r="7" spans="1:29" s="40" customFormat="1" ht="15" thickBot="1">
      <c r="A7" s="1013" t="s">
        <v>999</v>
      </c>
      <c r="B7" s="1014"/>
      <c r="C7" s="1015">
        <f>'数据-取费表'!B2</f>
        <v>43040</v>
      </c>
      <c r="D7" s="754">
        <v>100</v>
      </c>
      <c r="E7" s="1016"/>
      <c r="F7" s="756">
        <f>SUMIF(58:58,YEAR(E7)&amp;"-"&amp;MONTH(E7),59:59)</f>
        <v>0</v>
      </c>
      <c r="G7" s="1016"/>
      <c r="H7" s="754">
        <f>SUMIF(58:58,YEAR(G7)&amp;"-"&amp;MONTH(G7),59:59)</f>
        <v>0</v>
      </c>
      <c r="I7" s="1016"/>
      <c r="J7" s="754">
        <f>SUMIF(58:58,YEAR(I7)&amp;"-"&amp;MONTH(I7),59:59)</f>
        <v>0</v>
      </c>
      <c r="K7" s="1340"/>
      <c r="L7" s="2297"/>
      <c r="M7" s="2259"/>
      <c r="N7" s="2259"/>
      <c r="O7" s="2259"/>
      <c r="P7" s="3609" t="s">
        <v>999</v>
      </c>
      <c r="Q7" s="3611"/>
      <c r="R7" s="1341" t="s">
        <v>115</v>
      </c>
      <c r="S7" s="1342">
        <f t="shared" ref="S7:S15" si="0">F7</f>
        <v>0</v>
      </c>
      <c r="T7" s="1341" t="s">
        <v>115</v>
      </c>
      <c r="U7" s="1342">
        <f t="shared" ref="U7:U15" si="1">H7</f>
        <v>0</v>
      </c>
      <c r="V7" s="1341" t="s">
        <v>115</v>
      </c>
      <c r="W7" s="1342">
        <f t="shared" ref="W7:W15" si="2">J7</f>
        <v>0</v>
      </c>
      <c r="X7" s="287"/>
      <c r="Y7" s="3609" t="s">
        <v>999</v>
      </c>
      <c r="Z7" s="3610"/>
      <c r="AA7" s="1343" t="e">
        <f>D7/F7</f>
        <v>#DIV/0!</v>
      </c>
      <c r="AB7" s="1343" t="e">
        <f>D7/H7</f>
        <v>#DIV/0!</v>
      </c>
      <c r="AC7" s="1343" t="e">
        <f>D7/J7</f>
        <v>#DIV/0!</v>
      </c>
    </row>
    <row r="8" spans="1:29" s="40" customFormat="1" ht="15" thickBot="1">
      <c r="A8" s="1013" t="s">
        <v>1000</v>
      </c>
      <c r="B8" s="1014"/>
      <c r="C8" s="1019" t="s">
        <v>155</v>
      </c>
      <c r="D8" s="754">
        <v>100</v>
      </c>
      <c r="E8" s="1344"/>
      <c r="F8" s="756">
        <f>SUMIF(61:61,E8,62:62)-SUMIF(61:61,C8,62:62)+100</f>
        <v>0</v>
      </c>
      <c r="G8" s="1019"/>
      <c r="H8" s="754">
        <f>SUMIF(61:61,G8,62:62)-SUMIF(61:61,C8,62:62)+100</f>
        <v>0</v>
      </c>
      <c r="I8" s="1344"/>
      <c r="J8" s="754">
        <f>SUMIF(61:61,I8,62:62)-SUMIF(61:61,C8,62:62)+100</f>
        <v>0</v>
      </c>
      <c r="K8" s="1340"/>
      <c r="L8" s="2297"/>
      <c r="M8" s="2259"/>
      <c r="N8" s="2259"/>
      <c r="O8" s="2259"/>
      <c r="P8" s="3609" t="s">
        <v>1000</v>
      </c>
      <c r="Q8" s="3610"/>
      <c r="R8" s="1341" t="s">
        <v>115</v>
      </c>
      <c r="S8" s="1342">
        <f t="shared" si="0"/>
        <v>0</v>
      </c>
      <c r="T8" s="1341" t="s">
        <v>115</v>
      </c>
      <c r="U8" s="1342">
        <f t="shared" si="1"/>
        <v>0</v>
      </c>
      <c r="V8" s="1341" t="s">
        <v>115</v>
      </c>
      <c r="W8" s="1342">
        <f t="shared" si="2"/>
        <v>0</v>
      </c>
      <c r="X8" s="287"/>
      <c r="Y8" s="3609" t="s">
        <v>1000</v>
      </c>
      <c r="Z8" s="3610"/>
      <c r="AA8" s="1343" t="e">
        <f t="shared" ref="AA8:AA19" si="3">D8/F8</f>
        <v>#DIV/0!</v>
      </c>
      <c r="AB8" s="1343" t="e">
        <f t="shared" ref="AB8:AB19" si="4">D8/H8</f>
        <v>#DIV/0!</v>
      </c>
      <c r="AC8" s="1343" t="e">
        <f t="shared" ref="AC8:AC19" si="5">D8/J8</f>
        <v>#DIV/0!</v>
      </c>
    </row>
    <row r="9" spans="1:29" s="40" customFormat="1" ht="14.25">
      <c r="A9" s="1020" t="s">
        <v>1001</v>
      </c>
      <c r="B9" s="62" t="s">
        <v>1002</v>
      </c>
      <c r="C9" s="1345"/>
      <c r="D9" s="425">
        <v>100</v>
      </c>
      <c r="E9" s="1346"/>
      <c r="F9" s="761">
        <f>SUMIF(63:63,E9,64:64)-SUMIF(63:63,C9,64:64)+100</f>
        <v>100</v>
      </c>
      <c r="G9" s="1347"/>
      <c r="H9" s="425">
        <f>SUMIF(63:63,G9,64:64)-SUMIF(63:63,C9,64:64)+100</f>
        <v>100</v>
      </c>
      <c r="I9" s="1347"/>
      <c r="J9" s="425">
        <f>SUMIF(63:63,I9,64:64)-SUMIF(63:63,C9,64:64)+100</f>
        <v>100</v>
      </c>
      <c r="K9" s="1340"/>
      <c r="L9" s="2297"/>
      <c r="M9" s="2259"/>
      <c r="N9" s="2259"/>
      <c r="O9" s="2259"/>
      <c r="P9" s="3585" t="s">
        <v>67</v>
      </c>
      <c r="Q9" s="7" t="str">
        <f t="shared" ref="Q9:Q15" si="6">B9</f>
        <v>用途</v>
      </c>
      <c r="R9" s="1341" t="s">
        <v>65</v>
      </c>
      <c r="S9" s="1342">
        <f t="shared" si="0"/>
        <v>100</v>
      </c>
      <c r="T9" s="1341" t="s">
        <v>65</v>
      </c>
      <c r="U9" s="1342">
        <f t="shared" si="1"/>
        <v>100</v>
      </c>
      <c r="V9" s="1341" t="s">
        <v>65</v>
      </c>
      <c r="W9" s="1342">
        <f t="shared" si="2"/>
        <v>100</v>
      </c>
      <c r="X9" s="287"/>
      <c r="Y9" s="342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7">
        <f>SUMIF(65:65,E10,66:66)-SUMIF(65:65,C10,66:66)+100</f>
        <v>100</v>
      </c>
      <c r="G10" s="1348"/>
      <c r="H10" s="426">
        <f>SUMIF(65:65,G10,66:66)-SUMIF(65:65,C10,66:66)+100</f>
        <v>100</v>
      </c>
      <c r="I10" s="1348"/>
      <c r="J10" s="426">
        <f>SUMIF(65:65,I10,66:66)-SUMIF(65:65,C10,66:66)+100</f>
        <v>100</v>
      </c>
      <c r="K10" s="768"/>
      <c r="L10" s="2298"/>
      <c r="M10" s="2299"/>
      <c r="N10" s="2299"/>
      <c r="O10" s="2299"/>
      <c r="P10" s="3585"/>
      <c r="Q10" s="7" t="str">
        <f t="shared" si="6"/>
        <v>土地使用年限（年）</v>
      </c>
      <c r="R10" s="1341" t="s">
        <v>65</v>
      </c>
      <c r="S10" s="1342">
        <f t="shared" si="0"/>
        <v>100</v>
      </c>
      <c r="T10" s="1341" t="s">
        <v>65</v>
      </c>
      <c r="U10" s="1342">
        <f t="shared" si="1"/>
        <v>100</v>
      </c>
      <c r="V10" s="1341" t="s">
        <v>65</v>
      </c>
      <c r="W10" s="1342">
        <f t="shared" si="2"/>
        <v>100</v>
      </c>
      <c r="X10" s="287"/>
      <c r="Y10" s="3420"/>
      <c r="Z10" s="288" t="str">
        <f t="shared" si="7"/>
        <v>土地使用年限（年）</v>
      </c>
      <c r="AA10" s="1343">
        <f t="shared" si="3"/>
        <v>1</v>
      </c>
      <c r="AB10" s="1343">
        <f t="shared" si="4"/>
        <v>1</v>
      </c>
      <c r="AC10" s="1343">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768"/>
      <c r="L11" s="2300"/>
      <c r="M11" s="2296"/>
      <c r="N11" s="2296"/>
      <c r="O11" s="2296"/>
      <c r="P11" s="3585"/>
      <c r="Q11" s="7" t="str">
        <f t="shared" si="6"/>
        <v>容积率</v>
      </c>
      <c r="R11" s="1341" t="s">
        <v>104</v>
      </c>
      <c r="S11" s="1342" t="e">
        <f t="shared" si="0"/>
        <v>#N/A</v>
      </c>
      <c r="T11" s="1341" t="s">
        <v>104</v>
      </c>
      <c r="U11" s="1342" t="e">
        <f t="shared" si="1"/>
        <v>#N/A</v>
      </c>
      <c r="V11" s="1341" t="s">
        <v>104</v>
      </c>
      <c r="W11" s="1342" t="e">
        <f t="shared" si="2"/>
        <v>#N/A</v>
      </c>
      <c r="X11" s="287"/>
      <c r="Y11" s="342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7"/>
      <c r="M12" s="2259"/>
      <c r="N12" s="2259"/>
      <c r="O12" s="2259"/>
      <c r="P12" s="3585"/>
      <c r="Q12" s="7">
        <f t="shared" si="6"/>
        <v>111</v>
      </c>
      <c r="R12" s="1341" t="s">
        <v>104</v>
      </c>
      <c r="S12" s="1342">
        <f t="shared" si="0"/>
        <v>100</v>
      </c>
      <c r="T12" s="1341" t="s">
        <v>104</v>
      </c>
      <c r="U12" s="1342">
        <f t="shared" si="1"/>
        <v>100</v>
      </c>
      <c r="V12" s="1341" t="s">
        <v>104</v>
      </c>
      <c r="W12" s="1342">
        <f t="shared" si="2"/>
        <v>100</v>
      </c>
      <c r="X12" s="287"/>
      <c r="Y12" s="3420"/>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1"/>
      <c r="M13" s="2296"/>
      <c r="N13" s="2296"/>
      <c r="O13" s="2296"/>
      <c r="P13" s="3585"/>
      <c r="Q13" s="7">
        <f t="shared" si="6"/>
        <v>111</v>
      </c>
      <c r="R13" s="1341" t="s">
        <v>104</v>
      </c>
      <c r="S13" s="1342">
        <f t="shared" si="0"/>
        <v>100</v>
      </c>
      <c r="T13" s="1341" t="s">
        <v>104</v>
      </c>
      <c r="U13" s="1342">
        <f t="shared" si="1"/>
        <v>100</v>
      </c>
      <c r="V13" s="1341" t="s">
        <v>104</v>
      </c>
      <c r="W13" s="1342">
        <f t="shared" si="2"/>
        <v>100</v>
      </c>
      <c r="X13" s="287"/>
      <c r="Y13" s="3420"/>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1"/>
      <c r="M14" s="2296"/>
      <c r="N14" s="2296"/>
      <c r="O14" s="2296"/>
      <c r="P14" s="3585"/>
      <c r="Q14" s="7">
        <f t="shared" si="6"/>
        <v>111</v>
      </c>
      <c r="R14" s="1341" t="s">
        <v>104</v>
      </c>
      <c r="S14" s="1342">
        <f t="shared" si="0"/>
        <v>100</v>
      </c>
      <c r="T14" s="1341" t="s">
        <v>104</v>
      </c>
      <c r="U14" s="1342">
        <f t="shared" si="1"/>
        <v>100</v>
      </c>
      <c r="V14" s="1341" t="s">
        <v>104</v>
      </c>
      <c r="W14" s="1342">
        <f t="shared" si="2"/>
        <v>100</v>
      </c>
      <c r="X14" s="287"/>
      <c r="Y14" s="3420"/>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1"/>
      <c r="M15" s="2296"/>
      <c r="N15" s="2296"/>
      <c r="O15" s="2296"/>
      <c r="P15" s="3575" t="s">
        <v>69</v>
      </c>
      <c r="Q15" s="1350" t="str">
        <f t="shared" si="6"/>
        <v>居住社区成熟度</v>
      </c>
      <c r="R15" s="1351" t="s">
        <v>104</v>
      </c>
      <c r="S15" s="1352">
        <f t="shared" si="0"/>
        <v>100</v>
      </c>
      <c r="T15" s="1351" t="s">
        <v>104</v>
      </c>
      <c r="U15" s="1352">
        <f t="shared" si="1"/>
        <v>100</v>
      </c>
      <c r="V15" s="1351" t="s">
        <v>104</v>
      </c>
      <c r="W15" s="1352">
        <f t="shared" si="2"/>
        <v>100</v>
      </c>
      <c r="X15" s="1339"/>
      <c r="Y15" s="3577"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1"/>
      <c r="M16" s="2296"/>
      <c r="N16" s="2296"/>
      <c r="O16" s="2296"/>
      <c r="P16" s="3576"/>
      <c r="Q16" s="1350"/>
      <c r="R16" s="1351"/>
      <c r="S16" s="1352"/>
      <c r="T16" s="1351"/>
      <c r="U16" s="1352"/>
      <c r="V16" s="1351"/>
      <c r="W16" s="1352"/>
      <c r="X16" s="1339"/>
      <c r="Y16" s="3578"/>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1"/>
      <c r="M17" s="2296"/>
      <c r="N17" s="2296"/>
      <c r="O17" s="2296"/>
      <c r="P17" s="3576"/>
      <c r="Q17" s="1350" t="str">
        <f>B17</f>
        <v>交通便捷度</v>
      </c>
      <c r="R17" s="1351" t="s">
        <v>104</v>
      </c>
      <c r="S17" s="1352">
        <f>F17</f>
        <v>100</v>
      </c>
      <c r="T17" s="1351" t="s">
        <v>104</v>
      </c>
      <c r="U17" s="1352">
        <f>H17</f>
        <v>100</v>
      </c>
      <c r="V17" s="1351" t="s">
        <v>104</v>
      </c>
      <c r="W17" s="1352">
        <f>J17</f>
        <v>100</v>
      </c>
      <c r="X17" s="1339"/>
      <c r="Y17" s="3578"/>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1"/>
      <c r="M18" s="2296"/>
      <c r="N18" s="2296"/>
      <c r="O18" s="2296"/>
      <c r="P18" s="3576"/>
      <c r="Q18" s="1350"/>
      <c r="R18" s="1351"/>
      <c r="S18" s="1352"/>
      <c r="T18" s="1351"/>
      <c r="U18" s="1352"/>
      <c r="V18" s="1351"/>
      <c r="W18" s="1352"/>
      <c r="X18" s="1339"/>
      <c r="Y18" s="3578"/>
      <c r="Z18" s="1353"/>
      <c r="AA18" s="1354">
        <v>1</v>
      </c>
      <c r="AB18" s="1354">
        <v>1</v>
      </c>
      <c r="AC18" s="1354">
        <v>1</v>
      </c>
    </row>
    <row r="19" spans="1:29" ht="40.5">
      <c r="A19" s="151"/>
      <c r="B19" s="1355" t="s">
        <v>2637</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1"/>
      <c r="M19" s="2296"/>
      <c r="N19" s="2296"/>
      <c r="O19" s="2296"/>
      <c r="P19" s="3576"/>
      <c r="Q19" s="1350" t="str">
        <f>B19</f>
        <v>公共配套设施</v>
      </c>
      <c r="R19" s="1351" t="s">
        <v>104</v>
      </c>
      <c r="S19" s="1352">
        <f>F19</f>
        <v>100</v>
      </c>
      <c r="T19" s="1351" t="s">
        <v>104</v>
      </c>
      <c r="U19" s="1352">
        <f>H19</f>
        <v>100</v>
      </c>
      <c r="V19" s="1351" t="s">
        <v>104</v>
      </c>
      <c r="W19" s="1352">
        <f>J19</f>
        <v>100</v>
      </c>
      <c r="X19" s="1339"/>
      <c r="Y19" s="3578"/>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1"/>
      <c r="M20" s="2296"/>
      <c r="N20" s="2296"/>
      <c r="O20" s="2296"/>
      <c r="P20" s="3576"/>
      <c r="Q20" s="1350"/>
      <c r="R20" s="1351"/>
      <c r="S20" s="1352"/>
      <c r="T20" s="1351"/>
      <c r="U20" s="1352"/>
      <c r="V20" s="1351"/>
      <c r="W20" s="1352"/>
      <c r="X20" s="1339"/>
      <c r="Y20" s="3578"/>
      <c r="Z20" s="1353"/>
      <c r="AA20" s="1354">
        <v>1</v>
      </c>
      <c r="AB20" s="1354">
        <v>1</v>
      </c>
      <c r="AC20" s="1354">
        <v>1</v>
      </c>
    </row>
    <row r="21" spans="1:29" ht="27">
      <c r="A21" s="151"/>
      <c r="B21" s="1411" t="s">
        <v>2648</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1"/>
      <c r="M21" s="2296"/>
      <c r="N21" s="2296"/>
      <c r="O21" s="2296"/>
      <c r="P21" s="3576"/>
      <c r="Q21" s="2746" t="str">
        <f>B21</f>
        <v>基础设施水平</v>
      </c>
      <c r="R21" s="1351" t="s">
        <v>65</v>
      </c>
      <c r="S21" s="1352">
        <f>F21</f>
        <v>100</v>
      </c>
      <c r="T21" s="1351" t="s">
        <v>65</v>
      </c>
      <c r="U21" s="1352">
        <f>H21</f>
        <v>100</v>
      </c>
      <c r="V21" s="1351" t="s">
        <v>65</v>
      </c>
      <c r="W21" s="1352">
        <f>J21</f>
        <v>100</v>
      </c>
      <c r="X21" s="2748"/>
      <c r="Y21" s="3578"/>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3"/>
      <c r="L22" s="2301"/>
      <c r="M22" s="2296"/>
      <c r="N22" s="2296"/>
      <c r="O22" s="2296"/>
      <c r="P22" s="3576"/>
      <c r="Q22" s="2746"/>
      <c r="R22" s="1351"/>
      <c r="S22" s="1352"/>
      <c r="T22" s="1351"/>
      <c r="U22" s="1352"/>
      <c r="V22" s="1351"/>
      <c r="W22" s="1352"/>
      <c r="X22" s="2748"/>
      <c r="Y22" s="3578"/>
      <c r="Z22" s="2747"/>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1"/>
      <c r="M23" s="2296"/>
      <c r="N23" s="2296"/>
      <c r="O23" s="2296"/>
      <c r="P23" s="3576"/>
      <c r="Q23" s="1350" t="str">
        <f>B23</f>
        <v>自然及人文环境</v>
      </c>
      <c r="R23" s="1351" t="s">
        <v>104</v>
      </c>
      <c r="S23" s="1352">
        <f>F23</f>
        <v>100</v>
      </c>
      <c r="T23" s="1351" t="s">
        <v>104</v>
      </c>
      <c r="U23" s="1352">
        <f>H23</f>
        <v>100</v>
      </c>
      <c r="V23" s="1351" t="s">
        <v>104</v>
      </c>
      <c r="W23" s="1352">
        <f>J23</f>
        <v>100</v>
      </c>
      <c r="X23" s="1339"/>
      <c r="Y23" s="3578"/>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1"/>
      <c r="M24" s="2296"/>
      <c r="N24" s="2296"/>
      <c r="O24" s="2296"/>
      <c r="P24" s="3576"/>
      <c r="Q24" s="1350"/>
      <c r="R24" s="1351"/>
      <c r="S24" s="1352"/>
      <c r="T24" s="1351"/>
      <c r="U24" s="1352"/>
      <c r="V24" s="1351"/>
      <c r="W24" s="1352"/>
      <c r="X24" s="1339"/>
      <c r="Y24" s="3578"/>
      <c r="Z24" s="1353"/>
      <c r="AA24" s="1354">
        <v>1</v>
      </c>
      <c r="AB24" s="1354">
        <v>1</v>
      </c>
      <c r="AC24" s="1354">
        <v>1</v>
      </c>
    </row>
    <row r="25" spans="1:29" ht="15">
      <c r="A25" s="151"/>
      <c r="B25" s="12" t="s">
        <v>2299</v>
      </c>
      <c r="C25" s="107"/>
      <c r="D25" s="777">
        <v>100</v>
      </c>
      <c r="E25" s="109"/>
      <c r="F25" s="777">
        <f>SUMIF(86:86,E25,87:87)-SUMIF(86:86,C25,87:87)+100</f>
        <v>100</v>
      </c>
      <c r="G25" s="108"/>
      <c r="H25" s="777">
        <f>SUMIF(86:86,G25,87:87)-SUMIF(86:86,C25,87:87)+100</f>
        <v>100</v>
      </c>
      <c r="I25" s="108"/>
      <c r="J25" s="777">
        <f>SUMIF(86:86,I25,87:87)-SUMIF(86:86,C25,87:87)+100</f>
        <v>100</v>
      </c>
      <c r="K25" s="768"/>
      <c r="L25" s="2301"/>
      <c r="M25" s="2296"/>
      <c r="N25" s="2296"/>
      <c r="O25" s="2296"/>
      <c r="P25" s="3576"/>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578"/>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1"/>
      <c r="M26" s="2296"/>
      <c r="N26" s="2296"/>
      <c r="O26" s="2296"/>
      <c r="P26" s="3576"/>
      <c r="Q26" s="1350" t="str">
        <f t="shared" si="11"/>
        <v>朝向</v>
      </c>
      <c r="R26" s="1351" t="s">
        <v>104</v>
      </c>
      <c r="S26" s="1352">
        <f t="shared" si="12"/>
        <v>100</v>
      </c>
      <c r="T26" s="1351" t="s">
        <v>104</v>
      </c>
      <c r="U26" s="1352">
        <f t="shared" si="13"/>
        <v>100</v>
      </c>
      <c r="V26" s="1351" t="s">
        <v>104</v>
      </c>
      <c r="W26" s="1352">
        <f t="shared" si="14"/>
        <v>100</v>
      </c>
      <c r="X26" s="1339"/>
      <c r="Y26" s="3578"/>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7"/>
      <c r="M27" s="2259"/>
      <c r="N27" s="2259"/>
      <c r="O27" s="2259"/>
      <c r="P27" s="3576"/>
      <c r="Q27" s="7">
        <f t="shared" si="11"/>
        <v>111</v>
      </c>
      <c r="R27" s="1341" t="s">
        <v>104</v>
      </c>
      <c r="S27" s="1342">
        <f t="shared" si="12"/>
        <v>100</v>
      </c>
      <c r="T27" s="1341" t="s">
        <v>104</v>
      </c>
      <c r="U27" s="1342">
        <f t="shared" si="13"/>
        <v>100</v>
      </c>
      <c r="V27" s="1341" t="s">
        <v>104</v>
      </c>
      <c r="W27" s="1342">
        <f t="shared" si="14"/>
        <v>100</v>
      </c>
      <c r="X27" s="287"/>
      <c r="Y27" s="3578"/>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1"/>
      <c r="M28" s="2296"/>
      <c r="N28" s="2296"/>
      <c r="O28" s="2296"/>
      <c r="P28" s="3576"/>
      <c r="Q28" s="1350">
        <f t="shared" si="11"/>
        <v>111</v>
      </c>
      <c r="R28" s="1351" t="s">
        <v>104</v>
      </c>
      <c r="S28" s="1352">
        <f t="shared" si="12"/>
        <v>100</v>
      </c>
      <c r="T28" s="1351" t="s">
        <v>104</v>
      </c>
      <c r="U28" s="1352">
        <f t="shared" si="13"/>
        <v>100</v>
      </c>
      <c r="V28" s="1351" t="s">
        <v>104</v>
      </c>
      <c r="W28" s="1352">
        <f t="shared" si="14"/>
        <v>100</v>
      </c>
      <c r="X28" s="1339"/>
      <c r="Y28" s="3578"/>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1"/>
      <c r="M29" s="2296"/>
      <c r="N29" s="2296"/>
      <c r="O29" s="2296"/>
      <c r="P29" s="3576"/>
      <c r="Q29" s="1350">
        <f t="shared" si="11"/>
        <v>111</v>
      </c>
      <c r="R29" s="1351" t="s">
        <v>104</v>
      </c>
      <c r="S29" s="1352">
        <f t="shared" si="12"/>
        <v>100</v>
      </c>
      <c r="T29" s="1351" t="s">
        <v>104</v>
      </c>
      <c r="U29" s="1352">
        <f t="shared" si="13"/>
        <v>100</v>
      </c>
      <c r="V29" s="1351" t="s">
        <v>104</v>
      </c>
      <c r="W29" s="1352">
        <f t="shared" si="14"/>
        <v>100</v>
      </c>
      <c r="X29" s="1339"/>
      <c r="Y29" s="3578"/>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1"/>
      <c r="M30" s="2296"/>
      <c r="N30" s="2296"/>
      <c r="O30" s="2296"/>
      <c r="P30" s="3576"/>
      <c r="Q30" s="1350">
        <f t="shared" si="11"/>
        <v>111</v>
      </c>
      <c r="R30" s="1351" t="s">
        <v>104</v>
      </c>
      <c r="S30" s="1352">
        <f t="shared" si="12"/>
        <v>100</v>
      </c>
      <c r="T30" s="1351" t="s">
        <v>104</v>
      </c>
      <c r="U30" s="1352">
        <f t="shared" si="13"/>
        <v>100</v>
      </c>
      <c r="V30" s="1351" t="s">
        <v>104</v>
      </c>
      <c r="W30" s="1352">
        <f t="shared" si="14"/>
        <v>100</v>
      </c>
      <c r="X30" s="1339"/>
      <c r="Y30" s="3578"/>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1"/>
      <c r="M31" s="2296"/>
      <c r="N31" s="2296"/>
      <c r="O31" s="2296"/>
      <c r="P31" s="3576"/>
      <c r="Q31" s="1350">
        <f t="shared" si="11"/>
        <v>111</v>
      </c>
      <c r="R31" s="1351" t="s">
        <v>104</v>
      </c>
      <c r="S31" s="1352">
        <f t="shared" si="12"/>
        <v>100</v>
      </c>
      <c r="T31" s="1351" t="s">
        <v>104</v>
      </c>
      <c r="U31" s="1352">
        <f t="shared" si="13"/>
        <v>100</v>
      </c>
      <c r="V31" s="1351" t="s">
        <v>104</v>
      </c>
      <c r="W31" s="1352">
        <f t="shared" si="14"/>
        <v>100</v>
      </c>
      <c r="X31" s="1339"/>
      <c r="Y31" s="3578"/>
      <c r="Z31" s="1353">
        <f t="shared" si="18"/>
        <v>111</v>
      </c>
      <c r="AA31" s="1354">
        <f t="shared" si="15"/>
        <v>1</v>
      </c>
      <c r="AB31" s="1354">
        <f t="shared" si="16"/>
        <v>1</v>
      </c>
      <c r="AC31" s="1354">
        <f t="shared" si="17"/>
        <v>1</v>
      </c>
    </row>
    <row r="32" spans="1:29" ht="15">
      <c r="A32" s="155" t="s">
        <v>1003</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1"/>
      <c r="M32" s="2296"/>
      <c r="N32" s="2296"/>
      <c r="O32" s="2296"/>
      <c r="P32" s="3579" t="s">
        <v>70</v>
      </c>
      <c r="Q32" s="1350" t="str">
        <f t="shared" si="11"/>
        <v>建筑类型</v>
      </c>
      <c r="R32" s="1351" t="s">
        <v>104</v>
      </c>
      <c r="S32" s="1352">
        <f t="shared" si="12"/>
        <v>100</v>
      </c>
      <c r="T32" s="1351" t="s">
        <v>104</v>
      </c>
      <c r="U32" s="1352">
        <f t="shared" si="13"/>
        <v>100</v>
      </c>
      <c r="V32" s="1351" t="s">
        <v>104</v>
      </c>
      <c r="W32" s="1352">
        <f t="shared" si="14"/>
        <v>100</v>
      </c>
      <c r="X32" s="1339"/>
      <c r="Y32" s="3582"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2"/>
      <c r="J33" s="426" t="e">
        <f>LOOKUP(I33,103:103,104:104)-LOOKUP(C33,103:103,104:104)+100</f>
        <v>#N/A</v>
      </c>
      <c r="K33" s="153"/>
      <c r="L33" s="2300"/>
      <c r="M33" s="2302"/>
      <c r="N33" s="2302"/>
      <c r="O33" s="2302"/>
      <c r="P33" s="3580"/>
      <c r="Q33" s="1358" t="str">
        <f t="shared" si="11"/>
        <v>项目建筑规模</v>
      </c>
      <c r="R33" s="1359" t="s">
        <v>104</v>
      </c>
      <c r="S33" s="1360" t="e">
        <f t="shared" si="12"/>
        <v>#N/A</v>
      </c>
      <c r="T33" s="1359" t="s">
        <v>104</v>
      </c>
      <c r="U33" s="1360" t="e">
        <f t="shared" si="13"/>
        <v>#N/A</v>
      </c>
      <c r="V33" s="1359" t="s">
        <v>104</v>
      </c>
      <c r="W33" s="1360" t="e">
        <f t="shared" si="14"/>
        <v>#N/A</v>
      </c>
      <c r="X33" s="1361"/>
      <c r="Y33" s="3582"/>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1"/>
      <c r="M34" s="2296"/>
      <c r="N34" s="2296"/>
      <c r="O34" s="2296"/>
      <c r="P34" s="3580"/>
      <c r="Q34" s="1350" t="str">
        <f t="shared" si="11"/>
        <v>建筑结构</v>
      </c>
      <c r="R34" s="1351" t="s">
        <v>104</v>
      </c>
      <c r="S34" s="1352">
        <f t="shared" si="12"/>
        <v>100</v>
      </c>
      <c r="T34" s="1351" t="s">
        <v>104</v>
      </c>
      <c r="U34" s="1352">
        <f t="shared" si="13"/>
        <v>100</v>
      </c>
      <c r="V34" s="1351" t="s">
        <v>104</v>
      </c>
      <c r="W34" s="1352">
        <f t="shared" si="14"/>
        <v>100</v>
      </c>
      <c r="X34" s="1339"/>
      <c r="Y34" s="3582"/>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1"/>
      <c r="M35" s="2296"/>
      <c r="N35" s="2296"/>
      <c r="O35" s="2296"/>
      <c r="P35" s="3580"/>
      <c r="Q35" s="1350" t="str">
        <f t="shared" si="11"/>
        <v>建筑品质</v>
      </c>
      <c r="R35" s="1351" t="s">
        <v>104</v>
      </c>
      <c r="S35" s="1352">
        <f t="shared" si="12"/>
        <v>100</v>
      </c>
      <c r="T35" s="1351" t="s">
        <v>104</v>
      </c>
      <c r="U35" s="1352">
        <f t="shared" si="13"/>
        <v>100</v>
      </c>
      <c r="V35" s="1351" t="s">
        <v>104</v>
      </c>
      <c r="W35" s="1352">
        <f t="shared" si="14"/>
        <v>100</v>
      </c>
      <c r="X35" s="1339"/>
      <c r="Y35" s="3582"/>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1"/>
      <c r="M36" s="2296"/>
      <c r="N36" s="2296"/>
      <c r="O36" s="2296"/>
      <c r="P36" s="3580"/>
      <c r="Q36" s="1350" t="str">
        <f t="shared" si="11"/>
        <v>公共部分装修</v>
      </c>
      <c r="R36" s="1351" t="s">
        <v>104</v>
      </c>
      <c r="S36" s="1352">
        <f t="shared" si="12"/>
        <v>100</v>
      </c>
      <c r="T36" s="1351" t="s">
        <v>104</v>
      </c>
      <c r="U36" s="1352">
        <f t="shared" si="13"/>
        <v>100</v>
      </c>
      <c r="V36" s="1351" t="s">
        <v>104</v>
      </c>
      <c r="W36" s="1352">
        <f t="shared" si="14"/>
        <v>100</v>
      </c>
      <c r="X36" s="1339"/>
      <c r="Y36" s="3582"/>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7" t="e">
        <f>LOOKUP(E37,112:112,113:113)-LOOKUP(C37,112:112,113:113)+100</f>
        <v>#N/A</v>
      </c>
      <c r="G37" s="818"/>
      <c r="H37" s="426" t="e">
        <f>LOOKUP(G37,112:112,113:113)-LOOKUP(C37,112:112,113:113)+100</f>
        <v>#N/A</v>
      </c>
      <c r="I37" s="817"/>
      <c r="J37" s="426" t="e">
        <f>LOOKUP(I37,112:112,113:113)-LOOKUP(C37,112:112,113:113)+100</f>
        <v>#N/A</v>
      </c>
      <c r="K37" s="768"/>
      <c r="L37" s="2297"/>
      <c r="M37" s="2259"/>
      <c r="N37" s="2259"/>
      <c r="O37" s="2259"/>
      <c r="P37" s="3580"/>
      <c r="Q37" s="7" t="str">
        <f t="shared" si="11"/>
        <v>成新度</v>
      </c>
      <c r="R37" s="1341" t="s">
        <v>104</v>
      </c>
      <c r="S37" s="1342" t="e">
        <f t="shared" si="12"/>
        <v>#N/A</v>
      </c>
      <c r="T37" s="1341" t="s">
        <v>104</v>
      </c>
      <c r="U37" s="1342" t="e">
        <f t="shared" si="13"/>
        <v>#N/A</v>
      </c>
      <c r="V37" s="1341" t="s">
        <v>104</v>
      </c>
      <c r="W37" s="1342" t="e">
        <f t="shared" si="14"/>
        <v>#N/A</v>
      </c>
      <c r="X37" s="287"/>
      <c r="Y37" s="3582"/>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1"/>
      <c r="M38" s="2296"/>
      <c r="N38" s="2296"/>
      <c r="O38" s="2296"/>
      <c r="P38" s="3580" t="s">
        <v>70</v>
      </c>
      <c r="Q38" s="1350" t="str">
        <f t="shared" si="11"/>
        <v>物业管理</v>
      </c>
      <c r="R38" s="1351" t="s">
        <v>104</v>
      </c>
      <c r="S38" s="1352">
        <f t="shared" si="12"/>
        <v>100</v>
      </c>
      <c r="T38" s="1351" t="s">
        <v>104</v>
      </c>
      <c r="U38" s="1352">
        <f t="shared" si="13"/>
        <v>100</v>
      </c>
      <c r="V38" s="1351" t="s">
        <v>104</v>
      </c>
      <c r="W38" s="1352">
        <f t="shared" si="14"/>
        <v>100</v>
      </c>
      <c r="X38" s="1339"/>
      <c r="Y38" s="3582" t="s">
        <v>70</v>
      </c>
      <c r="Z38" s="1353" t="str">
        <f t="shared" si="18"/>
        <v>物业管理</v>
      </c>
      <c r="AA38" s="1354">
        <f t="shared" si="15"/>
        <v>1</v>
      </c>
      <c r="AB38" s="1354">
        <f t="shared" si="16"/>
        <v>1</v>
      </c>
      <c r="AC38" s="1354">
        <f t="shared" si="17"/>
        <v>1</v>
      </c>
    </row>
    <row r="39" spans="1:29" ht="15">
      <c r="A39" s="161"/>
      <c r="B39" s="12" t="s">
        <v>2649</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1"/>
      <c r="M39" s="2296"/>
      <c r="N39" s="2296"/>
      <c r="O39" s="2296"/>
      <c r="P39" s="3580"/>
      <c r="Q39" s="1350" t="str">
        <f t="shared" si="11"/>
        <v>市政基础设施</v>
      </c>
      <c r="R39" s="1351" t="s">
        <v>104</v>
      </c>
      <c r="S39" s="1352">
        <f t="shared" si="12"/>
        <v>100</v>
      </c>
      <c r="T39" s="1351" t="s">
        <v>104</v>
      </c>
      <c r="U39" s="1352">
        <f t="shared" si="13"/>
        <v>100</v>
      </c>
      <c r="V39" s="1351" t="s">
        <v>104</v>
      </c>
      <c r="W39" s="1352">
        <f t="shared" si="14"/>
        <v>100</v>
      </c>
      <c r="X39" s="1339"/>
      <c r="Y39" s="3582"/>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1"/>
      <c r="M40" s="2296"/>
      <c r="N40" s="2296"/>
      <c r="O40" s="2296"/>
      <c r="P40" s="3580"/>
      <c r="Q40" s="1350" t="str">
        <f t="shared" si="11"/>
        <v>房型</v>
      </c>
      <c r="R40" s="1351" t="s">
        <v>104</v>
      </c>
      <c r="S40" s="1352">
        <f t="shared" si="12"/>
        <v>100</v>
      </c>
      <c r="T40" s="1351" t="s">
        <v>104</v>
      </c>
      <c r="U40" s="1352">
        <f t="shared" si="13"/>
        <v>100</v>
      </c>
      <c r="V40" s="1351" t="s">
        <v>104</v>
      </c>
      <c r="W40" s="1352">
        <f t="shared" si="14"/>
        <v>100</v>
      </c>
      <c r="X40" s="1339"/>
      <c r="Y40" s="3582"/>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7">
        <f>SUMIF(120:120,E41,121:121)-SUMIF(120:120,C41,121:121)+100</f>
        <v>100</v>
      </c>
      <c r="G41" s="1027"/>
      <c r="H41" s="426">
        <f>SUMIF(120:120,G41,121:121)-SUMIF(120:120,C41,121:121)+100</f>
        <v>100</v>
      </c>
      <c r="I41" s="114"/>
      <c r="J41" s="777">
        <f>SUMIF(120:120,I41,121:121)-SUMIF(120:120,C41,121:121)+100</f>
        <v>100</v>
      </c>
      <c r="K41" s="153"/>
      <c r="L41" s="2300"/>
      <c r="M41" s="2302"/>
      <c r="N41" s="2302"/>
      <c r="O41" s="2302"/>
      <c r="P41" s="3580"/>
      <c r="Q41" s="1358" t="str">
        <f t="shared" si="11"/>
        <v>单套/主力户型建筑面积</v>
      </c>
      <c r="R41" s="1359" t="s">
        <v>104</v>
      </c>
      <c r="S41" s="1360">
        <f t="shared" si="12"/>
        <v>100</v>
      </c>
      <c r="T41" s="1359" t="s">
        <v>104</v>
      </c>
      <c r="U41" s="1360">
        <f t="shared" si="13"/>
        <v>100</v>
      </c>
      <c r="V41" s="1359" t="s">
        <v>104</v>
      </c>
      <c r="W41" s="1360">
        <f t="shared" si="14"/>
        <v>100</v>
      </c>
      <c r="X41" s="1361"/>
      <c r="Y41" s="3582"/>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1"/>
      <c r="M42" s="2296"/>
      <c r="N42" s="2296"/>
      <c r="O42" s="2296"/>
      <c r="P42" s="3580"/>
      <c r="Q42" s="1350" t="str">
        <f t="shared" si="11"/>
        <v>内部装修</v>
      </c>
      <c r="R42" s="1351" t="s">
        <v>104</v>
      </c>
      <c r="S42" s="1352">
        <f t="shared" si="12"/>
        <v>100</v>
      </c>
      <c r="T42" s="1351" t="s">
        <v>104</v>
      </c>
      <c r="U42" s="1352">
        <f t="shared" si="13"/>
        <v>100</v>
      </c>
      <c r="V42" s="1351" t="s">
        <v>104</v>
      </c>
      <c r="W42" s="1352">
        <f t="shared" si="14"/>
        <v>100</v>
      </c>
      <c r="X42" s="1339"/>
      <c r="Y42" s="3582"/>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1"/>
      <c r="M43" s="2296"/>
      <c r="N43" s="2296"/>
      <c r="O43" s="2296"/>
      <c r="P43" s="3580"/>
      <c r="Q43" s="1350" t="str">
        <f t="shared" si="11"/>
        <v>内部装修维护情况</v>
      </c>
      <c r="R43" s="1351" t="s">
        <v>104</v>
      </c>
      <c r="S43" s="1352">
        <f t="shared" si="12"/>
        <v>100</v>
      </c>
      <c r="T43" s="1351" t="s">
        <v>104</v>
      </c>
      <c r="U43" s="1352">
        <f t="shared" si="13"/>
        <v>100</v>
      </c>
      <c r="V43" s="1351" t="s">
        <v>104</v>
      </c>
      <c r="W43" s="1352">
        <f t="shared" si="14"/>
        <v>100</v>
      </c>
      <c r="X43" s="1339"/>
      <c r="Y43" s="3582"/>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7">
        <f>SUMIF(126:126,E44,127:127)-SUMIF(126:126,C44,127:127)+100</f>
        <v>100</v>
      </c>
      <c r="G44" s="1357"/>
      <c r="H44" s="426">
        <f>SUMIF(126:126,G44,127:127)-SUMIF(126:126,C44,127:127)+100</f>
        <v>100</v>
      </c>
      <c r="I44" s="1357"/>
      <c r="J44" s="426">
        <f>SUMIF(126:126,I44,127:127)-SUMIF(126:126,C44,127:127)+100</f>
        <v>100</v>
      </c>
      <c r="K44" s="153"/>
      <c r="L44" s="2297"/>
      <c r="M44" s="2259"/>
      <c r="N44" s="2259"/>
      <c r="O44" s="2259"/>
      <c r="P44" s="3580"/>
      <c r="Q44" s="7">
        <f t="shared" si="11"/>
        <v>111</v>
      </c>
      <c r="R44" s="1341" t="s">
        <v>104</v>
      </c>
      <c r="S44" s="1342">
        <f t="shared" si="12"/>
        <v>100</v>
      </c>
      <c r="T44" s="1341" t="s">
        <v>104</v>
      </c>
      <c r="U44" s="1342">
        <f t="shared" si="13"/>
        <v>100</v>
      </c>
      <c r="V44" s="1341" t="s">
        <v>104</v>
      </c>
      <c r="W44" s="1342">
        <f t="shared" si="14"/>
        <v>100</v>
      </c>
      <c r="X44" s="287"/>
      <c r="Y44" s="3582"/>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1"/>
      <c r="M45" s="2296"/>
      <c r="N45" s="2296"/>
      <c r="O45" s="2296"/>
      <c r="P45" s="3580"/>
      <c r="Q45" s="1350">
        <f t="shared" si="11"/>
        <v>111</v>
      </c>
      <c r="R45" s="1351" t="s">
        <v>104</v>
      </c>
      <c r="S45" s="1352">
        <f t="shared" si="12"/>
        <v>100</v>
      </c>
      <c r="T45" s="1351" t="s">
        <v>104</v>
      </c>
      <c r="U45" s="1352">
        <f t="shared" si="13"/>
        <v>100</v>
      </c>
      <c r="V45" s="1351" t="s">
        <v>104</v>
      </c>
      <c r="W45" s="1352">
        <f t="shared" si="14"/>
        <v>100</v>
      </c>
      <c r="X45" s="1339"/>
      <c r="Y45" s="3582"/>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1"/>
      <c r="M46" s="2296"/>
      <c r="N46" s="2296"/>
      <c r="O46" s="2296"/>
      <c r="P46" s="3581"/>
      <c r="Q46" s="1350">
        <f t="shared" si="11"/>
        <v>111</v>
      </c>
      <c r="R46" s="1351" t="s">
        <v>103</v>
      </c>
      <c r="S46" s="1352">
        <f t="shared" si="12"/>
        <v>100</v>
      </c>
      <c r="T46" s="1351" t="s">
        <v>103</v>
      </c>
      <c r="U46" s="1352">
        <f t="shared" si="13"/>
        <v>100</v>
      </c>
      <c r="V46" s="1351" t="s">
        <v>103</v>
      </c>
      <c r="W46" s="1352">
        <f t="shared" si="14"/>
        <v>100</v>
      </c>
      <c r="X46" s="1339"/>
      <c r="Y46" s="3583"/>
      <c r="Z46" s="1353">
        <f t="shared" si="18"/>
        <v>111</v>
      </c>
      <c r="AA46" s="1354">
        <f t="shared" si="15"/>
        <v>1</v>
      </c>
      <c r="AB46" s="1354">
        <f t="shared" si="16"/>
        <v>1</v>
      </c>
      <c r="AC46" s="1354">
        <f t="shared" si="17"/>
        <v>1</v>
      </c>
    </row>
    <row r="47" spans="1:29" ht="15">
      <c r="A47" s="163" t="s">
        <v>102</v>
      </c>
      <c r="B47" s="164"/>
      <c r="C47" s="2836" t="s">
        <v>101</v>
      </c>
      <c r="D47" s="2837"/>
      <c r="E47" s="2838"/>
      <c r="F47" s="2839"/>
      <c r="G47" s="2840"/>
      <c r="H47" s="2841"/>
      <c r="I47" s="2838"/>
      <c r="J47" s="2841"/>
      <c r="K47" s="1363"/>
      <c r="L47" s="2303"/>
      <c r="M47" s="2304"/>
      <c r="N47" s="2296"/>
      <c r="O47" s="2304"/>
      <c r="P47" s="3570" t="str">
        <f>A47</f>
        <v>成交单价（元/平方米）</v>
      </c>
      <c r="Q47" s="3570"/>
      <c r="R47" s="3571">
        <f>E47</f>
        <v>0</v>
      </c>
      <c r="S47" s="3571"/>
      <c r="T47" s="3571">
        <f>G47</f>
        <v>0</v>
      </c>
      <c r="U47" s="3571"/>
      <c r="V47" s="3571">
        <f>I47</f>
        <v>0</v>
      </c>
      <c r="W47" s="3571"/>
      <c r="X47" s="1364"/>
      <c r="Y47" s="1365"/>
      <c r="Z47" s="1364"/>
      <c r="AA47" s="1364"/>
      <c r="AB47" s="1364"/>
      <c r="AC47" s="1364"/>
    </row>
    <row r="48" spans="1:29" ht="15.75" thickBot="1">
      <c r="A48" s="165" t="s">
        <v>100</v>
      </c>
      <c r="B48" s="166"/>
      <c r="C48" s="2842" t="e">
        <f>R49</f>
        <v>#DIV/0!</v>
      </c>
      <c r="D48" s="2843"/>
      <c r="E48" s="2844" t="e">
        <f>R48</f>
        <v>#DIV/0!</v>
      </c>
      <c r="F48" s="2844"/>
      <c r="G48" s="2842" t="e">
        <f>T48</f>
        <v>#DIV/0!</v>
      </c>
      <c r="H48" s="2843"/>
      <c r="I48" s="2844" t="e">
        <f>V48</f>
        <v>#DIV/0!</v>
      </c>
      <c r="J48" s="2843"/>
      <c r="K48" s="1366"/>
      <c r="L48" s="2303"/>
      <c r="M48" s="2304"/>
      <c r="N48" s="2304"/>
      <c r="O48" s="2304"/>
      <c r="P48" s="3570" t="str">
        <f>A48</f>
        <v>比较价值（元/平方米）</v>
      </c>
      <c r="Q48" s="3570"/>
      <c r="R48" s="3571" t="e">
        <f>IF(F1="售价",ROUND(PRODUCT(R47,AA7:AA46),0),ROUND(PRODUCT(R47,AA7:AA46),1))</f>
        <v>#DIV/0!</v>
      </c>
      <c r="S48" s="3571"/>
      <c r="T48" s="3571" t="e">
        <f>IF(F1="售价",ROUND(PRODUCT(T47,AB7:AB46),0),ROUND(PRODUCT(T47,AB7:AB46),1))</f>
        <v>#DIV/0!</v>
      </c>
      <c r="U48" s="3571"/>
      <c r="V48" s="3571" t="e">
        <f>IF(F1="售价",ROUND(PRODUCT(V47,AC7:AC46),0),ROUND(PRODUCT(V47,AC7:AC46),1))</f>
        <v>#DIV/0!</v>
      </c>
      <c r="W48" s="3571"/>
      <c r="X48" s="1364"/>
      <c r="Y48" s="1364"/>
      <c r="Z48" s="1364"/>
      <c r="AA48" s="1364"/>
      <c r="AB48" s="1364"/>
      <c r="AC48" s="1364"/>
    </row>
    <row r="49" spans="1:29" ht="15.75" thickBot="1">
      <c r="A49" s="115" t="s">
        <v>3021</v>
      </c>
      <c r="B49" s="116"/>
      <c r="C49" s="2845" t="e">
        <f>R49</f>
        <v>#DIV/0!</v>
      </c>
      <c r="D49" s="2846"/>
      <c r="E49" s="2846"/>
      <c r="F49" s="2846"/>
      <c r="G49" s="2846"/>
      <c r="H49" s="2846"/>
      <c r="I49" s="2846"/>
      <c r="J49" s="2846"/>
      <c r="K49" s="1367"/>
      <c r="L49" s="2303"/>
      <c r="M49" s="2304"/>
      <c r="N49" s="2304"/>
      <c r="O49" s="2304"/>
      <c r="P49" s="3572" t="str">
        <f>A49</f>
        <v>估价对象XX用房的比较价值（楼面单价，元/平方米）</v>
      </c>
      <c r="Q49" s="3573"/>
      <c r="R49" s="3574" t="e">
        <f>IF(F1="售价",ROUND(AVERAGE(R48:V48),0),ROUND(AVERAGE(R48:V48),1))</f>
        <v>#DIV/0!</v>
      </c>
      <c r="S49" s="3574"/>
      <c r="T49" s="3574"/>
      <c r="U49" s="3574"/>
      <c r="V49" s="3574"/>
      <c r="W49" s="3574"/>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row>
    <row r="53" spans="1:29" ht="13.5" customHeight="1">
      <c r="A53" s="2304"/>
      <c r="B53" s="2304"/>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row>
    <row r="54" spans="1:29" s="119" customFormat="1" ht="13.5" customHeight="1">
      <c r="A54" s="2309"/>
      <c r="B54" s="2309"/>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127</v>
      </c>
      <c r="B57" s="1364"/>
      <c r="C57" s="1372"/>
      <c r="D57" s="1372"/>
      <c r="E57" s="1372"/>
      <c r="F57" s="1373"/>
      <c r="G57" s="1373"/>
      <c r="H57" s="1372"/>
      <c r="I57" s="1372"/>
      <c r="J57" s="1372"/>
      <c r="K57" s="2310"/>
      <c r="L57" s="2311"/>
      <c r="M57" s="2312"/>
      <c r="N57" s="2312"/>
      <c r="O57" s="2312"/>
      <c r="P57" s="1375"/>
      <c r="Q57" s="121"/>
    </row>
    <row r="58" spans="1:29" s="850" customFormat="1" ht="15">
      <c r="A58" s="847" t="s">
        <v>2801</v>
      </c>
      <c r="B58" s="848"/>
      <c r="C58" s="3047" t="str">
        <f>YEAR(C7)&amp;"-"&amp;MONTH(C7)</f>
        <v>2017-11</v>
      </c>
      <c r="D58" s="3046">
        <f>EDATE(C58,-1)</f>
        <v>43009</v>
      </c>
      <c r="E58" s="3046">
        <f>EDATE(D58,-1)</f>
        <v>42979</v>
      </c>
      <c r="F58" s="3046">
        <f t="shared" ref="F58:O58" si="19">EDATE(E58,-1)</f>
        <v>42948</v>
      </c>
      <c r="G58" s="3046">
        <f t="shared" si="19"/>
        <v>42917</v>
      </c>
      <c r="H58" s="3046">
        <f t="shared" si="19"/>
        <v>42887</v>
      </c>
      <c r="I58" s="3046">
        <f t="shared" si="19"/>
        <v>42856</v>
      </c>
      <c r="J58" s="3046">
        <f t="shared" si="19"/>
        <v>42826</v>
      </c>
      <c r="K58" s="3046">
        <f t="shared" si="19"/>
        <v>42795</v>
      </c>
      <c r="L58" s="3046">
        <f t="shared" si="19"/>
        <v>42767</v>
      </c>
      <c r="M58" s="3046">
        <f t="shared" si="19"/>
        <v>42736</v>
      </c>
      <c r="N58" s="3046">
        <f t="shared" si="19"/>
        <v>42705</v>
      </c>
      <c r="O58" s="3046">
        <f t="shared" si="19"/>
        <v>42675</v>
      </c>
      <c r="P58" s="3039"/>
    </row>
    <row r="59" spans="1:29" s="40" customFormat="1" ht="14.25">
      <c r="A59" s="1044"/>
      <c r="B59" s="3042"/>
      <c r="C59" s="3043">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1017</v>
      </c>
      <c r="D78" s="920" t="s">
        <v>1018</v>
      </c>
      <c r="E78" s="920" t="s">
        <v>1019</v>
      </c>
      <c r="F78" s="920" t="s">
        <v>1020</v>
      </c>
      <c r="G78" s="920" t="s">
        <v>1021</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2641</v>
      </c>
      <c r="C80" s="920" t="s">
        <v>1017</v>
      </c>
      <c r="D80" s="920" t="s">
        <v>1018</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2651</v>
      </c>
      <c r="C82" s="177" t="s">
        <v>2652</v>
      </c>
      <c r="D82" s="177" t="s">
        <v>2656</v>
      </c>
      <c r="E82" s="177" t="s">
        <v>2653</v>
      </c>
      <c r="F82" s="177" t="s">
        <v>2654</v>
      </c>
      <c r="G82" s="177" t="s">
        <v>2655</v>
      </c>
      <c r="H82" s="881"/>
      <c r="I82" s="881"/>
      <c r="J82" s="881"/>
      <c r="K82" s="881"/>
      <c r="L82" s="881"/>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2300</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2643</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1" t="s">
        <v>2301</v>
      </c>
    </row>
    <row r="137" spans="1:17" ht="14.25">
      <c r="B137" s="2142" t="s">
        <v>2302</v>
      </c>
      <c r="C137" s="2143"/>
      <c r="D137" s="2143"/>
      <c r="E137" s="2143"/>
      <c r="F137" s="2143"/>
      <c r="G137" s="2144"/>
      <c r="H137" s="2145"/>
      <c r="I137" s="2146" t="s">
        <v>2303</v>
      </c>
      <c r="J137" s="2143"/>
      <c r="K137" s="2147"/>
    </row>
    <row r="138" spans="1:17" ht="14.25">
      <c r="B138" s="2148"/>
      <c r="C138" s="1778" t="s">
        <v>2304</v>
      </c>
      <c r="D138" s="1778" t="s">
        <v>2305</v>
      </c>
      <c r="E138" s="2149" t="s">
        <v>2306</v>
      </c>
      <c r="F138" s="2150" t="s">
        <v>2307</v>
      </c>
      <c r="G138" s="1778" t="s">
        <v>2305</v>
      </c>
      <c r="H138" s="2151" t="s">
        <v>2306</v>
      </c>
      <c r="I138" s="2152"/>
      <c r="J138" s="1778" t="s">
        <v>2308</v>
      </c>
      <c r="K138" s="2151" t="s">
        <v>2309</v>
      </c>
    </row>
    <row r="139" spans="1:17" ht="15">
      <c r="B139" s="2153">
        <v>6</v>
      </c>
      <c r="C139" s="2154">
        <v>96</v>
      </c>
      <c r="D139" s="2155" t="s">
        <v>2310</v>
      </c>
      <c r="E139" s="2156">
        <v>100</v>
      </c>
      <c r="F139" s="2157">
        <v>102.5</v>
      </c>
      <c r="G139" s="2155" t="s">
        <v>2310</v>
      </c>
      <c r="H139" s="2158">
        <v>105</v>
      </c>
      <c r="I139" s="2159" t="s">
        <v>2311</v>
      </c>
      <c r="J139" s="2154">
        <v>20</v>
      </c>
      <c r="K139" s="2160">
        <f>C145/(J139-2)</f>
        <v>4.0555555555555553E-3</v>
      </c>
    </row>
    <row r="140" spans="1:17" ht="15">
      <c r="B140" s="2161">
        <v>5</v>
      </c>
      <c r="C140" s="2162">
        <v>100</v>
      </c>
      <c r="D140" s="2163"/>
      <c r="E140" s="2164"/>
      <c r="F140" s="2165">
        <v>102</v>
      </c>
      <c r="G140" s="2163"/>
      <c r="H140" s="2166"/>
      <c r="I140" s="2167" t="s">
        <v>2312</v>
      </c>
      <c r="J140" s="647">
        <f>ROUNDUP((J139-1)/2,0)</f>
        <v>10</v>
      </c>
      <c r="K140" s="2168">
        <v>100</v>
      </c>
    </row>
    <row r="141" spans="1:17" ht="15">
      <c r="B141" s="2161">
        <v>4</v>
      </c>
      <c r="C141" s="2162">
        <v>102</v>
      </c>
      <c r="D141" s="2163"/>
      <c r="E141" s="2164"/>
      <c r="F141" s="2165">
        <v>101.5</v>
      </c>
      <c r="G141" s="2163"/>
      <c r="H141" s="2166"/>
      <c r="I141" s="2167" t="s">
        <v>2313</v>
      </c>
      <c r="J141" s="647">
        <v>1</v>
      </c>
      <c r="K141" s="2169">
        <f>ROUND(100+(J141-J140)*K139*100,1)</f>
        <v>96.4</v>
      </c>
    </row>
    <row r="142" spans="1:17" ht="15">
      <c r="B142" s="2161">
        <v>3</v>
      </c>
      <c r="C142" s="2162">
        <v>103</v>
      </c>
      <c r="D142" s="2163"/>
      <c r="E142" s="2164"/>
      <c r="F142" s="2165">
        <v>101</v>
      </c>
      <c r="G142" s="2163"/>
      <c r="H142" s="2166"/>
      <c r="I142" s="2167" t="s">
        <v>2314</v>
      </c>
      <c r="J142" s="647">
        <f>J139</f>
        <v>20</v>
      </c>
      <c r="K142" s="2170">
        <v>95</v>
      </c>
    </row>
    <row r="143" spans="1:17" ht="15">
      <c r="B143" s="2161">
        <v>2</v>
      </c>
      <c r="C143" s="2162">
        <v>100</v>
      </c>
      <c r="D143" s="2163"/>
      <c r="E143" s="2164"/>
      <c r="F143" s="2165">
        <v>100.5</v>
      </c>
      <c r="G143" s="2163"/>
      <c r="H143" s="2166"/>
      <c r="I143" s="2167" t="s">
        <v>2315</v>
      </c>
      <c r="J143" s="2162">
        <v>15</v>
      </c>
      <c r="K143" s="2169">
        <f>ROUND(100+(J143-J140)*K139*100,1)</f>
        <v>102</v>
      </c>
    </row>
    <row r="144" spans="1:17" ht="15">
      <c r="B144" s="2161">
        <v>1</v>
      </c>
      <c r="C144" s="2162">
        <v>98</v>
      </c>
      <c r="D144" s="1159" t="s">
        <v>2316</v>
      </c>
      <c r="E144" s="2164">
        <v>102</v>
      </c>
      <c r="F144" s="2171">
        <v>100</v>
      </c>
      <c r="G144" s="1159" t="s">
        <v>2316</v>
      </c>
      <c r="H144" s="2166">
        <v>105</v>
      </c>
      <c r="I144" s="2167" t="s">
        <v>2315</v>
      </c>
      <c r="J144" s="2162">
        <v>18</v>
      </c>
      <c r="K144" s="2169">
        <f>ROUND(100+(J144-J140)*K139*100,1)</f>
        <v>103.2</v>
      </c>
    </row>
    <row r="145" spans="2:11" ht="15.75" thickBot="1">
      <c r="B145" s="2172" t="s">
        <v>2317</v>
      </c>
      <c r="C145" s="2173">
        <f>ROUND(MAX(C139:C144)/MIN(C139:C144)-1,3)</f>
        <v>7.2999999999999995E-2</v>
      </c>
      <c r="D145" s="2174"/>
      <c r="E145" s="2175"/>
      <c r="F145" s="2176" t="s">
        <v>2318</v>
      </c>
      <c r="G145" s="2177"/>
      <c r="H145" s="2178"/>
      <c r="I145" s="2179" t="s">
        <v>2319</v>
      </c>
      <c r="J145" s="2180">
        <v>8</v>
      </c>
      <c r="K145" s="2181">
        <f>ROUND(100+(J145-J140)*K139*100,1)</f>
        <v>99.2</v>
      </c>
    </row>
    <row r="147" spans="2:11">
      <c r="B147" s="2141" t="s">
        <v>2327</v>
      </c>
    </row>
    <row r="148" spans="2:11">
      <c r="B148" s="2141" t="s">
        <v>2328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1069</v>
      </c>
      <c r="B1" s="3122" t="s">
        <v>1070</v>
      </c>
      <c r="C1" s="3116" t="s">
        <v>1071</v>
      </c>
      <c r="D1" s="3107"/>
      <c r="E1" s="3112"/>
      <c r="F1" s="3109"/>
      <c r="G1" s="3111" t="s">
        <v>1072</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1073</v>
      </c>
      <c r="B2" s="2847" t="e">
        <f ca="1">IF(C2="——",ROUND(C50*D3/10000,0),ROUND(C50*D3/10000,0)-D2)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1074</v>
      </c>
      <c r="B3" s="951" t="e">
        <f ca="1">IF(C2="——",C50,ROUND(B2*10000/D3,0))</f>
        <v>#DIV/0!</v>
      </c>
      <c r="C3" s="142" t="s">
        <v>1075</v>
      </c>
      <c r="D3" s="742">
        <f>IF(D1="",'数据-汇总表'!E3,SUMIF('数据-汇总表'!$C19:$C33,D1,'数据-汇总表'!$E19:$E33))</f>
        <v>2579.75</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1076</v>
      </c>
      <c r="B4" s="144"/>
      <c r="C4" s="3589" t="s">
        <v>1077</v>
      </c>
      <c r="D4" s="3590"/>
      <c r="E4" s="3591" t="s">
        <v>1078</v>
      </c>
      <c r="F4" s="3592"/>
      <c r="G4" s="3589" t="s">
        <v>1079</v>
      </c>
      <c r="H4" s="3590"/>
      <c r="I4" s="3589" t="s">
        <v>1080</v>
      </c>
      <c r="J4" s="3590"/>
      <c r="K4" s="187" t="s">
        <v>1081</v>
      </c>
      <c r="L4" s="2295"/>
      <c r="M4" s="2296"/>
      <c r="N4" s="2296"/>
      <c r="O4" s="2296"/>
      <c r="P4" s="3655" t="s">
        <v>1076</v>
      </c>
      <c r="Q4" s="3656"/>
      <c r="R4" s="3659" t="s">
        <v>1078</v>
      </c>
      <c r="S4" s="3660"/>
      <c r="T4" s="3659" t="s">
        <v>1079</v>
      </c>
      <c r="U4" s="3660"/>
      <c r="V4" s="3661" t="s">
        <v>1080</v>
      </c>
      <c r="W4" s="3661"/>
      <c r="X4" s="2335"/>
      <c r="Y4" s="3659" t="s">
        <v>1076</v>
      </c>
      <c r="Z4" s="3660"/>
      <c r="AA4" s="3663" t="s">
        <v>1078</v>
      </c>
      <c r="AB4" s="3663" t="s">
        <v>1079</v>
      </c>
      <c r="AC4" s="3652" t="s">
        <v>1080</v>
      </c>
    </row>
    <row r="5" spans="1:29">
      <c r="A5" s="146"/>
      <c r="B5" s="147"/>
      <c r="C5" s="3607" t="s">
        <v>1082</v>
      </c>
      <c r="D5" s="3608"/>
      <c r="E5" s="3614" t="s">
        <v>1083</v>
      </c>
      <c r="F5" s="3615"/>
      <c r="G5" s="3607" t="s">
        <v>1084</v>
      </c>
      <c r="H5" s="3608"/>
      <c r="I5" s="3607" t="s">
        <v>1085</v>
      </c>
      <c r="J5" s="3608"/>
      <c r="K5" s="187"/>
      <c r="L5" s="2295"/>
      <c r="M5" s="2296"/>
      <c r="N5" s="2296"/>
      <c r="O5" s="2296"/>
      <c r="P5" s="3657"/>
      <c r="Q5" s="3596"/>
      <c r="R5" s="3601"/>
      <c r="S5" s="3602"/>
      <c r="T5" s="3601"/>
      <c r="U5" s="3602"/>
      <c r="V5" s="3584"/>
      <c r="W5" s="3584"/>
      <c r="X5" s="2221"/>
      <c r="Y5" s="3601"/>
      <c r="Z5" s="3602"/>
      <c r="AA5" s="3587"/>
      <c r="AB5" s="3587"/>
      <c r="AC5" s="3653"/>
    </row>
    <row r="6" spans="1:29" ht="14.25" thickBot="1">
      <c r="A6" s="148"/>
      <c r="B6" s="149"/>
      <c r="C6" s="3605" t="s">
        <v>1086</v>
      </c>
      <c r="D6" s="3606"/>
      <c r="E6" s="3612" t="s">
        <v>1086</v>
      </c>
      <c r="F6" s="3613"/>
      <c r="G6" s="3605" t="s">
        <v>1086</v>
      </c>
      <c r="H6" s="3606"/>
      <c r="I6" s="3605" t="s">
        <v>1086</v>
      </c>
      <c r="J6" s="3606"/>
      <c r="K6" s="187" t="s">
        <v>1087</v>
      </c>
      <c r="L6" s="2295"/>
      <c r="M6" s="2296"/>
      <c r="N6" s="2296"/>
      <c r="O6" s="2296"/>
      <c r="P6" s="3658"/>
      <c r="Q6" s="3598"/>
      <c r="R6" s="3601"/>
      <c r="S6" s="3602"/>
      <c r="T6" s="3603"/>
      <c r="U6" s="3604"/>
      <c r="V6" s="3584"/>
      <c r="W6" s="3584"/>
      <c r="X6" s="2221"/>
      <c r="Y6" s="3603"/>
      <c r="Z6" s="3604"/>
      <c r="AA6" s="3588"/>
      <c r="AB6" s="3588"/>
      <c r="AC6" s="3654"/>
    </row>
    <row r="7" spans="1:29" s="40" customFormat="1" ht="15" thickBot="1">
      <c r="A7" s="1013" t="s">
        <v>1088</v>
      </c>
      <c r="B7" s="1014"/>
      <c r="C7" s="753">
        <f>'数据-取费表'!B2</f>
        <v>43040</v>
      </c>
      <c r="D7" s="754">
        <v>100</v>
      </c>
      <c r="E7" s="1016"/>
      <c r="F7" s="756">
        <f>SUMIF(59:59,YEAR(E7)&amp;"-"&amp;MONTH(E7),60:60)</f>
        <v>0</v>
      </c>
      <c r="G7" s="1016"/>
      <c r="H7" s="754">
        <f>SUMIF(59:59,YEAR(G7)&amp;"-"&amp;MONTH(G7),60:60)</f>
        <v>0</v>
      </c>
      <c r="I7" s="1016"/>
      <c r="J7" s="754">
        <f>SUMIF(59:59,YEAR(I7)&amp;"-"&amp;MONTH(I7),60:60)</f>
        <v>0</v>
      </c>
      <c r="K7" s="1018"/>
      <c r="L7" s="2297"/>
      <c r="M7" s="2259"/>
      <c r="N7" s="2259"/>
      <c r="O7" s="2259"/>
      <c r="P7" s="3662" t="s">
        <v>1088</v>
      </c>
      <c r="Q7" s="3611"/>
      <c r="R7" s="1341" t="s">
        <v>65</v>
      </c>
      <c r="S7" s="1342">
        <f t="shared" ref="S7:S15" si="0">F7</f>
        <v>0</v>
      </c>
      <c r="T7" s="1341" t="s">
        <v>65</v>
      </c>
      <c r="U7" s="1342">
        <f t="shared" ref="U7:U15" si="1">H7</f>
        <v>0</v>
      </c>
      <c r="V7" s="1341" t="s">
        <v>65</v>
      </c>
      <c r="W7" s="1342">
        <f t="shared" ref="W7:W15" si="2">J7</f>
        <v>0</v>
      </c>
      <c r="X7" s="287"/>
      <c r="Y7" s="3609" t="s">
        <v>1088</v>
      </c>
      <c r="Z7" s="3610"/>
      <c r="AA7" s="1343" t="e">
        <f>D7/F7</f>
        <v>#DIV/0!</v>
      </c>
      <c r="AB7" s="1343" t="e">
        <f>D7/H7</f>
        <v>#DIV/0!</v>
      </c>
      <c r="AC7" s="2336" t="e">
        <f>D7/J7</f>
        <v>#DIV/0!</v>
      </c>
    </row>
    <row r="8" spans="1:29" s="40" customFormat="1" ht="15" thickBot="1">
      <c r="A8" s="1013" t="s">
        <v>1089</v>
      </c>
      <c r="B8" s="1014"/>
      <c r="C8" s="1019" t="s">
        <v>1090</v>
      </c>
      <c r="D8" s="754">
        <v>100</v>
      </c>
      <c r="E8" s="1019"/>
      <c r="F8" s="756">
        <f>SUMIF(62:62,E8,63:63)-SUMIF(62:62,C8,63:63)+100</f>
        <v>0</v>
      </c>
      <c r="G8" s="1019"/>
      <c r="H8" s="754">
        <f>SUMIF(62:62,G8,63:63)-SUMIF(62:62,C8,63:63)+100</f>
        <v>0</v>
      </c>
      <c r="I8" s="1019"/>
      <c r="J8" s="754">
        <f>SUMIF(62:62,I8,63:63)-SUMIF(62:62,C8,63:63)+100</f>
        <v>0</v>
      </c>
      <c r="K8" s="1018"/>
      <c r="L8" s="2297"/>
      <c r="M8" s="2259"/>
      <c r="N8" s="2259"/>
      <c r="O8" s="2259"/>
      <c r="P8" s="3662" t="s">
        <v>1022</v>
      </c>
      <c r="Q8" s="3610"/>
      <c r="R8" s="1341" t="s">
        <v>65</v>
      </c>
      <c r="S8" s="1342">
        <f t="shared" si="0"/>
        <v>0</v>
      </c>
      <c r="T8" s="1341" t="s">
        <v>65</v>
      </c>
      <c r="U8" s="1342">
        <f t="shared" si="1"/>
        <v>0</v>
      </c>
      <c r="V8" s="1341" t="s">
        <v>65</v>
      </c>
      <c r="W8" s="1342">
        <f t="shared" si="2"/>
        <v>0</v>
      </c>
      <c r="X8" s="287"/>
      <c r="Y8" s="3609" t="s">
        <v>1022</v>
      </c>
      <c r="Z8" s="3610"/>
      <c r="AA8" s="1343" t="e">
        <f t="shared" ref="AA8:AA47" si="3">D8/F8</f>
        <v>#DIV/0!</v>
      </c>
      <c r="AB8" s="1343" t="e">
        <f t="shared" ref="AB8:AB47" si="4">D8/H8</f>
        <v>#DIV/0!</v>
      </c>
      <c r="AC8" s="2336" t="e">
        <f t="shared" ref="AC8:AC47" si="5">D8/J8</f>
        <v>#DIV/0!</v>
      </c>
    </row>
    <row r="9" spans="1:29" s="40" customFormat="1" ht="14.25">
      <c r="A9" s="1020" t="s">
        <v>1023</v>
      </c>
      <c r="B9" s="62" t="s">
        <v>1024</v>
      </c>
      <c r="C9" s="1345"/>
      <c r="D9" s="425">
        <v>100</v>
      </c>
      <c r="E9" s="1347"/>
      <c r="F9" s="425">
        <f>SUMIF(64:64,E9,65:65)-SUMIF(64:64,C9,65:65)+100</f>
        <v>100</v>
      </c>
      <c r="G9" s="1346"/>
      <c r="H9" s="425">
        <f>SUMIF(64:64,G9,65:65)-SUMIF(64:64,C9,65:65)+100</f>
        <v>100</v>
      </c>
      <c r="I9" s="1346"/>
      <c r="J9" s="425">
        <f>SUMIF(64:64,I9,65:65)-SUMIF(64:64,C9,65:65)+100</f>
        <v>100</v>
      </c>
      <c r="K9" s="1018"/>
      <c r="L9" s="2297"/>
      <c r="M9" s="2259"/>
      <c r="N9" s="2259"/>
      <c r="O9" s="2259"/>
      <c r="P9" s="3585" t="s">
        <v>67</v>
      </c>
      <c r="Q9" s="2212" t="str">
        <f t="shared" ref="Q9:Q15" si="6">B9</f>
        <v>用途</v>
      </c>
      <c r="R9" s="1341" t="s">
        <v>65</v>
      </c>
      <c r="S9" s="1342">
        <f t="shared" si="0"/>
        <v>100</v>
      </c>
      <c r="T9" s="1341" t="s">
        <v>65</v>
      </c>
      <c r="U9" s="1342">
        <f t="shared" si="1"/>
        <v>100</v>
      </c>
      <c r="V9" s="1341" t="s">
        <v>65</v>
      </c>
      <c r="W9" s="1342">
        <f t="shared" si="2"/>
        <v>100</v>
      </c>
      <c r="X9" s="287"/>
      <c r="Y9" s="3420" t="s">
        <v>67</v>
      </c>
      <c r="Z9" s="2211" t="str">
        <f t="shared" ref="Z9:Z15" si="7">Q9</f>
        <v>用途</v>
      </c>
      <c r="AA9" s="1343">
        <f t="shared" si="3"/>
        <v>1</v>
      </c>
      <c r="AB9" s="1343">
        <f t="shared" si="4"/>
        <v>1</v>
      </c>
      <c r="AC9" s="2336">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8"/>
      <c r="M10" s="2299"/>
      <c r="N10" s="2299"/>
      <c r="O10" s="2299"/>
      <c r="P10" s="3585"/>
      <c r="Q10" s="2212" t="str">
        <f t="shared" si="6"/>
        <v>土地使用年限（年）</v>
      </c>
      <c r="R10" s="1341" t="s">
        <v>65</v>
      </c>
      <c r="S10" s="1342">
        <f t="shared" si="0"/>
        <v>100</v>
      </c>
      <c r="T10" s="1341" t="s">
        <v>65</v>
      </c>
      <c r="U10" s="1342">
        <f t="shared" si="1"/>
        <v>100</v>
      </c>
      <c r="V10" s="1341" t="s">
        <v>65</v>
      </c>
      <c r="W10" s="1342">
        <f t="shared" si="2"/>
        <v>100</v>
      </c>
      <c r="X10" s="287"/>
      <c r="Y10" s="3420"/>
      <c r="Z10" s="2211" t="str">
        <f t="shared" si="7"/>
        <v>土地使用年限（年）</v>
      </c>
      <c r="AA10" s="1343">
        <f t="shared" si="3"/>
        <v>1</v>
      </c>
      <c r="AB10" s="1343">
        <f t="shared" si="4"/>
        <v>1</v>
      </c>
      <c r="AC10" s="2336">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4"/>
      <c r="L11" s="2300"/>
      <c r="M11" s="2296"/>
      <c r="N11" s="2296"/>
      <c r="O11" s="2296"/>
      <c r="P11" s="3585"/>
      <c r="Q11" s="2212" t="str">
        <f t="shared" si="6"/>
        <v>容积率</v>
      </c>
      <c r="R11" s="1341" t="s">
        <v>65</v>
      </c>
      <c r="S11" s="1342" t="e">
        <f t="shared" si="0"/>
        <v>#N/A</v>
      </c>
      <c r="T11" s="1341" t="s">
        <v>65</v>
      </c>
      <c r="U11" s="1342" t="e">
        <f t="shared" si="1"/>
        <v>#N/A</v>
      </c>
      <c r="V11" s="1341" t="s">
        <v>65</v>
      </c>
      <c r="W11" s="1342" t="e">
        <f t="shared" si="2"/>
        <v>#N/A</v>
      </c>
      <c r="X11" s="287"/>
      <c r="Y11" s="3420"/>
      <c r="Z11" s="2211" t="str">
        <f t="shared" si="7"/>
        <v>容积率</v>
      </c>
      <c r="AA11" s="1343" t="e">
        <f t="shared" si="3"/>
        <v>#N/A</v>
      </c>
      <c r="AB11" s="1343" t="e">
        <f t="shared" si="4"/>
        <v>#N/A</v>
      </c>
      <c r="AC11" s="2336" t="e">
        <f t="shared" si="5"/>
        <v>#N/A</v>
      </c>
    </row>
    <row r="12" spans="1:29" s="40" customFormat="1" ht="14.25">
      <c r="A12" s="1029"/>
      <c r="B12" s="1030">
        <v>111</v>
      </c>
      <c r="C12" s="1023"/>
      <c r="D12" s="775">
        <v>100</v>
      </c>
      <c r="E12" s="1023"/>
      <c r="F12" s="426">
        <f>SUMIF(71:71,E12,72:72)-SUMIF(71:71,C12,72:72)+100</f>
        <v>100</v>
      </c>
      <c r="G12" s="1402"/>
      <c r="H12" s="426">
        <f>SUMIF(71:71,G12,72:72)-SUMIF(71:71,C12,72:72)+100</f>
        <v>100</v>
      </c>
      <c r="I12" s="1023"/>
      <c r="J12" s="426">
        <f>SUMIF(71:71,I12,72:72)-SUMIF(71:71,C12,72:72)+100</f>
        <v>100</v>
      </c>
      <c r="K12" s="188"/>
      <c r="L12" s="2297"/>
      <c r="M12" s="2259"/>
      <c r="N12" s="2259"/>
      <c r="O12" s="2259"/>
      <c r="P12" s="3585"/>
      <c r="Q12" s="2212">
        <f t="shared" si="6"/>
        <v>111</v>
      </c>
      <c r="R12" s="1341" t="s">
        <v>65</v>
      </c>
      <c r="S12" s="1342">
        <f t="shared" si="0"/>
        <v>100</v>
      </c>
      <c r="T12" s="1341" t="s">
        <v>65</v>
      </c>
      <c r="U12" s="1342">
        <f t="shared" si="1"/>
        <v>100</v>
      </c>
      <c r="V12" s="1341" t="s">
        <v>65</v>
      </c>
      <c r="W12" s="1342">
        <f t="shared" si="2"/>
        <v>100</v>
      </c>
      <c r="X12" s="287"/>
      <c r="Y12" s="3420"/>
      <c r="Z12" s="2211">
        <f t="shared" si="7"/>
        <v>111</v>
      </c>
      <c r="AA12" s="1343">
        <f>D12/F12</f>
        <v>1</v>
      </c>
      <c r="AB12" s="1343">
        <f>D12/H12</f>
        <v>1</v>
      </c>
      <c r="AC12" s="2336">
        <f>D12/J12</f>
        <v>1</v>
      </c>
    </row>
    <row r="13" spans="1:29" ht="14.25">
      <c r="A13" s="151"/>
      <c r="B13" s="1030">
        <v>111</v>
      </c>
      <c r="C13" s="93"/>
      <c r="D13" s="777">
        <v>100</v>
      </c>
      <c r="E13" s="1023"/>
      <c r="F13" s="426">
        <f>SUMIF(73:73,E13,74:74)-SUMIF(73:73,C13,74:74)+100</f>
        <v>100</v>
      </c>
      <c r="G13" s="1402"/>
      <c r="H13" s="777">
        <f>SUMIF(73:73,G13,74:74)-SUMIF(73:73,C13,74:74)+100</f>
        <v>100</v>
      </c>
      <c r="I13" s="1023"/>
      <c r="J13" s="777">
        <f>SUMIF(73:73,I13,74:74)-SUMIF(73:73,C13,74:74)+100</f>
        <v>100</v>
      </c>
      <c r="K13" s="188"/>
      <c r="L13" s="2301"/>
      <c r="M13" s="2296"/>
      <c r="N13" s="2296"/>
      <c r="O13" s="2296"/>
      <c r="P13" s="3585"/>
      <c r="Q13" s="2212">
        <f t="shared" si="6"/>
        <v>111</v>
      </c>
      <c r="R13" s="1341" t="s">
        <v>65</v>
      </c>
      <c r="S13" s="1342">
        <f t="shared" si="0"/>
        <v>100</v>
      </c>
      <c r="T13" s="1341" t="s">
        <v>65</v>
      </c>
      <c r="U13" s="1342">
        <f t="shared" si="1"/>
        <v>100</v>
      </c>
      <c r="V13" s="1341" t="s">
        <v>65</v>
      </c>
      <c r="W13" s="1342">
        <f t="shared" si="2"/>
        <v>100</v>
      </c>
      <c r="X13" s="287"/>
      <c r="Y13" s="3420"/>
      <c r="Z13" s="2211">
        <f t="shared" si="7"/>
        <v>111</v>
      </c>
      <c r="AA13" s="1343">
        <f t="shared" si="3"/>
        <v>1</v>
      </c>
      <c r="AB13" s="1343">
        <f t="shared" si="4"/>
        <v>1</v>
      </c>
      <c r="AC13" s="2336">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1"/>
      <c r="M14" s="2296"/>
      <c r="N14" s="2296"/>
      <c r="O14" s="2296"/>
      <c r="P14" s="3585"/>
      <c r="Q14" s="2212">
        <f t="shared" si="6"/>
        <v>111</v>
      </c>
      <c r="R14" s="1341" t="s">
        <v>65</v>
      </c>
      <c r="S14" s="1342">
        <f t="shared" si="0"/>
        <v>100</v>
      </c>
      <c r="T14" s="1341" t="s">
        <v>65</v>
      </c>
      <c r="U14" s="1342">
        <f t="shared" si="1"/>
        <v>100</v>
      </c>
      <c r="V14" s="1341" t="s">
        <v>65</v>
      </c>
      <c r="W14" s="1342">
        <f t="shared" si="2"/>
        <v>100</v>
      </c>
      <c r="X14" s="287"/>
      <c r="Y14" s="3420"/>
      <c r="Z14" s="2211">
        <f t="shared" si="7"/>
        <v>111</v>
      </c>
      <c r="AA14" s="1343">
        <f t="shared" si="3"/>
        <v>1</v>
      </c>
      <c r="AB14" s="1343">
        <f t="shared" si="4"/>
        <v>1</v>
      </c>
      <c r="AC14" s="2336">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301"/>
      <c r="M15" s="2296"/>
      <c r="N15" s="2296"/>
      <c r="O15" s="2296"/>
      <c r="P15" s="3575" t="s">
        <v>69</v>
      </c>
      <c r="Q15" s="2219" t="str">
        <f t="shared" si="6"/>
        <v>办公集聚程度</v>
      </c>
      <c r="R15" s="1351" t="s">
        <v>65</v>
      </c>
      <c r="S15" s="1352">
        <f t="shared" si="0"/>
        <v>100</v>
      </c>
      <c r="T15" s="1351" t="s">
        <v>65</v>
      </c>
      <c r="U15" s="1352">
        <f t="shared" si="1"/>
        <v>100</v>
      </c>
      <c r="V15" s="1351" t="s">
        <v>65</v>
      </c>
      <c r="W15" s="1352">
        <f t="shared" si="2"/>
        <v>100</v>
      </c>
      <c r="X15" s="2221"/>
      <c r="Y15" s="3577" t="s">
        <v>69</v>
      </c>
      <c r="Z15" s="2220" t="str">
        <f t="shared" si="7"/>
        <v>办公集聚程度</v>
      </c>
      <c r="AA15" s="1354">
        <f t="shared" si="3"/>
        <v>1</v>
      </c>
      <c r="AB15" s="1354">
        <f t="shared" si="4"/>
        <v>1</v>
      </c>
      <c r="AC15" s="2337">
        <f t="shared" si="5"/>
        <v>1</v>
      </c>
    </row>
    <row r="16" spans="1:29" ht="14.25">
      <c r="A16" s="151"/>
      <c r="B16" s="209"/>
      <c r="C16" s="192"/>
      <c r="D16" s="790"/>
      <c r="E16" s="97"/>
      <c r="F16" s="790"/>
      <c r="G16" s="192"/>
      <c r="H16" s="792"/>
      <c r="I16" s="97"/>
      <c r="J16" s="790"/>
      <c r="K16" s="189"/>
      <c r="L16" s="2301"/>
      <c r="M16" s="2296"/>
      <c r="N16" s="2296"/>
      <c r="O16" s="2296"/>
      <c r="P16" s="3576"/>
      <c r="Q16" s="2219"/>
      <c r="R16" s="1351"/>
      <c r="S16" s="1352"/>
      <c r="T16" s="1351"/>
      <c r="U16" s="1352"/>
      <c r="V16" s="1351"/>
      <c r="W16" s="1352"/>
      <c r="X16" s="2221"/>
      <c r="Y16" s="3578"/>
      <c r="Z16" s="2220"/>
      <c r="AA16" s="1354">
        <v>1</v>
      </c>
      <c r="AB16" s="1354">
        <v>1</v>
      </c>
      <c r="AC16" s="2337">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1"/>
      <c r="M17" s="2296"/>
      <c r="N17" s="2296"/>
      <c r="O17" s="2296"/>
      <c r="P17" s="3576"/>
      <c r="Q17" s="2219" t="str">
        <f>B17</f>
        <v>交通便捷度</v>
      </c>
      <c r="R17" s="1351" t="s">
        <v>65</v>
      </c>
      <c r="S17" s="1352">
        <f>F17</f>
        <v>100</v>
      </c>
      <c r="T17" s="1351" t="s">
        <v>65</v>
      </c>
      <c r="U17" s="1352">
        <f>H17</f>
        <v>100</v>
      </c>
      <c r="V17" s="1351" t="s">
        <v>65</v>
      </c>
      <c r="W17" s="1352">
        <f>J17</f>
        <v>100</v>
      </c>
      <c r="X17" s="2221"/>
      <c r="Y17" s="3578"/>
      <c r="Z17" s="2220" t="str">
        <f>Q17</f>
        <v>交通便捷度</v>
      </c>
      <c r="AA17" s="1354">
        <f t="shared" si="3"/>
        <v>1</v>
      </c>
      <c r="AB17" s="1354">
        <f t="shared" si="4"/>
        <v>1</v>
      </c>
      <c r="AC17" s="2337">
        <f t="shared" si="5"/>
        <v>1</v>
      </c>
    </row>
    <row r="18" spans="1:29" ht="14.25">
      <c r="A18" s="151"/>
      <c r="B18" s="1034"/>
      <c r="C18" s="193"/>
      <c r="D18" s="792"/>
      <c r="E18" s="104"/>
      <c r="F18" s="792"/>
      <c r="G18" s="103"/>
      <c r="H18" s="790"/>
      <c r="I18" s="103"/>
      <c r="J18" s="790"/>
      <c r="K18" s="189"/>
      <c r="L18" s="2301"/>
      <c r="M18" s="2296"/>
      <c r="N18" s="2296"/>
      <c r="O18" s="2296"/>
      <c r="P18" s="3576"/>
      <c r="Q18" s="2219"/>
      <c r="R18" s="1351"/>
      <c r="S18" s="1352"/>
      <c r="T18" s="1351"/>
      <c r="U18" s="1352"/>
      <c r="V18" s="1351"/>
      <c r="W18" s="1352"/>
      <c r="X18" s="2221"/>
      <c r="Y18" s="3578"/>
      <c r="Z18" s="2220"/>
      <c r="AA18" s="1354">
        <v>1</v>
      </c>
      <c r="AB18" s="1354">
        <v>1</v>
      </c>
      <c r="AC18" s="2337">
        <v>1</v>
      </c>
    </row>
    <row r="19" spans="1:29" ht="40.5">
      <c r="A19" s="151"/>
      <c r="B19" s="1033" t="s">
        <v>2666</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1"/>
      <c r="M19" s="2296"/>
      <c r="N19" s="2296"/>
      <c r="O19" s="2296"/>
      <c r="P19" s="3576"/>
      <c r="Q19" s="2219" t="str">
        <f>B19</f>
        <v>公共配套设施</v>
      </c>
      <c r="R19" s="1351" t="s">
        <v>65</v>
      </c>
      <c r="S19" s="1352">
        <f>F19</f>
        <v>100</v>
      </c>
      <c r="T19" s="1351" t="s">
        <v>65</v>
      </c>
      <c r="U19" s="1352">
        <f>H19</f>
        <v>100</v>
      </c>
      <c r="V19" s="1351" t="s">
        <v>65</v>
      </c>
      <c r="W19" s="1352">
        <f>J19</f>
        <v>100</v>
      </c>
      <c r="X19" s="2221"/>
      <c r="Y19" s="3578"/>
      <c r="Z19" s="2220" t="str">
        <f>Q19</f>
        <v>公共配套设施</v>
      </c>
      <c r="AA19" s="1354">
        <f t="shared" si="3"/>
        <v>1</v>
      </c>
      <c r="AB19" s="1354">
        <f t="shared" si="4"/>
        <v>1</v>
      </c>
      <c r="AC19" s="2337">
        <f t="shared" si="5"/>
        <v>1</v>
      </c>
    </row>
    <row r="20" spans="1:29" ht="14.25">
      <c r="A20" s="151"/>
      <c r="B20" s="1034"/>
      <c r="C20" s="192"/>
      <c r="D20" s="790"/>
      <c r="E20" s="99"/>
      <c r="F20" s="790"/>
      <c r="G20" s="98"/>
      <c r="H20" s="790"/>
      <c r="I20" s="98"/>
      <c r="J20" s="790"/>
      <c r="K20" s="189"/>
      <c r="L20" s="2301"/>
      <c r="M20" s="2296"/>
      <c r="N20" s="2296"/>
      <c r="O20" s="2296"/>
      <c r="P20" s="3576"/>
      <c r="Q20" s="2219"/>
      <c r="R20" s="1351"/>
      <c r="S20" s="1352"/>
      <c r="T20" s="1351"/>
      <c r="U20" s="1352"/>
      <c r="V20" s="1351"/>
      <c r="W20" s="1352"/>
      <c r="X20" s="2221"/>
      <c r="Y20" s="3578"/>
      <c r="Z20" s="2220"/>
      <c r="AA20" s="1354">
        <v>1</v>
      </c>
      <c r="AB20" s="1354">
        <v>1</v>
      </c>
      <c r="AC20" s="2337">
        <v>1</v>
      </c>
    </row>
    <row r="21" spans="1:29" ht="27">
      <c r="A21" s="151"/>
      <c r="B21" s="1035" t="s">
        <v>2667</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1"/>
      <c r="M21" s="2296"/>
      <c r="N21" s="2296"/>
      <c r="O21" s="2296"/>
      <c r="P21" s="3576"/>
      <c r="Q21" s="2746" t="str">
        <f>B21</f>
        <v>基础设施水平</v>
      </c>
      <c r="R21" s="1351" t="s">
        <v>65</v>
      </c>
      <c r="S21" s="1352">
        <f>F21</f>
        <v>100</v>
      </c>
      <c r="T21" s="1351" t="s">
        <v>65</v>
      </c>
      <c r="U21" s="1352">
        <f>H21</f>
        <v>100</v>
      </c>
      <c r="V21" s="1351" t="s">
        <v>65</v>
      </c>
      <c r="W21" s="1352">
        <f>J21</f>
        <v>100</v>
      </c>
      <c r="X21" s="2748"/>
      <c r="Y21" s="3578"/>
      <c r="Z21" s="2747" t="str">
        <f>Q21</f>
        <v>基础设施水平</v>
      </c>
      <c r="AA21" s="1354">
        <f t="shared" ref="AA21" si="8">D21/F21</f>
        <v>1</v>
      </c>
      <c r="AB21" s="1354">
        <f t="shared" ref="AB21" si="9">D21/H21</f>
        <v>1</v>
      </c>
      <c r="AC21" s="2337">
        <f t="shared" ref="AC21" si="10">D21/J21</f>
        <v>1</v>
      </c>
    </row>
    <row r="22" spans="1:29" ht="14.25">
      <c r="A22" s="151"/>
      <c r="B22" s="1035"/>
      <c r="C22" s="193"/>
      <c r="D22" s="790"/>
      <c r="E22" s="97"/>
      <c r="F22" s="790"/>
      <c r="G22" s="192"/>
      <c r="H22" s="790"/>
      <c r="I22" s="192"/>
      <c r="J22" s="790"/>
      <c r="K22" s="2766"/>
      <c r="L22" s="2301"/>
      <c r="M22" s="2296"/>
      <c r="N22" s="2296"/>
      <c r="O22" s="2296"/>
      <c r="P22" s="3576"/>
      <c r="Q22" s="2746"/>
      <c r="R22" s="1351"/>
      <c r="S22" s="1352"/>
      <c r="T22" s="1351"/>
      <c r="U22" s="1352"/>
      <c r="V22" s="1351"/>
      <c r="W22" s="1352"/>
      <c r="X22" s="2748"/>
      <c r="Y22" s="3578"/>
      <c r="Z22" s="2747"/>
      <c r="AA22" s="1354">
        <v>1</v>
      </c>
      <c r="AB22" s="1354">
        <v>1</v>
      </c>
      <c r="AC22" s="2337">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1"/>
      <c r="M23" s="2296"/>
      <c r="N23" s="2296"/>
      <c r="O23" s="2296"/>
      <c r="P23" s="3576"/>
      <c r="Q23" s="2219" t="str">
        <f>B23</f>
        <v>环境质量</v>
      </c>
      <c r="R23" s="1351" t="s">
        <v>65</v>
      </c>
      <c r="S23" s="1352">
        <f>F23</f>
        <v>100</v>
      </c>
      <c r="T23" s="1351" t="s">
        <v>65</v>
      </c>
      <c r="U23" s="1352">
        <f>H23</f>
        <v>100</v>
      </c>
      <c r="V23" s="1351" t="s">
        <v>65</v>
      </c>
      <c r="W23" s="1352">
        <f>J23</f>
        <v>100</v>
      </c>
      <c r="X23" s="2221"/>
      <c r="Y23" s="3578"/>
      <c r="Z23" s="2220" t="str">
        <f>Q23</f>
        <v>环境质量</v>
      </c>
      <c r="AA23" s="1354">
        <f t="shared" si="3"/>
        <v>1</v>
      </c>
      <c r="AB23" s="1354">
        <f t="shared" si="4"/>
        <v>1</v>
      </c>
      <c r="AC23" s="2337">
        <f t="shared" si="5"/>
        <v>1</v>
      </c>
    </row>
    <row r="24" spans="1:29" ht="14.25">
      <c r="A24" s="151"/>
      <c r="B24" s="1035"/>
      <c r="C24" s="192"/>
      <c r="D24" s="790"/>
      <c r="E24" s="99"/>
      <c r="F24" s="790"/>
      <c r="G24" s="98"/>
      <c r="H24" s="790"/>
      <c r="I24" s="98"/>
      <c r="J24" s="790"/>
      <c r="K24" s="189"/>
      <c r="L24" s="2301"/>
      <c r="M24" s="2296"/>
      <c r="N24" s="2296"/>
      <c r="O24" s="2296"/>
      <c r="P24" s="3576"/>
      <c r="Q24" s="2219"/>
      <c r="R24" s="1351"/>
      <c r="S24" s="1352"/>
      <c r="T24" s="1351"/>
      <c r="U24" s="1352"/>
      <c r="V24" s="1351"/>
      <c r="W24" s="1352"/>
      <c r="X24" s="2221"/>
      <c r="Y24" s="3578"/>
      <c r="Z24" s="2220"/>
      <c r="AA24" s="1354">
        <v>1</v>
      </c>
      <c r="AB24" s="1354">
        <v>1</v>
      </c>
      <c r="AC24" s="2337">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1"/>
      <c r="M25" s="2296"/>
      <c r="N25" s="2296"/>
      <c r="O25" s="2296"/>
      <c r="P25" s="3576"/>
      <c r="Q25" s="2219" t="str">
        <f>B25</f>
        <v>毗邻道路的类型与等级</v>
      </c>
      <c r="R25" s="1351" t="s">
        <v>65</v>
      </c>
      <c r="S25" s="1352">
        <f>F25</f>
        <v>100</v>
      </c>
      <c r="T25" s="1351" t="s">
        <v>65</v>
      </c>
      <c r="U25" s="1352">
        <f>H25</f>
        <v>100</v>
      </c>
      <c r="V25" s="1351" t="s">
        <v>65</v>
      </c>
      <c r="W25" s="1352">
        <f>J25</f>
        <v>100</v>
      </c>
      <c r="X25" s="2221"/>
      <c r="Y25" s="3578"/>
      <c r="Z25" s="2220" t="str">
        <f>Q25</f>
        <v>毗邻道路的类型与等级</v>
      </c>
      <c r="AA25" s="1354">
        <f t="shared" si="3"/>
        <v>1</v>
      </c>
      <c r="AB25" s="1354">
        <f t="shared" si="4"/>
        <v>1</v>
      </c>
      <c r="AC25" s="2337">
        <f t="shared" si="5"/>
        <v>1</v>
      </c>
    </row>
    <row r="26" spans="1:29" ht="14.25">
      <c r="A26" s="146"/>
      <c r="B26" s="1034"/>
      <c r="C26" s="195"/>
      <c r="D26" s="777"/>
      <c r="E26" s="182"/>
      <c r="F26" s="777"/>
      <c r="G26" s="195"/>
      <c r="H26" s="777"/>
      <c r="I26" s="182"/>
      <c r="J26" s="777"/>
      <c r="K26" s="189"/>
      <c r="L26" s="2301"/>
      <c r="M26" s="2296"/>
      <c r="N26" s="2296"/>
      <c r="O26" s="2296"/>
      <c r="P26" s="3576"/>
      <c r="Q26" s="2219"/>
      <c r="R26" s="1351"/>
      <c r="S26" s="1352"/>
      <c r="T26" s="1351"/>
      <c r="U26" s="1352"/>
      <c r="V26" s="1351"/>
      <c r="W26" s="1352"/>
      <c r="X26" s="2221"/>
      <c r="Y26" s="3578"/>
      <c r="Z26" s="2220"/>
      <c r="AA26" s="1354">
        <v>1</v>
      </c>
      <c r="AB26" s="1354">
        <v>1</v>
      </c>
      <c r="AC26" s="2337">
        <v>1</v>
      </c>
    </row>
    <row r="27" spans="1:29" ht="15">
      <c r="A27" s="151"/>
      <c r="B27" s="1034" t="s">
        <v>1091</v>
      </c>
      <c r="C27" s="195"/>
      <c r="D27" s="777">
        <v>100</v>
      </c>
      <c r="E27" s="182"/>
      <c r="F27" s="777">
        <f>SUMIF(89:89,E27,90:90)-SUMIF(89:89,C27,90:90)+100</f>
        <v>100</v>
      </c>
      <c r="G27" s="195"/>
      <c r="H27" s="777">
        <f>SUMIF(89:89,G27,90:90)-SUMIF(89:89,C27,90:90)+100</f>
        <v>100</v>
      </c>
      <c r="I27" s="182"/>
      <c r="J27" s="777">
        <f>SUMIF(89:89,I27,90:90)-SUMIF(89:89,C27,90:90)+100</f>
        <v>100</v>
      </c>
      <c r="K27" s="954"/>
      <c r="L27" s="2301"/>
      <c r="M27" s="2296"/>
      <c r="N27" s="2296"/>
      <c r="O27" s="2296"/>
      <c r="P27" s="3576"/>
      <c r="Q27" s="2219" t="str">
        <f t="shared" ref="Q27:Q47" si="11">B27</f>
        <v>楼层</v>
      </c>
      <c r="R27" s="1351" t="s">
        <v>65</v>
      </c>
      <c r="S27" s="1352">
        <f>F27</f>
        <v>100</v>
      </c>
      <c r="T27" s="1351" t="s">
        <v>65</v>
      </c>
      <c r="U27" s="1352">
        <f>H27</f>
        <v>100</v>
      </c>
      <c r="V27" s="1351" t="s">
        <v>65</v>
      </c>
      <c r="W27" s="1352">
        <f>J27</f>
        <v>100</v>
      </c>
      <c r="X27" s="2221"/>
      <c r="Y27" s="3578"/>
      <c r="Z27" s="2220" t="str">
        <f>Q27</f>
        <v>楼层</v>
      </c>
      <c r="AA27" s="1354">
        <f t="shared" si="3"/>
        <v>1</v>
      </c>
      <c r="AB27" s="1354">
        <f t="shared" si="4"/>
        <v>1</v>
      </c>
      <c r="AC27" s="2337">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7"/>
      <c r="M28" s="2259"/>
      <c r="N28" s="2259"/>
      <c r="O28" s="2259"/>
      <c r="P28" s="3576"/>
      <c r="Q28" s="2212" t="str">
        <f t="shared" si="11"/>
        <v>朝向</v>
      </c>
      <c r="R28" s="1341" t="s">
        <v>65</v>
      </c>
      <c r="S28" s="1342">
        <f>F28</f>
        <v>100</v>
      </c>
      <c r="T28" s="1341" t="s">
        <v>65</v>
      </c>
      <c r="U28" s="1342">
        <f>H28</f>
        <v>100</v>
      </c>
      <c r="V28" s="1341" t="s">
        <v>65</v>
      </c>
      <c r="W28" s="1342">
        <f>J28</f>
        <v>100</v>
      </c>
      <c r="X28" s="287"/>
      <c r="Y28" s="3578"/>
      <c r="Z28" s="2211" t="str">
        <f>Q28</f>
        <v>朝向</v>
      </c>
      <c r="AA28" s="1354">
        <f>D28/F28</f>
        <v>1</v>
      </c>
      <c r="AB28" s="1354">
        <f>D28/H28</f>
        <v>1</v>
      </c>
      <c r="AC28" s="2337">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1"/>
      <c r="M29" s="2296"/>
      <c r="N29" s="2296"/>
      <c r="O29" s="2296"/>
      <c r="P29" s="3576"/>
      <c r="Q29" s="2219">
        <f t="shared" si="11"/>
        <v>111</v>
      </c>
      <c r="R29" s="1351" t="s">
        <v>65</v>
      </c>
      <c r="S29" s="1352">
        <f t="shared" ref="S29:S47" si="12">F29</f>
        <v>100</v>
      </c>
      <c r="T29" s="1351" t="s">
        <v>65</v>
      </c>
      <c r="U29" s="1352">
        <f t="shared" ref="U29:U47" si="13">H29</f>
        <v>100</v>
      </c>
      <c r="V29" s="1351" t="s">
        <v>65</v>
      </c>
      <c r="W29" s="1352">
        <f t="shared" ref="W29:W47" si="14">J29</f>
        <v>100</v>
      </c>
      <c r="X29" s="2221"/>
      <c r="Y29" s="3578"/>
      <c r="Z29" s="2220">
        <f t="shared" ref="Z29:Z47" si="15">Q29</f>
        <v>111</v>
      </c>
      <c r="AA29" s="1354">
        <f t="shared" si="3"/>
        <v>1</v>
      </c>
      <c r="AB29" s="1354">
        <f t="shared" si="4"/>
        <v>1</v>
      </c>
      <c r="AC29" s="2337">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1"/>
      <c r="M30" s="2296"/>
      <c r="N30" s="2296"/>
      <c r="O30" s="2296"/>
      <c r="P30" s="3576"/>
      <c r="Q30" s="2219">
        <f t="shared" si="11"/>
        <v>111</v>
      </c>
      <c r="R30" s="1351" t="s">
        <v>65</v>
      </c>
      <c r="S30" s="1352">
        <f t="shared" si="12"/>
        <v>100</v>
      </c>
      <c r="T30" s="1351" t="s">
        <v>65</v>
      </c>
      <c r="U30" s="1352">
        <f t="shared" si="13"/>
        <v>100</v>
      </c>
      <c r="V30" s="1351" t="s">
        <v>65</v>
      </c>
      <c r="W30" s="1352">
        <f t="shared" si="14"/>
        <v>100</v>
      </c>
      <c r="X30" s="2221"/>
      <c r="Y30" s="3578"/>
      <c r="Z30" s="2220">
        <f t="shared" si="15"/>
        <v>111</v>
      </c>
      <c r="AA30" s="1354">
        <f t="shared" si="3"/>
        <v>1</v>
      </c>
      <c r="AB30" s="1354">
        <f t="shared" si="4"/>
        <v>1</v>
      </c>
      <c r="AC30" s="2337">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1"/>
      <c r="M31" s="2296"/>
      <c r="N31" s="2296"/>
      <c r="O31" s="2296"/>
      <c r="P31" s="3576"/>
      <c r="Q31" s="2219">
        <f t="shared" si="11"/>
        <v>111</v>
      </c>
      <c r="R31" s="1351" t="s">
        <v>65</v>
      </c>
      <c r="S31" s="1352">
        <f t="shared" si="12"/>
        <v>100</v>
      </c>
      <c r="T31" s="1351" t="s">
        <v>65</v>
      </c>
      <c r="U31" s="1352">
        <f t="shared" si="13"/>
        <v>100</v>
      </c>
      <c r="V31" s="1351" t="s">
        <v>65</v>
      </c>
      <c r="W31" s="1352">
        <f t="shared" si="14"/>
        <v>100</v>
      </c>
      <c r="X31" s="2221"/>
      <c r="Y31" s="3578"/>
      <c r="Z31" s="2220">
        <f t="shared" si="15"/>
        <v>111</v>
      </c>
      <c r="AA31" s="1354">
        <f t="shared" si="3"/>
        <v>1</v>
      </c>
      <c r="AB31" s="1354">
        <f t="shared" si="4"/>
        <v>1</v>
      </c>
      <c r="AC31" s="2337">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1"/>
      <c r="M32" s="2296"/>
      <c r="N32" s="2296"/>
      <c r="O32" s="2296"/>
      <c r="P32" s="3576"/>
      <c r="Q32" s="2219">
        <f t="shared" si="11"/>
        <v>111</v>
      </c>
      <c r="R32" s="1351" t="s">
        <v>65</v>
      </c>
      <c r="S32" s="1352">
        <f t="shared" si="12"/>
        <v>100</v>
      </c>
      <c r="T32" s="1351" t="s">
        <v>65</v>
      </c>
      <c r="U32" s="1352">
        <f t="shared" si="13"/>
        <v>100</v>
      </c>
      <c r="V32" s="1351" t="s">
        <v>65</v>
      </c>
      <c r="W32" s="1352">
        <f t="shared" si="14"/>
        <v>100</v>
      </c>
      <c r="X32" s="2221"/>
      <c r="Y32" s="3578"/>
      <c r="Z32" s="2220">
        <f t="shared" si="15"/>
        <v>111</v>
      </c>
      <c r="AA32" s="1354">
        <f t="shared" si="3"/>
        <v>1</v>
      </c>
      <c r="AB32" s="1354">
        <f t="shared" si="4"/>
        <v>1</v>
      </c>
      <c r="AC32" s="2337">
        <f t="shared" si="5"/>
        <v>1</v>
      </c>
    </row>
    <row r="33" spans="1:29" ht="15">
      <c r="A33" s="155" t="s">
        <v>1092</v>
      </c>
      <c r="B33" s="62" t="s">
        <v>1093</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1"/>
      <c r="M33" s="2296"/>
      <c r="N33" s="2296"/>
      <c r="O33" s="2296"/>
      <c r="P33" s="3579" t="s">
        <v>1094</v>
      </c>
      <c r="Q33" s="2219" t="str">
        <f t="shared" si="11"/>
        <v>建筑类型</v>
      </c>
      <c r="R33" s="1351" t="s">
        <v>65</v>
      </c>
      <c r="S33" s="1352">
        <f t="shared" si="12"/>
        <v>100</v>
      </c>
      <c r="T33" s="1351" t="s">
        <v>65</v>
      </c>
      <c r="U33" s="1352">
        <f t="shared" si="13"/>
        <v>100</v>
      </c>
      <c r="V33" s="1351" t="s">
        <v>65</v>
      </c>
      <c r="W33" s="1352">
        <f t="shared" si="14"/>
        <v>100</v>
      </c>
      <c r="X33" s="2221"/>
      <c r="Y33" s="3582" t="s">
        <v>1094</v>
      </c>
      <c r="Z33" s="2220" t="str">
        <f t="shared" si="15"/>
        <v>建筑类型</v>
      </c>
      <c r="AA33" s="1354">
        <f t="shared" si="3"/>
        <v>1</v>
      </c>
      <c r="AB33" s="1354">
        <f t="shared" si="4"/>
        <v>1</v>
      </c>
      <c r="AC33" s="2337">
        <f t="shared" si="5"/>
        <v>1</v>
      </c>
    </row>
    <row r="34" spans="1:29" s="1038" customFormat="1" ht="14.25">
      <c r="A34" s="1042"/>
      <c r="B34" s="12" t="s">
        <v>76</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300"/>
      <c r="M34" s="2302"/>
      <c r="N34" s="2302"/>
      <c r="O34" s="2302"/>
      <c r="P34" s="3580"/>
      <c r="Q34" s="1358" t="str">
        <f t="shared" si="11"/>
        <v>项目建筑规模</v>
      </c>
      <c r="R34" s="1359" t="s">
        <v>65</v>
      </c>
      <c r="S34" s="1360" t="e">
        <f t="shared" si="12"/>
        <v>#N/A</v>
      </c>
      <c r="T34" s="1359" t="s">
        <v>65</v>
      </c>
      <c r="U34" s="1360" t="e">
        <f t="shared" si="13"/>
        <v>#N/A</v>
      </c>
      <c r="V34" s="1359" t="s">
        <v>65</v>
      </c>
      <c r="W34" s="1360" t="e">
        <f t="shared" si="14"/>
        <v>#N/A</v>
      </c>
      <c r="X34" s="1361"/>
      <c r="Y34" s="3582"/>
      <c r="Z34" s="1362" t="str">
        <f t="shared" si="15"/>
        <v>项目建筑规模</v>
      </c>
      <c r="AA34" s="1354" t="e">
        <f t="shared" si="3"/>
        <v>#N/A</v>
      </c>
      <c r="AB34" s="1354" t="e">
        <f t="shared" si="4"/>
        <v>#N/A</v>
      </c>
      <c r="AC34" s="2337"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1"/>
      <c r="M35" s="2296"/>
      <c r="N35" s="2296"/>
      <c r="O35" s="2296"/>
      <c r="P35" s="3580"/>
      <c r="Q35" s="2219" t="str">
        <f t="shared" si="11"/>
        <v>建筑结构</v>
      </c>
      <c r="R35" s="1351" t="s">
        <v>65</v>
      </c>
      <c r="S35" s="1352">
        <f t="shared" si="12"/>
        <v>100</v>
      </c>
      <c r="T35" s="1351" t="s">
        <v>65</v>
      </c>
      <c r="U35" s="1352">
        <f t="shared" si="13"/>
        <v>100</v>
      </c>
      <c r="V35" s="1351" t="s">
        <v>65</v>
      </c>
      <c r="W35" s="1352">
        <f t="shared" si="14"/>
        <v>100</v>
      </c>
      <c r="X35" s="2221"/>
      <c r="Y35" s="3582"/>
      <c r="Z35" s="2220" t="str">
        <f t="shared" si="15"/>
        <v>建筑结构</v>
      </c>
      <c r="AA35" s="1354">
        <f t="shared" si="3"/>
        <v>1</v>
      </c>
      <c r="AB35" s="1354">
        <f t="shared" si="4"/>
        <v>1</v>
      </c>
      <c r="AC35" s="2337">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1"/>
      <c r="M36" s="2296"/>
      <c r="N36" s="2296"/>
      <c r="O36" s="2296"/>
      <c r="P36" s="3580"/>
      <c r="Q36" s="2219" t="str">
        <f t="shared" si="11"/>
        <v>公共部分装修</v>
      </c>
      <c r="R36" s="1351" t="s">
        <v>65</v>
      </c>
      <c r="S36" s="1352">
        <f t="shared" si="12"/>
        <v>100</v>
      </c>
      <c r="T36" s="1351" t="s">
        <v>65</v>
      </c>
      <c r="U36" s="1352">
        <f t="shared" si="13"/>
        <v>100</v>
      </c>
      <c r="V36" s="1351" t="s">
        <v>65</v>
      </c>
      <c r="W36" s="1352">
        <f t="shared" si="14"/>
        <v>100</v>
      </c>
      <c r="X36" s="2221"/>
      <c r="Y36" s="3582"/>
      <c r="Z36" s="2220" t="str">
        <f t="shared" si="15"/>
        <v>公共部分装修</v>
      </c>
      <c r="AA36" s="1354">
        <f t="shared" si="3"/>
        <v>1</v>
      </c>
      <c r="AB36" s="1354">
        <f t="shared" si="4"/>
        <v>1</v>
      </c>
      <c r="AC36" s="2337">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1"/>
      <c r="M37" s="2296"/>
      <c r="N37" s="2296"/>
      <c r="O37" s="2296"/>
      <c r="P37" s="3580"/>
      <c r="Q37" s="2219" t="str">
        <f t="shared" si="11"/>
        <v>成新度</v>
      </c>
      <c r="R37" s="1351" t="s">
        <v>65</v>
      </c>
      <c r="S37" s="1352" t="e">
        <f t="shared" si="12"/>
        <v>#N/A</v>
      </c>
      <c r="T37" s="1351" t="s">
        <v>65</v>
      </c>
      <c r="U37" s="1352" t="e">
        <f t="shared" si="13"/>
        <v>#N/A</v>
      </c>
      <c r="V37" s="1351" t="s">
        <v>65</v>
      </c>
      <c r="W37" s="1352" t="e">
        <f t="shared" si="14"/>
        <v>#N/A</v>
      </c>
      <c r="X37" s="2221"/>
      <c r="Y37" s="3582"/>
      <c r="Z37" s="2220" t="str">
        <f t="shared" si="15"/>
        <v>成新度</v>
      </c>
      <c r="AA37" s="1354" t="e">
        <f t="shared" si="3"/>
        <v>#N/A</v>
      </c>
      <c r="AB37" s="1354" t="e">
        <f t="shared" si="4"/>
        <v>#N/A</v>
      </c>
      <c r="AC37" s="2337" t="e">
        <f t="shared" si="5"/>
        <v>#N/A</v>
      </c>
    </row>
    <row r="38" spans="1:29" s="40" customFormat="1" ht="15">
      <c r="A38" s="1040"/>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7"/>
      <c r="M38" s="2259"/>
      <c r="N38" s="2259"/>
      <c r="O38" s="2259"/>
      <c r="P38" s="3580"/>
      <c r="Q38" s="2212" t="str">
        <f t="shared" si="11"/>
        <v>写字楼等级</v>
      </c>
      <c r="R38" s="1341" t="s">
        <v>65</v>
      </c>
      <c r="S38" s="1342">
        <f t="shared" si="12"/>
        <v>100</v>
      </c>
      <c r="T38" s="1341" t="s">
        <v>65</v>
      </c>
      <c r="U38" s="1342">
        <f t="shared" si="13"/>
        <v>100</v>
      </c>
      <c r="V38" s="1341" t="s">
        <v>65</v>
      </c>
      <c r="W38" s="1342">
        <f t="shared" si="14"/>
        <v>100</v>
      </c>
      <c r="X38" s="287"/>
      <c r="Y38" s="3582"/>
      <c r="Z38" s="2211" t="str">
        <f t="shared" si="15"/>
        <v>写字楼等级</v>
      </c>
      <c r="AA38" s="1343">
        <f t="shared" si="3"/>
        <v>1</v>
      </c>
      <c r="AB38" s="1343">
        <f t="shared" si="4"/>
        <v>1</v>
      </c>
      <c r="AC38" s="2336">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1"/>
      <c r="M39" s="2296"/>
      <c r="N39" s="2296"/>
      <c r="O39" s="2296"/>
      <c r="P39" s="3580" t="s">
        <v>70</v>
      </c>
      <c r="Q39" s="2219" t="str">
        <f t="shared" si="11"/>
        <v>物业管理</v>
      </c>
      <c r="R39" s="1351" t="s">
        <v>65</v>
      </c>
      <c r="S39" s="1352">
        <f t="shared" si="12"/>
        <v>100</v>
      </c>
      <c r="T39" s="1351" t="s">
        <v>65</v>
      </c>
      <c r="U39" s="1352">
        <f t="shared" si="13"/>
        <v>100</v>
      </c>
      <c r="V39" s="1351" t="s">
        <v>65</v>
      </c>
      <c r="W39" s="1352">
        <f t="shared" si="14"/>
        <v>100</v>
      </c>
      <c r="X39" s="2221"/>
      <c r="Y39" s="3582" t="s">
        <v>70</v>
      </c>
      <c r="Z39" s="2220" t="str">
        <f t="shared" si="15"/>
        <v>物业管理</v>
      </c>
      <c r="AA39" s="1354">
        <f t="shared" si="3"/>
        <v>1</v>
      </c>
      <c r="AB39" s="1354">
        <f t="shared" si="4"/>
        <v>1</v>
      </c>
      <c r="AC39" s="2337">
        <f t="shared" si="5"/>
        <v>1</v>
      </c>
    </row>
    <row r="40" spans="1:29" ht="15">
      <c r="A40" s="161"/>
      <c r="B40" s="12" t="s">
        <v>2659</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1"/>
      <c r="M40" s="2296"/>
      <c r="N40" s="2296"/>
      <c r="O40" s="2296"/>
      <c r="P40" s="3580"/>
      <c r="Q40" s="2219" t="str">
        <f t="shared" si="11"/>
        <v>市政基础设施</v>
      </c>
      <c r="R40" s="1351" t="s">
        <v>65</v>
      </c>
      <c r="S40" s="1352">
        <f t="shared" si="12"/>
        <v>100</v>
      </c>
      <c r="T40" s="1351" t="s">
        <v>65</v>
      </c>
      <c r="U40" s="1352">
        <f t="shared" si="13"/>
        <v>100</v>
      </c>
      <c r="V40" s="1351" t="s">
        <v>65</v>
      </c>
      <c r="W40" s="1352">
        <f t="shared" si="14"/>
        <v>100</v>
      </c>
      <c r="X40" s="2221"/>
      <c r="Y40" s="3582"/>
      <c r="Z40" s="2220" t="str">
        <f t="shared" si="15"/>
        <v>市政基础设施</v>
      </c>
      <c r="AA40" s="1354">
        <f t="shared" si="3"/>
        <v>1</v>
      </c>
      <c r="AB40" s="1354">
        <f t="shared" si="4"/>
        <v>1</v>
      </c>
      <c r="AC40" s="2337">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1"/>
      <c r="M41" s="2296"/>
      <c r="N41" s="2296"/>
      <c r="O41" s="2296"/>
      <c r="P41" s="3580"/>
      <c r="Q41" s="2219" t="str">
        <f t="shared" si="11"/>
        <v>层高</v>
      </c>
      <c r="R41" s="1351" t="s">
        <v>65</v>
      </c>
      <c r="S41" s="1352">
        <f t="shared" si="12"/>
        <v>100</v>
      </c>
      <c r="T41" s="1351" t="s">
        <v>65</v>
      </c>
      <c r="U41" s="1352">
        <f t="shared" si="13"/>
        <v>100</v>
      </c>
      <c r="V41" s="1351" t="s">
        <v>65</v>
      </c>
      <c r="W41" s="1352">
        <f t="shared" si="14"/>
        <v>100</v>
      </c>
      <c r="X41" s="2221"/>
      <c r="Y41" s="3582"/>
      <c r="Z41" s="2220" t="str">
        <f t="shared" si="15"/>
        <v>层高</v>
      </c>
      <c r="AA41" s="1354">
        <f t="shared" si="3"/>
        <v>1</v>
      </c>
      <c r="AB41" s="1354">
        <f t="shared" si="4"/>
        <v>1</v>
      </c>
      <c r="AC41" s="2337">
        <f t="shared" si="5"/>
        <v>1</v>
      </c>
    </row>
    <row r="42" spans="1:29" s="1038" customFormat="1" ht="14.25">
      <c r="A42" s="1042"/>
      <c r="B42" s="191" t="s">
        <v>1095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0"/>
      <c r="M42" s="2302"/>
      <c r="N42" s="2302"/>
      <c r="O42" s="2302"/>
      <c r="P42" s="3580"/>
      <c r="Q42" s="1358" t="str">
        <f t="shared" si="11"/>
        <v>单套建筑面积</v>
      </c>
      <c r="R42" s="1359" t="s">
        <v>65</v>
      </c>
      <c r="S42" s="1360">
        <f t="shared" si="12"/>
        <v>100</v>
      </c>
      <c r="T42" s="1359" t="s">
        <v>65</v>
      </c>
      <c r="U42" s="1360">
        <f t="shared" si="13"/>
        <v>100</v>
      </c>
      <c r="V42" s="1359" t="s">
        <v>65</v>
      </c>
      <c r="W42" s="1360">
        <f t="shared" si="14"/>
        <v>100</v>
      </c>
      <c r="X42" s="1361"/>
      <c r="Y42" s="3582"/>
      <c r="Z42" s="1362" t="str">
        <f t="shared" si="15"/>
        <v>单套建筑面积</v>
      </c>
      <c r="AA42" s="1354">
        <f t="shared" si="3"/>
        <v>1</v>
      </c>
      <c r="AB42" s="1354">
        <f t="shared" si="4"/>
        <v>1</v>
      </c>
      <c r="AC42" s="2337">
        <f t="shared" si="5"/>
        <v>1</v>
      </c>
    </row>
    <row r="43" spans="1:29" ht="15">
      <c r="A43" s="161"/>
      <c r="B43" s="12" t="s">
        <v>1096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1"/>
      <c r="M43" s="2296"/>
      <c r="N43" s="2296"/>
      <c r="O43" s="2296"/>
      <c r="P43" s="3580"/>
      <c r="Q43" s="2219" t="str">
        <f t="shared" si="11"/>
        <v>内部装修</v>
      </c>
      <c r="R43" s="1351" t="s">
        <v>65</v>
      </c>
      <c r="S43" s="1352">
        <f t="shared" si="12"/>
        <v>100</v>
      </c>
      <c r="T43" s="1351" t="s">
        <v>65</v>
      </c>
      <c r="U43" s="1352">
        <f t="shared" si="13"/>
        <v>100</v>
      </c>
      <c r="V43" s="1351" t="s">
        <v>65</v>
      </c>
      <c r="W43" s="1352">
        <f t="shared" si="14"/>
        <v>100</v>
      </c>
      <c r="X43" s="2221"/>
      <c r="Y43" s="3582"/>
      <c r="Z43" s="2220" t="str">
        <f t="shared" si="15"/>
        <v>内部装修</v>
      </c>
      <c r="AA43" s="1354">
        <f t="shared" si="3"/>
        <v>1</v>
      </c>
      <c r="AB43" s="1354">
        <f t="shared" si="4"/>
        <v>1</v>
      </c>
      <c r="AC43" s="2337">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1"/>
      <c r="M44" s="2296"/>
      <c r="N44" s="2296"/>
      <c r="O44" s="2296"/>
      <c r="P44" s="3580"/>
      <c r="Q44" s="2219" t="str">
        <f t="shared" si="11"/>
        <v>内部装修维护情况</v>
      </c>
      <c r="R44" s="1351" t="s">
        <v>65</v>
      </c>
      <c r="S44" s="1352">
        <f t="shared" si="12"/>
        <v>100</v>
      </c>
      <c r="T44" s="1351" t="s">
        <v>65</v>
      </c>
      <c r="U44" s="1352">
        <f t="shared" si="13"/>
        <v>100</v>
      </c>
      <c r="V44" s="1351" t="s">
        <v>65</v>
      </c>
      <c r="W44" s="1352">
        <f t="shared" si="14"/>
        <v>100</v>
      </c>
      <c r="X44" s="2221"/>
      <c r="Y44" s="3582"/>
      <c r="Z44" s="2220" t="str">
        <f t="shared" si="15"/>
        <v>内部装修维护情况</v>
      </c>
      <c r="AA44" s="1354">
        <f t="shared" si="3"/>
        <v>1</v>
      </c>
      <c r="AB44" s="1354">
        <f t="shared" si="4"/>
        <v>1</v>
      </c>
      <c r="AC44" s="2337">
        <f t="shared" si="5"/>
        <v>1</v>
      </c>
    </row>
    <row r="45" spans="1:29" s="40" customFormat="1" ht="14.25">
      <c r="A45" s="1040"/>
      <c r="B45" s="1356">
        <v>111</v>
      </c>
      <c r="C45" s="1357"/>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7"/>
      <c r="M45" s="2259"/>
      <c r="N45" s="2259"/>
      <c r="O45" s="2259"/>
      <c r="P45" s="3580"/>
      <c r="Q45" s="2212">
        <f t="shared" si="11"/>
        <v>111</v>
      </c>
      <c r="R45" s="1341" t="s">
        <v>65</v>
      </c>
      <c r="S45" s="1342">
        <f t="shared" si="12"/>
        <v>100</v>
      </c>
      <c r="T45" s="1341" t="s">
        <v>65</v>
      </c>
      <c r="U45" s="1342">
        <f t="shared" si="13"/>
        <v>100</v>
      </c>
      <c r="V45" s="1341" t="s">
        <v>65</v>
      </c>
      <c r="W45" s="1342">
        <f t="shared" si="14"/>
        <v>100</v>
      </c>
      <c r="X45" s="287"/>
      <c r="Y45" s="3582"/>
      <c r="Z45" s="2211">
        <f t="shared" si="15"/>
        <v>111</v>
      </c>
      <c r="AA45" s="1343">
        <f t="shared" si="3"/>
        <v>1</v>
      </c>
      <c r="AB45" s="1343">
        <f t="shared" si="4"/>
        <v>1</v>
      </c>
      <c r="AC45" s="2336">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1"/>
      <c r="M46" s="2296"/>
      <c r="N46" s="2296"/>
      <c r="O46" s="2296"/>
      <c r="P46" s="3580"/>
      <c r="Q46" s="2219">
        <f t="shared" si="11"/>
        <v>111</v>
      </c>
      <c r="R46" s="1351" t="s">
        <v>65</v>
      </c>
      <c r="S46" s="1352">
        <f t="shared" si="12"/>
        <v>100</v>
      </c>
      <c r="T46" s="1351" t="s">
        <v>65</v>
      </c>
      <c r="U46" s="1352">
        <f t="shared" si="13"/>
        <v>100</v>
      </c>
      <c r="V46" s="1351" t="s">
        <v>65</v>
      </c>
      <c r="W46" s="1352">
        <f t="shared" si="14"/>
        <v>100</v>
      </c>
      <c r="X46" s="2221"/>
      <c r="Y46" s="3582"/>
      <c r="Z46" s="2220">
        <f t="shared" si="15"/>
        <v>111</v>
      </c>
      <c r="AA46" s="1354">
        <f t="shared" si="3"/>
        <v>1</v>
      </c>
      <c r="AB46" s="1354">
        <f t="shared" si="4"/>
        <v>1</v>
      </c>
      <c r="AC46" s="2337">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1"/>
      <c r="M47" s="2296"/>
      <c r="N47" s="2296"/>
      <c r="O47" s="2296"/>
      <c r="P47" s="3581"/>
      <c r="Q47" s="2219">
        <f t="shared" si="11"/>
        <v>111</v>
      </c>
      <c r="R47" s="1351" t="s">
        <v>65</v>
      </c>
      <c r="S47" s="1352">
        <f t="shared" si="12"/>
        <v>100</v>
      </c>
      <c r="T47" s="1351" t="s">
        <v>65</v>
      </c>
      <c r="U47" s="1352">
        <f t="shared" si="13"/>
        <v>100</v>
      </c>
      <c r="V47" s="1351" t="s">
        <v>65</v>
      </c>
      <c r="W47" s="1352">
        <f t="shared" si="14"/>
        <v>100</v>
      </c>
      <c r="X47" s="2221"/>
      <c r="Y47" s="3583"/>
      <c r="Z47" s="2220">
        <f t="shared" si="15"/>
        <v>111</v>
      </c>
      <c r="AA47" s="1354">
        <f t="shared" si="3"/>
        <v>1</v>
      </c>
      <c r="AB47" s="1354">
        <f t="shared" si="4"/>
        <v>1</v>
      </c>
      <c r="AC47" s="2337">
        <f t="shared" si="5"/>
        <v>1</v>
      </c>
    </row>
    <row r="48" spans="1:29" ht="15">
      <c r="A48" s="163" t="s">
        <v>1037</v>
      </c>
      <c r="B48" s="164"/>
      <c r="C48" s="2836" t="s">
        <v>23</v>
      </c>
      <c r="D48" s="2837"/>
      <c r="E48" s="2838"/>
      <c r="F48" s="2839"/>
      <c r="G48" s="2840"/>
      <c r="H48" s="2841"/>
      <c r="I48" s="2838"/>
      <c r="J48" s="827"/>
      <c r="K48" s="1392"/>
      <c r="L48" s="2303"/>
      <c r="M48" s="2296"/>
      <c r="N48" s="2296"/>
      <c r="O48" s="2296"/>
      <c r="P48" s="3585" t="str">
        <f>A48</f>
        <v>成交单价（元/平方米）</v>
      </c>
      <c r="Q48" s="3570"/>
      <c r="R48" s="3571">
        <f>E48</f>
        <v>0</v>
      </c>
      <c r="S48" s="3571"/>
      <c r="T48" s="3571">
        <f>G48</f>
        <v>0</v>
      </c>
      <c r="U48" s="3571"/>
      <c r="V48" s="3571">
        <f>I48</f>
        <v>0</v>
      </c>
      <c r="W48" s="3571"/>
      <c r="X48" s="156"/>
      <c r="Y48" s="1365"/>
      <c r="Z48" s="156"/>
      <c r="AA48" s="156"/>
      <c r="AB48" s="156"/>
      <c r="AC48" s="209"/>
    </row>
    <row r="49" spans="1:29" ht="15.75" thickBot="1">
      <c r="A49" s="165" t="s">
        <v>1038</v>
      </c>
      <c r="B49" s="166"/>
      <c r="C49" s="2842" t="e">
        <f>R50</f>
        <v>#DIV/0!</v>
      </c>
      <c r="D49" s="2843"/>
      <c r="E49" s="2844" t="e">
        <f>R49</f>
        <v>#DIV/0!</v>
      </c>
      <c r="F49" s="2844"/>
      <c r="G49" s="2842" t="e">
        <f>T49</f>
        <v>#DIV/0!</v>
      </c>
      <c r="H49" s="2843"/>
      <c r="I49" s="2844" t="e">
        <f>V49</f>
        <v>#DIV/0!</v>
      </c>
      <c r="J49" s="831"/>
      <c r="K49" s="1393"/>
      <c r="L49" s="2303"/>
      <c r="M49" s="2296"/>
      <c r="N49" s="2296"/>
      <c r="O49" s="2296"/>
      <c r="P49" s="3585" t="str">
        <f>A49</f>
        <v>比较价值（元/平方米）</v>
      </c>
      <c r="Q49" s="3570"/>
      <c r="R49" s="3571" t="e">
        <f>IF(F1="售价",ROUND(PRODUCT(R48,AA7:AA47),0),ROUND(PRODUCT(R48,AA7:AA47),1))</f>
        <v>#DIV/0!</v>
      </c>
      <c r="S49" s="3571"/>
      <c r="T49" s="3571" t="e">
        <f>IF(F1="售价",ROUND(PRODUCT(T48,AB7:AB47),0),ROUND(PRODUCT(T48,AB7:AB47),1))</f>
        <v>#DIV/0!</v>
      </c>
      <c r="U49" s="3571"/>
      <c r="V49" s="3571" t="e">
        <f>IF(F1="售价",ROUND(PRODUCT(V48,AC7:AC47),0),ROUND(PRODUCT(V48,AC7:AC47),1))</f>
        <v>#DIV/0!</v>
      </c>
      <c r="W49" s="3571"/>
      <c r="X49" s="156"/>
      <c r="Y49" s="156"/>
      <c r="Z49" s="156"/>
      <c r="AA49" s="156"/>
      <c r="AB49" s="156"/>
      <c r="AC49" s="209"/>
    </row>
    <row r="50" spans="1:29" ht="15.75" thickBot="1">
      <c r="A50" s="115" t="s">
        <v>3021</v>
      </c>
      <c r="B50" s="116"/>
      <c r="C50" s="2846" t="e">
        <f>R50</f>
        <v>#DIV/0!</v>
      </c>
      <c r="D50" s="2846"/>
      <c r="E50" s="2846"/>
      <c r="F50" s="2846"/>
      <c r="G50" s="2846"/>
      <c r="H50" s="2846"/>
      <c r="I50" s="2846"/>
      <c r="J50" s="836"/>
      <c r="K50" s="1394"/>
      <c r="L50" s="2303"/>
      <c r="M50" s="2296"/>
      <c r="N50" s="2296"/>
      <c r="O50" s="2296"/>
      <c r="P50" s="3649" t="str">
        <f>A50</f>
        <v>估价对象XX用房的比较价值（楼面单价，元/平方米）</v>
      </c>
      <c r="Q50" s="3650"/>
      <c r="R50" s="3651" t="e">
        <f>IF(F1="售价",ROUND(AVERAGE(R49:V49),0),ROUND(AVERAGE(R49:V49),1))</f>
        <v>#DIV/0!</v>
      </c>
      <c r="S50" s="3651"/>
      <c r="T50" s="3651"/>
      <c r="U50" s="3651"/>
      <c r="V50" s="3651"/>
      <c r="W50" s="3651"/>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9" t="s">
        <v>1007</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5"/>
      <c r="L53" s="2306"/>
      <c r="M53" s="2304"/>
      <c r="N53" s="2304"/>
      <c r="O53" s="2304"/>
    </row>
    <row r="54" spans="1:29" ht="13.5" customHeight="1">
      <c r="A54" s="2304"/>
      <c r="B54" s="2304"/>
      <c r="C54" s="839" t="s">
        <v>1008</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5"/>
      <c r="L54" s="2306"/>
      <c r="M54" s="2304"/>
      <c r="N54" s="2304"/>
      <c r="O54" s="2304"/>
    </row>
    <row r="55" spans="1:29" s="119" customFormat="1" ht="13.5" customHeight="1">
      <c r="A55" s="2309"/>
      <c r="B55" s="2309"/>
      <c r="C55" s="839" t="s">
        <v>1009</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1039</v>
      </c>
      <c r="B58" s="1364"/>
      <c r="C58" s="1372"/>
      <c r="D58" s="1372"/>
      <c r="E58" s="1372"/>
      <c r="F58" s="1373"/>
      <c r="G58" s="1373"/>
      <c r="H58" s="1372"/>
      <c r="I58" s="1372"/>
      <c r="J58" s="1372"/>
      <c r="K58" s="1374"/>
      <c r="L58" s="2311"/>
      <c r="M58" s="2312"/>
      <c r="N58" s="2312"/>
      <c r="O58" s="2312"/>
      <c r="P58" s="2326"/>
      <c r="Q58" s="121"/>
    </row>
    <row r="59" spans="1:29" s="850" customFormat="1" ht="15">
      <c r="A59" s="847" t="s">
        <v>2798</v>
      </c>
      <c r="B59" s="848"/>
      <c r="C59" s="3045" t="str">
        <f>YEAR(C7)&amp;"-"&amp;MONTH(C7)</f>
        <v>2017-11</v>
      </c>
      <c r="D59" s="3046">
        <f>EDATE(C59,-1)</f>
        <v>43009</v>
      </c>
      <c r="E59" s="3046">
        <f>EDATE(D59,-1)</f>
        <v>42979</v>
      </c>
      <c r="F59" s="3046">
        <f t="shared" ref="F59:O59" si="16">EDATE(E59,-1)</f>
        <v>42948</v>
      </c>
      <c r="G59" s="3046">
        <f t="shared" si="16"/>
        <v>42917</v>
      </c>
      <c r="H59" s="3046">
        <f t="shared" si="16"/>
        <v>42887</v>
      </c>
      <c r="I59" s="3046">
        <f t="shared" si="16"/>
        <v>42856</v>
      </c>
      <c r="J59" s="3046">
        <f t="shared" si="16"/>
        <v>42826</v>
      </c>
      <c r="K59" s="3046">
        <f t="shared" si="16"/>
        <v>42795</v>
      </c>
      <c r="L59" s="3046">
        <f t="shared" si="16"/>
        <v>42767</v>
      </c>
      <c r="M59" s="3046">
        <f t="shared" si="16"/>
        <v>42736</v>
      </c>
      <c r="N59" s="3046">
        <f t="shared" si="16"/>
        <v>42705</v>
      </c>
      <c r="O59" s="3046">
        <f t="shared" si="16"/>
        <v>42675</v>
      </c>
      <c r="P59" s="3040"/>
    </row>
    <row r="60" spans="1:29" s="40" customFormat="1" ht="14.25">
      <c r="A60" s="1044"/>
      <c r="B60" s="1045"/>
      <c r="C60" s="3043">
        <v>100</v>
      </c>
      <c r="D60" s="854"/>
      <c r="E60" s="854"/>
      <c r="F60" s="854"/>
      <c r="G60" s="854"/>
      <c r="H60" s="854"/>
      <c r="I60" s="854"/>
      <c r="J60" s="854"/>
      <c r="K60" s="854"/>
      <c r="L60" s="854"/>
      <c r="M60" s="855"/>
      <c r="N60" s="854"/>
      <c r="O60" s="855"/>
      <c r="P60" s="2327"/>
    </row>
    <row r="61" spans="1:29" s="40" customFormat="1" ht="15" thickBot="1">
      <c r="A61" s="1046" t="s">
        <v>1040</v>
      </c>
      <c r="B61" s="1047"/>
      <c r="C61" s="859"/>
      <c r="D61" s="860"/>
      <c r="E61" s="860"/>
      <c r="F61" s="860"/>
      <c r="G61" s="860"/>
      <c r="H61" s="860"/>
      <c r="I61" s="860"/>
      <c r="J61" s="860"/>
      <c r="K61" s="860"/>
      <c r="L61" s="860"/>
      <c r="M61" s="861"/>
      <c r="N61" s="860"/>
      <c r="O61" s="861"/>
      <c r="P61" s="2327"/>
      <c r="Q61" s="121"/>
    </row>
    <row r="62" spans="1:29" s="40" customFormat="1">
      <c r="A62" s="1048" t="s">
        <v>1041</v>
      </c>
      <c r="B62" s="1045"/>
      <c r="C62" s="1049" t="s">
        <v>1042</v>
      </c>
      <c r="D62" s="140"/>
      <c r="E62" s="140"/>
      <c r="F62" s="140"/>
      <c r="G62" s="140"/>
      <c r="H62" s="140"/>
      <c r="I62" s="140"/>
      <c r="J62" s="140"/>
      <c r="K62" s="140"/>
      <c r="L62" s="141"/>
      <c r="M62" s="1050"/>
      <c r="N62" s="1387"/>
      <c r="O62" s="1387"/>
      <c r="P62" s="2328"/>
      <c r="Q62" s="121"/>
    </row>
    <row r="63" spans="1:29" s="40" customFormat="1" ht="15" thickBot="1">
      <c r="A63" s="1048"/>
      <c r="B63" s="1045"/>
      <c r="C63" s="853">
        <v>100</v>
      </c>
      <c r="D63" s="854"/>
      <c r="E63" s="854"/>
      <c r="F63" s="854"/>
      <c r="G63" s="854"/>
      <c r="H63" s="854"/>
      <c r="I63" s="854"/>
      <c r="J63" s="854"/>
      <c r="K63" s="854"/>
      <c r="L63" s="854"/>
      <c r="M63" s="856"/>
      <c r="N63" s="1387"/>
      <c r="O63" s="1387"/>
      <c r="P63" s="2327"/>
      <c r="Q63" s="121"/>
    </row>
    <row r="64" spans="1:29">
      <c r="A64" s="172" t="s">
        <v>1043</v>
      </c>
      <c r="B64" s="286" t="s">
        <v>1044</v>
      </c>
      <c r="C64" s="176">
        <f>C9</f>
        <v>0</v>
      </c>
      <c r="D64" s="122"/>
      <c r="E64" s="122"/>
      <c r="F64" s="122"/>
      <c r="G64" s="122"/>
      <c r="H64" s="122"/>
      <c r="I64" s="122"/>
      <c r="J64" s="122"/>
      <c r="K64" s="123"/>
      <c r="L64" s="124"/>
      <c r="M64" s="125"/>
      <c r="N64" s="1388"/>
      <c r="O64" s="1388"/>
      <c r="P64" s="2329"/>
      <c r="Q64" s="121"/>
    </row>
    <row r="65" spans="1:17" ht="15" thickBot="1">
      <c r="A65" s="173"/>
      <c r="B65" s="1052"/>
      <c r="C65" s="878">
        <v>100</v>
      </c>
      <c r="D65" s="878"/>
      <c r="E65" s="878"/>
      <c r="F65" s="878"/>
      <c r="G65" s="878"/>
      <c r="H65" s="878"/>
      <c r="I65" s="878"/>
      <c r="J65" s="878"/>
      <c r="K65" s="878"/>
      <c r="L65" s="878"/>
      <c r="M65" s="879"/>
      <c r="N65" s="1389"/>
      <c r="O65" s="1389"/>
      <c r="P65" s="2329"/>
      <c r="Q65" s="121"/>
    </row>
    <row r="66" spans="1:17" ht="27.75" thickTop="1">
      <c r="A66" s="173"/>
      <c r="B66" s="1053" t="s">
        <v>1045</v>
      </c>
      <c r="C66" s="881" t="s">
        <v>1010</v>
      </c>
      <c r="D66" s="881" t="s">
        <v>1011</v>
      </c>
      <c r="E66" s="881" t="s">
        <v>1012</v>
      </c>
      <c r="F66" s="881" t="s">
        <v>1013</v>
      </c>
      <c r="G66" s="881" t="s">
        <v>1014</v>
      </c>
      <c r="H66" s="881" t="s">
        <v>1015</v>
      </c>
      <c r="I66" s="881" t="s">
        <v>1016</v>
      </c>
      <c r="J66" s="881"/>
      <c r="K66" s="882"/>
      <c r="L66" s="883"/>
      <c r="M66" s="884"/>
      <c r="N66" s="1388"/>
      <c r="O66" s="1388"/>
      <c r="P66" s="2329"/>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9"/>
      <c r="Q67" s="121"/>
    </row>
    <row r="68" spans="1:17" ht="15" thickTop="1">
      <c r="A68" s="173"/>
      <c r="B68" s="1055" t="s">
        <v>1046</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9"/>
      <c r="Q68" s="121"/>
    </row>
    <row r="69" spans="1:17" ht="14.25">
      <c r="A69" s="173"/>
      <c r="B69" s="1056"/>
      <c r="C69" s="891"/>
      <c r="D69" s="891"/>
      <c r="E69" s="891"/>
      <c r="F69" s="891"/>
      <c r="G69" s="891"/>
      <c r="H69" s="891"/>
      <c r="I69" s="891"/>
      <c r="J69" s="891"/>
      <c r="K69" s="892"/>
      <c r="L69" s="893"/>
      <c r="M69" s="894"/>
      <c r="N69" s="1388"/>
      <c r="O69" s="1388"/>
      <c r="P69" s="2329"/>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2"/>
      <c r="D72" s="878"/>
      <c r="E72" s="878"/>
      <c r="F72" s="878"/>
      <c r="G72" s="878"/>
      <c r="H72" s="878"/>
      <c r="I72" s="878"/>
      <c r="J72" s="878"/>
      <c r="K72" s="878"/>
      <c r="L72" s="878"/>
      <c r="M72" s="879"/>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2"/>
      <c r="D74" s="902"/>
      <c r="E74" s="902"/>
      <c r="F74" s="902"/>
      <c r="G74" s="902"/>
      <c r="H74" s="904"/>
      <c r="I74" s="904"/>
      <c r="J74" s="904"/>
      <c r="K74" s="904"/>
      <c r="L74" s="904"/>
      <c r="M74" s="905"/>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2"/>
      <c r="D76" s="912"/>
      <c r="E76" s="912"/>
      <c r="F76" s="912"/>
      <c r="G76" s="912"/>
      <c r="H76" s="913"/>
      <c r="I76" s="913"/>
      <c r="J76" s="913"/>
      <c r="K76" s="913"/>
      <c r="L76" s="913"/>
      <c r="M76" s="914"/>
      <c r="N76" s="1390"/>
      <c r="O76" s="1390"/>
      <c r="P76" s="2330"/>
      <c r="Q76" s="1062"/>
    </row>
    <row r="77" spans="1:17" ht="14.25">
      <c r="A77" s="172" t="s">
        <v>1047</v>
      </c>
      <c r="B77" s="286" t="s">
        <v>1097</v>
      </c>
      <c r="C77" s="915" t="s">
        <v>1017</v>
      </c>
      <c r="D77" s="915" t="s">
        <v>1018</v>
      </c>
      <c r="E77" s="915" t="s">
        <v>1019</v>
      </c>
      <c r="F77" s="915" t="s">
        <v>1020</v>
      </c>
      <c r="G77" s="915" t="s">
        <v>1021</v>
      </c>
      <c r="H77" s="871"/>
      <c r="I77" s="871"/>
      <c r="J77" s="871"/>
      <c r="K77" s="916"/>
      <c r="L77" s="917"/>
      <c r="M77" s="918"/>
      <c r="N77" s="1388"/>
      <c r="O77" s="1388"/>
      <c r="P77" s="2333"/>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9"/>
      <c r="Q78" s="121"/>
    </row>
    <row r="79" spans="1:17" ht="15" thickTop="1">
      <c r="A79" s="173"/>
      <c r="B79" s="1053" t="s">
        <v>1054</v>
      </c>
      <c r="C79" s="920" t="s">
        <v>1017</v>
      </c>
      <c r="D79" s="920" t="s">
        <v>1018</v>
      </c>
      <c r="E79" s="920" t="s">
        <v>1019</v>
      </c>
      <c r="F79" s="920" t="s">
        <v>1106</v>
      </c>
      <c r="G79" s="920" t="s">
        <v>1021</v>
      </c>
      <c r="H79" s="881"/>
      <c r="I79" s="881"/>
      <c r="J79" s="881"/>
      <c r="K79" s="882"/>
      <c r="L79" s="883"/>
      <c r="M79" s="884"/>
      <c r="N79" s="1388"/>
      <c r="O79" s="1388"/>
      <c r="P79" s="2329"/>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9"/>
      <c r="Q80" s="121"/>
    </row>
    <row r="81" spans="1:17" ht="15" thickTop="1">
      <c r="A81" s="173"/>
      <c r="B81" s="1053" t="s">
        <v>31</v>
      </c>
      <c r="C81" s="920" t="s">
        <v>1017</v>
      </c>
      <c r="D81" s="920" t="s">
        <v>1018</v>
      </c>
      <c r="E81" s="920" t="s">
        <v>1019</v>
      </c>
      <c r="F81" s="920" t="s">
        <v>1020</v>
      </c>
      <c r="G81" s="920" t="s">
        <v>1021</v>
      </c>
      <c r="H81" s="881"/>
      <c r="I81" s="881"/>
      <c r="J81" s="881"/>
      <c r="K81" s="882"/>
      <c r="L81" s="883"/>
      <c r="M81" s="884"/>
      <c r="N81" s="1388"/>
      <c r="O81" s="1388"/>
      <c r="P81" s="2329"/>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9"/>
      <c r="Q82" s="121"/>
    </row>
    <row r="83" spans="1:17" ht="15" thickTop="1">
      <c r="A83" s="173"/>
      <c r="B83" s="1055" t="s">
        <v>2668</v>
      </c>
      <c r="C83" s="213" t="s">
        <v>2661</v>
      </c>
      <c r="D83" s="213" t="s">
        <v>2662</v>
      </c>
      <c r="E83" s="213" t="s">
        <v>2663</v>
      </c>
      <c r="F83" s="213" t="s">
        <v>2664</v>
      </c>
      <c r="G83" s="213" t="s">
        <v>2665</v>
      </c>
      <c r="H83" s="881"/>
      <c r="I83" s="881"/>
      <c r="J83" s="881"/>
      <c r="K83" s="881"/>
      <c r="L83" s="881"/>
      <c r="M83" s="2765"/>
      <c r="N83" s="1389"/>
      <c r="O83" s="1389"/>
      <c r="P83" s="2329"/>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9"/>
      <c r="Q84" s="121"/>
    </row>
    <row r="85" spans="1:17" ht="15" thickTop="1">
      <c r="A85" s="173"/>
      <c r="B85" s="1053" t="s">
        <v>1098</v>
      </c>
      <c r="C85" s="920" t="s">
        <v>1017</v>
      </c>
      <c r="D85" s="920" t="s">
        <v>1018</v>
      </c>
      <c r="E85" s="920" t="s">
        <v>1019</v>
      </c>
      <c r="F85" s="920" t="s">
        <v>1020</v>
      </c>
      <c r="G85" s="920" t="s">
        <v>1021</v>
      </c>
      <c r="H85" s="881"/>
      <c r="I85" s="881"/>
      <c r="J85" s="881"/>
      <c r="K85" s="882"/>
      <c r="L85" s="883"/>
      <c r="M85" s="884"/>
      <c r="N85" s="1388"/>
      <c r="O85" s="1388"/>
      <c r="P85" s="2329"/>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9"/>
      <c r="Q86" s="121"/>
    </row>
    <row r="87" spans="1:17" s="40" customFormat="1" ht="27.75" thickTop="1">
      <c r="A87" s="1071"/>
      <c r="B87" s="1053" t="s">
        <v>1099</v>
      </c>
      <c r="C87" s="139"/>
      <c r="D87" s="139"/>
      <c r="E87" s="139"/>
      <c r="F87" s="139"/>
      <c r="G87" s="139"/>
      <c r="H87" s="139"/>
      <c r="I87" s="139"/>
      <c r="J87" s="139"/>
      <c r="K87" s="139"/>
      <c r="L87" s="1383"/>
      <c r="M87" s="1384"/>
      <c r="N87" s="1387"/>
      <c r="O87" s="1387"/>
      <c r="P87" s="2329"/>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2"/>
      <c r="D94" s="878"/>
      <c r="E94" s="878"/>
      <c r="F94" s="878"/>
      <c r="G94" s="878"/>
      <c r="H94" s="878"/>
      <c r="I94" s="878"/>
      <c r="J94" s="878"/>
      <c r="K94" s="878"/>
      <c r="L94" s="878"/>
      <c r="M94" s="879"/>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2"/>
      <c r="D96" s="902"/>
      <c r="E96" s="902"/>
      <c r="F96" s="902"/>
      <c r="G96" s="878"/>
      <c r="H96" s="878"/>
      <c r="I96" s="878"/>
      <c r="J96" s="878"/>
      <c r="K96" s="878"/>
      <c r="L96" s="878"/>
      <c r="M96" s="879"/>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2"/>
      <c r="D98" s="878"/>
      <c r="E98" s="878"/>
      <c r="F98" s="878"/>
      <c r="G98" s="878"/>
      <c r="H98" s="878"/>
      <c r="I98" s="878"/>
      <c r="J98" s="878"/>
      <c r="K98" s="878"/>
      <c r="L98" s="878"/>
      <c r="M98" s="879"/>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2"/>
      <c r="D100" s="912"/>
      <c r="E100" s="912"/>
      <c r="F100" s="912"/>
      <c r="G100" s="933"/>
      <c r="H100" s="933"/>
      <c r="I100" s="933"/>
      <c r="J100" s="933"/>
      <c r="K100" s="933"/>
      <c r="L100" s="933"/>
      <c r="M100" s="934"/>
      <c r="N100" s="1389"/>
      <c r="O100" s="1389"/>
      <c r="P100" s="2329"/>
      <c r="Q100" s="121"/>
    </row>
    <row r="101" spans="1:17">
      <c r="A101" s="172" t="s">
        <v>1057</v>
      </c>
      <c r="B101" s="286" t="s">
        <v>1100</v>
      </c>
      <c r="C101" s="122"/>
      <c r="D101" s="122"/>
      <c r="E101" s="122"/>
      <c r="F101" s="122"/>
      <c r="G101" s="122"/>
      <c r="H101" s="122"/>
      <c r="I101" s="122"/>
      <c r="J101" s="122"/>
      <c r="K101" s="123"/>
      <c r="L101" s="124"/>
      <c r="M101" s="125"/>
      <c r="N101" s="1388"/>
      <c r="O101" s="1388"/>
      <c r="P101" s="2329"/>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9"/>
      <c r="Q102" s="121"/>
    </row>
    <row r="103" spans="1:17" ht="15" thickTop="1">
      <c r="A103" s="173"/>
      <c r="B103" s="1053" t="s">
        <v>1059</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9"/>
      <c r="Q103" s="121"/>
    </row>
    <row r="104" spans="1:17" s="1038" customFormat="1" ht="14.25">
      <c r="A104" s="1072"/>
      <c r="B104" s="1073"/>
      <c r="C104" s="937"/>
      <c r="D104" s="937"/>
      <c r="E104" s="937"/>
      <c r="F104" s="937"/>
      <c r="G104" s="937"/>
      <c r="H104" s="937"/>
      <c r="I104" s="937"/>
      <c r="J104" s="938"/>
      <c r="K104" s="938"/>
      <c r="L104" s="939"/>
      <c r="M104" s="940"/>
      <c r="N104" s="1390"/>
      <c r="O104" s="1390"/>
      <c r="P104" s="2330"/>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0"/>
      <c r="Q105" s="1062"/>
    </row>
    <row r="106" spans="1:17" ht="14.25" thickTop="1">
      <c r="A106" s="175"/>
      <c r="B106" s="1053" t="s">
        <v>1060</v>
      </c>
      <c r="C106" s="139"/>
      <c r="D106" s="139"/>
      <c r="E106" s="131"/>
      <c r="F106" s="131"/>
      <c r="G106" s="131"/>
      <c r="H106" s="131"/>
      <c r="I106" s="131"/>
      <c r="J106" s="131"/>
      <c r="K106" s="132"/>
      <c r="L106" s="133"/>
      <c r="M106" s="134"/>
      <c r="N106" s="1388"/>
      <c r="O106" s="1388"/>
      <c r="P106" s="2329"/>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9"/>
      <c r="Q107" s="121"/>
    </row>
    <row r="108" spans="1:17" ht="14.25" thickTop="1">
      <c r="A108" s="175"/>
      <c r="B108" s="1053" t="s">
        <v>1061</v>
      </c>
      <c r="C108" s="139"/>
      <c r="D108" s="139"/>
      <c r="E108" s="139"/>
      <c r="F108" s="131"/>
      <c r="G108" s="131"/>
      <c r="H108" s="131"/>
      <c r="I108" s="131"/>
      <c r="J108" s="131"/>
      <c r="K108" s="132"/>
      <c r="L108" s="133"/>
      <c r="M108" s="134"/>
      <c r="N108" s="1388"/>
      <c r="O108" s="1388"/>
      <c r="P108" s="2329"/>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9"/>
      <c r="Q109" s="121"/>
    </row>
    <row r="110" spans="1:17" ht="15" thickTop="1">
      <c r="A110" s="175"/>
      <c r="B110" s="1053" t="s">
        <v>1062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9"/>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9"/>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9"/>
      <c r="Q112" s="121"/>
    </row>
    <row r="113" spans="1:17" s="1038" customFormat="1" ht="14.25" thickTop="1">
      <c r="A113" s="1072"/>
      <c r="B113" s="1053" t="s">
        <v>1101</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0"/>
      <c r="Q114" s="1062"/>
    </row>
    <row r="115" spans="1:17" ht="14.25" thickTop="1">
      <c r="A115" s="175"/>
      <c r="B115" s="1053" t="s">
        <v>1102</v>
      </c>
      <c r="C115" s="139"/>
      <c r="D115" s="139"/>
      <c r="E115" s="131"/>
      <c r="F115" s="131"/>
      <c r="G115" s="131"/>
      <c r="H115" s="131"/>
      <c r="I115" s="131"/>
      <c r="J115" s="131"/>
      <c r="K115" s="132"/>
      <c r="L115" s="133"/>
      <c r="M115" s="134"/>
      <c r="N115" s="1388"/>
      <c r="O115" s="1388"/>
      <c r="P115" s="2329"/>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9"/>
      <c r="Q116" s="121"/>
    </row>
    <row r="117" spans="1:17" ht="14.25" thickTop="1">
      <c r="A117" s="175"/>
      <c r="B117" s="1053" t="s">
        <v>2643</v>
      </c>
      <c r="C117" s="139"/>
      <c r="D117" s="139"/>
      <c r="E117" s="139"/>
      <c r="F117" s="139"/>
      <c r="G117" s="139"/>
      <c r="H117" s="131"/>
      <c r="I117" s="131"/>
      <c r="J117" s="131"/>
      <c r="K117" s="132"/>
      <c r="L117" s="133"/>
      <c r="M117" s="134"/>
      <c r="N117" s="1388"/>
      <c r="O117" s="1388"/>
      <c r="P117" s="2329"/>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9"/>
      <c r="Q118" s="121"/>
    </row>
    <row r="119" spans="1:17" ht="14.25" thickTop="1">
      <c r="A119" s="175"/>
      <c r="B119" s="211" t="s">
        <v>1064</v>
      </c>
      <c r="C119" s="131"/>
      <c r="D119" s="131"/>
      <c r="E119" s="131"/>
      <c r="F119" s="131"/>
      <c r="G119" s="131"/>
      <c r="H119" s="131"/>
      <c r="I119" s="131"/>
      <c r="J119" s="131"/>
      <c r="K119" s="131"/>
      <c r="L119" s="198"/>
      <c r="M119" s="199"/>
      <c r="N119" s="1389"/>
      <c r="O119" s="1389"/>
      <c r="P119" s="2334"/>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9"/>
      <c r="Q120" s="121"/>
    </row>
    <row r="121" spans="1:17" s="1038" customFormat="1" ht="15" thickTop="1">
      <c r="A121" s="1072"/>
      <c r="B121" s="1053" t="s">
        <v>1065</v>
      </c>
      <c r="C121" s="896"/>
      <c r="D121" s="896"/>
      <c r="E121" s="896"/>
      <c r="F121" s="925"/>
      <c r="G121" s="897"/>
      <c r="H121" s="897"/>
      <c r="I121" s="897"/>
      <c r="J121" s="897"/>
      <c r="K121" s="897"/>
      <c r="L121" s="898"/>
      <c r="M121" s="899"/>
      <c r="N121" s="1390"/>
      <c r="O121" s="1390"/>
      <c r="P121" s="2330"/>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0"/>
      <c r="Q122" s="1062"/>
    </row>
    <row r="123" spans="1:17" ht="14.25" thickTop="1">
      <c r="A123" s="175"/>
      <c r="B123" s="1053" t="s">
        <v>1067</v>
      </c>
      <c r="C123" s="139"/>
      <c r="D123" s="139"/>
      <c r="E123" s="139"/>
      <c r="F123" s="131"/>
      <c r="G123" s="131"/>
      <c r="H123" s="131"/>
      <c r="I123" s="131"/>
      <c r="J123" s="131"/>
      <c r="K123" s="132"/>
      <c r="L123" s="133"/>
      <c r="M123" s="134"/>
      <c r="N123" s="1388"/>
      <c r="O123" s="1388"/>
      <c r="P123" s="2329"/>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9"/>
      <c r="Q124" s="121"/>
    </row>
    <row r="125" spans="1:17" ht="27.75" thickTop="1">
      <c r="A125" s="175"/>
      <c r="B125" s="1053" t="s">
        <v>1068</v>
      </c>
      <c r="C125" s="920" t="s">
        <v>1017</v>
      </c>
      <c r="D125" s="920" t="s">
        <v>1018</v>
      </c>
      <c r="E125" s="920" t="s">
        <v>1019</v>
      </c>
      <c r="F125" s="920" t="s">
        <v>1020</v>
      </c>
      <c r="G125" s="920" t="s">
        <v>1021</v>
      </c>
      <c r="H125" s="881"/>
      <c r="I125" s="881"/>
      <c r="J125" s="881"/>
      <c r="K125" s="882"/>
      <c r="L125" s="883"/>
      <c r="M125" s="884"/>
      <c r="N125" s="1388"/>
      <c r="O125" s="1388"/>
      <c r="P125" s="2330"/>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2"/>
      <c r="D130" s="902"/>
      <c r="E130" s="902"/>
      <c r="F130" s="902"/>
      <c r="G130" s="878"/>
      <c r="H130" s="878"/>
      <c r="I130" s="878"/>
      <c r="J130" s="878"/>
      <c r="K130" s="878"/>
      <c r="L130" s="878"/>
      <c r="M130" s="879"/>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2"/>
      <c r="D132" s="912"/>
      <c r="E132" s="912"/>
      <c r="F132" s="912"/>
      <c r="G132" s="933"/>
      <c r="H132" s="933"/>
      <c r="I132" s="933"/>
      <c r="J132" s="933"/>
      <c r="K132" s="933"/>
      <c r="L132" s="933"/>
      <c r="M132" s="934"/>
      <c r="N132" s="1389"/>
      <c r="O132" s="1389"/>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1107</v>
      </c>
      <c r="B1" s="3122" t="s">
        <v>1108</v>
      </c>
      <c r="C1" s="3116" t="s">
        <v>1109</v>
      </c>
      <c r="D1" s="3107"/>
      <c r="E1" s="3112"/>
      <c r="F1" s="3109"/>
      <c r="G1" s="3111" t="s">
        <v>1110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1111</v>
      </c>
      <c r="B2" s="2847" t="e">
        <f ca="1">IF(C2="——",ROUND(C43*D3/10000,0),ROUND(C43*D3/10000,0)-D2)</f>
        <v>#DIV/0!</v>
      </c>
      <c r="C2" s="3101"/>
      <c r="D2" s="2342" t="e">
        <f ca="1">SUMIF(INDIRECT("'"&amp;F2&amp;"'"&amp;"!A:A"),"承租人权益价值",INDIRECT("'"&amp;F2&amp;"'"&amp;"!c:c"))</f>
        <v>#REF!</v>
      </c>
      <c r="E2" s="3102" t="s">
        <v>869</v>
      </c>
      <c r="F2" s="3103"/>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1112</v>
      </c>
      <c r="B3" s="951" t="e">
        <f ca="1">IF(C2="——",C43,ROUND(B2*10000/D3,0))</f>
        <v>#DIV/0!</v>
      </c>
      <c r="C3" s="142" t="s">
        <v>1113</v>
      </c>
      <c r="D3" s="742">
        <f>IF(D1="",'数据-汇总表'!E3,SUMIF('数据-汇总表'!$C19:$C33,D1,'数据-汇总表'!$E19:$E33))</f>
        <v>2579.75</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1114</v>
      </c>
      <c r="B4" s="144"/>
      <c r="C4" s="3589" t="s">
        <v>1115</v>
      </c>
      <c r="D4" s="3590"/>
      <c r="E4" s="3591" t="s">
        <v>1116</v>
      </c>
      <c r="F4" s="3592"/>
      <c r="G4" s="3589" t="s">
        <v>1117</v>
      </c>
      <c r="H4" s="3590"/>
      <c r="I4" s="3589" t="s">
        <v>1118</v>
      </c>
      <c r="J4" s="3590"/>
      <c r="K4" s="187" t="s">
        <v>1119</v>
      </c>
      <c r="L4" s="2295"/>
      <c r="M4" s="2296"/>
      <c r="N4" s="2296"/>
      <c r="O4" s="2296"/>
      <c r="P4" s="3593" t="s">
        <v>1114</v>
      </c>
      <c r="Q4" s="3594"/>
      <c r="R4" s="3599" t="s">
        <v>1116</v>
      </c>
      <c r="S4" s="3600"/>
      <c r="T4" s="3599" t="s">
        <v>1117</v>
      </c>
      <c r="U4" s="3600"/>
      <c r="V4" s="3584" t="s">
        <v>1118</v>
      </c>
      <c r="W4" s="3584"/>
      <c r="X4" s="1339"/>
      <c r="Y4" s="3599" t="s">
        <v>1114</v>
      </c>
      <c r="Z4" s="3600"/>
      <c r="AA4" s="3586" t="s">
        <v>1116</v>
      </c>
      <c r="AB4" s="3587" t="s">
        <v>1117</v>
      </c>
      <c r="AC4" s="3586" t="s">
        <v>1118</v>
      </c>
    </row>
    <row r="5" spans="1:29">
      <c r="A5" s="146"/>
      <c r="B5" s="147"/>
      <c r="C5" s="3607" t="s">
        <v>1120</v>
      </c>
      <c r="D5" s="3608"/>
      <c r="E5" s="3614" t="s">
        <v>1121</v>
      </c>
      <c r="F5" s="3615"/>
      <c r="G5" s="3607" t="s">
        <v>1122</v>
      </c>
      <c r="H5" s="3608"/>
      <c r="I5" s="3607" t="s">
        <v>1123</v>
      </c>
      <c r="J5" s="3608"/>
      <c r="K5" s="187"/>
      <c r="L5" s="2295"/>
      <c r="M5" s="2296"/>
      <c r="N5" s="2296"/>
      <c r="O5" s="2296"/>
      <c r="P5" s="3595"/>
      <c r="Q5" s="3596"/>
      <c r="R5" s="3601"/>
      <c r="S5" s="3602"/>
      <c r="T5" s="3601"/>
      <c r="U5" s="3602"/>
      <c r="V5" s="3584"/>
      <c r="W5" s="3584"/>
      <c r="X5" s="1339"/>
      <c r="Y5" s="3601"/>
      <c r="Z5" s="3602"/>
      <c r="AA5" s="3587"/>
      <c r="AB5" s="3587"/>
      <c r="AC5" s="3587"/>
    </row>
    <row r="6" spans="1:29" ht="14.25" thickBot="1">
      <c r="A6" s="148"/>
      <c r="B6" s="149"/>
      <c r="C6" s="3605" t="s">
        <v>1124</v>
      </c>
      <c r="D6" s="3606"/>
      <c r="E6" s="3612" t="s">
        <v>1124</v>
      </c>
      <c r="F6" s="3613"/>
      <c r="G6" s="3605" t="s">
        <v>1124</v>
      </c>
      <c r="H6" s="3606"/>
      <c r="I6" s="3605" t="s">
        <v>1124</v>
      </c>
      <c r="J6" s="3606"/>
      <c r="K6" s="187" t="s">
        <v>1125</v>
      </c>
      <c r="L6" s="2295"/>
      <c r="M6" s="2296"/>
      <c r="N6" s="2296"/>
      <c r="O6" s="2296"/>
      <c r="P6" s="3597"/>
      <c r="Q6" s="3598"/>
      <c r="R6" s="3601"/>
      <c r="S6" s="3602"/>
      <c r="T6" s="3603"/>
      <c r="U6" s="3604"/>
      <c r="V6" s="3584"/>
      <c r="W6" s="3584"/>
      <c r="X6" s="1339"/>
      <c r="Y6" s="3603"/>
      <c r="Z6" s="3604"/>
      <c r="AA6" s="3588"/>
      <c r="AB6" s="3588"/>
      <c r="AC6" s="3588"/>
    </row>
    <row r="7" spans="1:29" s="40" customFormat="1" ht="15" thickBot="1">
      <c r="A7" s="1013" t="s">
        <v>1126</v>
      </c>
      <c r="B7" s="1014"/>
      <c r="C7" s="753">
        <f>'数据-取费表'!B2</f>
        <v>43040</v>
      </c>
      <c r="D7" s="754">
        <v>100</v>
      </c>
      <c r="E7" s="1016"/>
      <c r="F7" s="756">
        <f>SUMIF(52:52,YEAR(E7)&amp;"-"&amp;MONTH(E7),53:53)</f>
        <v>0</v>
      </c>
      <c r="G7" s="1016"/>
      <c r="H7" s="754">
        <f>SUMIF(52:52,YEAR(G7)&amp;"-"&amp;MONTH(G7),53:53)</f>
        <v>0</v>
      </c>
      <c r="I7" s="1016"/>
      <c r="J7" s="754">
        <f>SUMIF(52:52,YEAR(I7)&amp;"-"&amp;MONTH(I7),53:53)</f>
        <v>0</v>
      </c>
      <c r="K7" s="1018"/>
      <c r="L7" s="2297"/>
      <c r="M7" s="2259"/>
      <c r="N7" s="2259"/>
      <c r="O7" s="2259"/>
      <c r="P7" s="3609" t="s">
        <v>1126</v>
      </c>
      <c r="Q7" s="3611"/>
      <c r="R7" s="1341" t="s">
        <v>65</v>
      </c>
      <c r="S7" s="1342">
        <f t="shared" ref="S7:S15" si="0">F7</f>
        <v>0</v>
      </c>
      <c r="T7" s="1341" t="s">
        <v>65</v>
      </c>
      <c r="U7" s="1342">
        <f t="shared" ref="U7:U15" si="1">H7</f>
        <v>0</v>
      </c>
      <c r="V7" s="1341" t="s">
        <v>65</v>
      </c>
      <c r="W7" s="1342">
        <f t="shared" ref="W7:W15" si="2">J7</f>
        <v>0</v>
      </c>
      <c r="X7" s="287"/>
      <c r="Y7" s="3609" t="s">
        <v>1126</v>
      </c>
      <c r="Z7" s="3610"/>
      <c r="AA7" s="1343" t="e">
        <f>D7/F7</f>
        <v>#DIV/0!</v>
      </c>
      <c r="AB7" s="1343" t="e">
        <f>D7/H7</f>
        <v>#DIV/0!</v>
      </c>
      <c r="AC7" s="1343" t="e">
        <f>D7/J7</f>
        <v>#DIV/0!</v>
      </c>
    </row>
    <row r="8" spans="1:29" s="40" customFormat="1" ht="15" thickBot="1">
      <c r="A8" s="1013" t="s">
        <v>1127</v>
      </c>
      <c r="B8" s="1014"/>
      <c r="C8" s="1019" t="s">
        <v>155</v>
      </c>
      <c r="D8" s="754">
        <v>100</v>
      </c>
      <c r="E8" s="1019"/>
      <c r="F8" s="756">
        <f>SUMIF(55:55,E8,56:56)-SUMIF(55:55,C8,56:56)+100</f>
        <v>0</v>
      </c>
      <c r="G8" s="1019"/>
      <c r="H8" s="754">
        <f>SUMIF(55:55,G8,56:56)-SUMIF(55:55,C8,56:56)+100</f>
        <v>0</v>
      </c>
      <c r="I8" s="1019"/>
      <c r="J8" s="754">
        <f>SUMIF(55:55,I8,56:56)-SUMIF(55:55,C8,56:56)+100</f>
        <v>0</v>
      </c>
      <c r="K8" s="1018"/>
      <c r="L8" s="2297"/>
      <c r="M8" s="2259"/>
      <c r="N8" s="2259"/>
      <c r="O8" s="2259"/>
      <c r="P8" s="3609" t="s">
        <v>1022</v>
      </c>
      <c r="Q8" s="3610"/>
      <c r="R8" s="1341" t="s">
        <v>65</v>
      </c>
      <c r="S8" s="1342">
        <f t="shared" si="0"/>
        <v>0</v>
      </c>
      <c r="T8" s="1341" t="s">
        <v>65</v>
      </c>
      <c r="U8" s="1342">
        <f t="shared" si="1"/>
        <v>0</v>
      </c>
      <c r="V8" s="1341" t="s">
        <v>65</v>
      </c>
      <c r="W8" s="1342">
        <f t="shared" si="2"/>
        <v>0</v>
      </c>
      <c r="X8" s="287"/>
      <c r="Y8" s="3609" t="s">
        <v>1022</v>
      </c>
      <c r="Z8" s="3610"/>
      <c r="AA8" s="1343" t="e">
        <f t="shared" ref="AA8:AA40" si="3">D8/F8</f>
        <v>#DIV/0!</v>
      </c>
      <c r="AB8" s="1343" t="e">
        <f t="shared" ref="AB8:AB40" si="4">D8/H8</f>
        <v>#DIV/0!</v>
      </c>
      <c r="AC8" s="1343" t="e">
        <f t="shared" ref="AC8:AC40" si="5">D8/J8</f>
        <v>#DIV/0!</v>
      </c>
    </row>
    <row r="9" spans="1:29" s="40" customFormat="1" ht="14.25">
      <c r="A9" s="1020" t="s">
        <v>1023</v>
      </c>
      <c r="B9" s="62" t="s">
        <v>1024</v>
      </c>
      <c r="C9" s="1345"/>
      <c r="D9" s="425">
        <v>100</v>
      </c>
      <c r="E9" s="1347"/>
      <c r="F9" s="425">
        <f>SUMIF(57:57,E9,58:58)-SUMIF(57:57,C9,58:58)+100</f>
        <v>100</v>
      </c>
      <c r="G9" s="1346"/>
      <c r="H9" s="425">
        <f>SUMIF(57:57,G9,58:58)-SUMIF(57:57,C9,58:58)+100</f>
        <v>100</v>
      </c>
      <c r="I9" s="1346"/>
      <c r="J9" s="425">
        <f>SUMIF(57:57,I9,58:58)-SUMIF(57:57,C9,58:58)+100</f>
        <v>100</v>
      </c>
      <c r="K9" s="1018"/>
      <c r="L9" s="2297"/>
      <c r="M9" s="2259"/>
      <c r="N9" s="2259"/>
      <c r="O9" s="2338"/>
      <c r="P9" s="3570" t="s">
        <v>67</v>
      </c>
      <c r="Q9" s="7" t="str">
        <f t="shared" ref="Q9:Q15" si="6">B9</f>
        <v>用途</v>
      </c>
      <c r="R9" s="1341" t="s">
        <v>65</v>
      </c>
      <c r="S9" s="1342">
        <f t="shared" si="0"/>
        <v>100</v>
      </c>
      <c r="T9" s="1341" t="s">
        <v>65</v>
      </c>
      <c r="U9" s="1342">
        <f t="shared" si="1"/>
        <v>100</v>
      </c>
      <c r="V9" s="1341" t="s">
        <v>65</v>
      </c>
      <c r="W9" s="1342">
        <f t="shared" si="2"/>
        <v>100</v>
      </c>
      <c r="X9" s="287"/>
      <c r="Y9" s="342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8"/>
      <c r="M10" s="2299"/>
      <c r="N10" s="2299"/>
      <c r="O10" s="2339"/>
      <c r="P10" s="3570"/>
      <c r="Q10" s="7" t="str">
        <f t="shared" si="6"/>
        <v>土地使用年限（年）</v>
      </c>
      <c r="R10" s="1341" t="s">
        <v>65</v>
      </c>
      <c r="S10" s="1342">
        <f t="shared" si="0"/>
        <v>100</v>
      </c>
      <c r="T10" s="1341" t="s">
        <v>65</v>
      </c>
      <c r="U10" s="1342">
        <f t="shared" si="1"/>
        <v>100</v>
      </c>
      <c r="V10" s="1341" t="s">
        <v>65</v>
      </c>
      <c r="W10" s="1342">
        <f t="shared" si="2"/>
        <v>100</v>
      </c>
      <c r="X10" s="287"/>
      <c r="Y10" s="3420"/>
      <c r="Z10" s="288" t="str">
        <f t="shared" si="7"/>
        <v>土地使用年限（年）</v>
      </c>
      <c r="AA10" s="1343">
        <f t="shared" si="3"/>
        <v>1</v>
      </c>
      <c r="AB10" s="1343">
        <f t="shared" si="4"/>
        <v>1</v>
      </c>
      <c r="AC10" s="1343">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4"/>
      <c r="L11" s="2300"/>
      <c r="M11" s="2296"/>
      <c r="N11" s="2296"/>
      <c r="O11" s="2340"/>
      <c r="P11" s="3570"/>
      <c r="Q11" s="7" t="str">
        <f t="shared" si="6"/>
        <v>容积率</v>
      </c>
      <c r="R11" s="1341" t="s">
        <v>65</v>
      </c>
      <c r="S11" s="1342" t="e">
        <f t="shared" si="0"/>
        <v>#N/A</v>
      </c>
      <c r="T11" s="1341" t="s">
        <v>65</v>
      </c>
      <c r="U11" s="1342" t="e">
        <f t="shared" si="1"/>
        <v>#N/A</v>
      </c>
      <c r="V11" s="1341" t="s">
        <v>65</v>
      </c>
      <c r="W11" s="1342" t="e">
        <f t="shared" si="2"/>
        <v>#N/A</v>
      </c>
      <c r="X11" s="287"/>
      <c r="Y11" s="342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6">
        <f>SUMIF(64:64,E12,65:65)-SUMIF(64:64,C12,65:65)+100</f>
        <v>100</v>
      </c>
      <c r="G12" s="1410"/>
      <c r="H12" s="426">
        <f>SUMIF(64:64,G12,65:65)-SUMIF(64:64,C12,65:65)+100</f>
        <v>100</v>
      </c>
      <c r="I12" s="1357"/>
      <c r="J12" s="426">
        <f>SUMIF(64:64,I12,65:65)-SUMIF(64:64,C12,65:65)+100</f>
        <v>100</v>
      </c>
      <c r="K12" s="188"/>
      <c r="L12" s="2297"/>
      <c r="M12" s="2259"/>
      <c r="N12" s="2259"/>
      <c r="O12" s="2338"/>
      <c r="P12" s="3570"/>
      <c r="Q12" s="7">
        <f t="shared" si="6"/>
        <v>111</v>
      </c>
      <c r="R12" s="1341" t="s">
        <v>65</v>
      </c>
      <c r="S12" s="1342">
        <f t="shared" si="0"/>
        <v>100</v>
      </c>
      <c r="T12" s="1341" t="s">
        <v>65</v>
      </c>
      <c r="U12" s="1342">
        <f t="shared" si="1"/>
        <v>100</v>
      </c>
      <c r="V12" s="1341" t="s">
        <v>65</v>
      </c>
      <c r="W12" s="1342">
        <f t="shared" si="2"/>
        <v>100</v>
      </c>
      <c r="X12" s="287"/>
      <c r="Y12" s="3420"/>
      <c r="Z12" s="288">
        <f t="shared" si="7"/>
        <v>111</v>
      </c>
      <c r="AA12" s="1343">
        <f>D12/F12</f>
        <v>1</v>
      </c>
      <c r="AB12" s="1343">
        <f>D12/H12</f>
        <v>1</v>
      </c>
      <c r="AC12" s="1343">
        <f>D12/J12</f>
        <v>1</v>
      </c>
    </row>
    <row r="13" spans="1:29" ht="14.25">
      <c r="A13" s="151"/>
      <c r="B13" s="1030">
        <v>111</v>
      </c>
      <c r="C13" s="93"/>
      <c r="D13" s="777">
        <v>100</v>
      </c>
      <c r="E13" s="93"/>
      <c r="F13" s="426">
        <f>SUMIF(66:66,E13,67:67)-SUMIF(66:66,C13,67:67)+100</f>
        <v>100</v>
      </c>
      <c r="G13" s="1410"/>
      <c r="H13" s="777">
        <f>SUMIF(66:66,G13,67:67)-SUMIF(66:66,C13,67:67)+100</f>
        <v>100</v>
      </c>
      <c r="I13" s="1357"/>
      <c r="J13" s="777">
        <f>SUMIF(66:66,I13,67:67)-SUMIF(66:66,C13,67:67)+100</f>
        <v>100</v>
      </c>
      <c r="K13" s="188"/>
      <c r="L13" s="2301"/>
      <c r="M13" s="2296"/>
      <c r="N13" s="2296"/>
      <c r="O13" s="2340"/>
      <c r="P13" s="3570"/>
      <c r="Q13" s="7">
        <f t="shared" si="6"/>
        <v>111</v>
      </c>
      <c r="R13" s="1341" t="s">
        <v>65</v>
      </c>
      <c r="S13" s="1342">
        <f t="shared" si="0"/>
        <v>100</v>
      </c>
      <c r="T13" s="1341" t="s">
        <v>65</v>
      </c>
      <c r="U13" s="1342">
        <f t="shared" si="1"/>
        <v>100</v>
      </c>
      <c r="V13" s="1341" t="s">
        <v>65</v>
      </c>
      <c r="W13" s="1342">
        <f t="shared" si="2"/>
        <v>100</v>
      </c>
      <c r="X13" s="287"/>
      <c r="Y13" s="3420"/>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1"/>
      <c r="M14" s="2296"/>
      <c r="N14" s="2296"/>
      <c r="O14" s="2340"/>
      <c r="P14" s="3570"/>
      <c r="Q14" s="7">
        <f t="shared" si="6"/>
        <v>111</v>
      </c>
      <c r="R14" s="1341" t="s">
        <v>65</v>
      </c>
      <c r="S14" s="1342">
        <f t="shared" si="0"/>
        <v>100</v>
      </c>
      <c r="T14" s="1341" t="s">
        <v>65</v>
      </c>
      <c r="U14" s="1342">
        <f t="shared" si="1"/>
        <v>100</v>
      </c>
      <c r="V14" s="1341" t="s">
        <v>65</v>
      </c>
      <c r="W14" s="1342">
        <f t="shared" si="2"/>
        <v>100</v>
      </c>
      <c r="X14" s="287"/>
      <c r="Y14" s="3420"/>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1"/>
      <c r="M15" s="2296"/>
      <c r="N15" s="2296"/>
      <c r="O15" s="2340"/>
      <c r="P15" s="3577" t="s">
        <v>69</v>
      </c>
      <c r="Q15" s="1350" t="str">
        <f t="shared" si="6"/>
        <v>产业集聚程度</v>
      </c>
      <c r="R15" s="1351" t="s">
        <v>65</v>
      </c>
      <c r="S15" s="1352">
        <f t="shared" si="0"/>
        <v>100</v>
      </c>
      <c r="T15" s="1351" t="s">
        <v>65</v>
      </c>
      <c r="U15" s="1352">
        <f t="shared" si="1"/>
        <v>100</v>
      </c>
      <c r="V15" s="1351" t="s">
        <v>65</v>
      </c>
      <c r="W15" s="1352">
        <f t="shared" si="2"/>
        <v>100</v>
      </c>
      <c r="X15" s="1339"/>
      <c r="Y15" s="3577"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1"/>
      <c r="M16" s="2296"/>
      <c r="N16" s="2296"/>
      <c r="O16" s="2340"/>
      <c r="P16" s="3578"/>
      <c r="Q16" s="1350"/>
      <c r="R16" s="1351"/>
      <c r="S16" s="1352"/>
      <c r="T16" s="1351"/>
      <c r="U16" s="1352"/>
      <c r="V16" s="1351"/>
      <c r="W16" s="1352"/>
      <c r="X16" s="1339"/>
      <c r="Y16" s="3578"/>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1"/>
      <c r="M17" s="2296"/>
      <c r="N17" s="2296"/>
      <c r="O17" s="2340"/>
      <c r="P17" s="3578"/>
      <c r="Q17" s="1350" t="str">
        <f>B17</f>
        <v>交通便捷度</v>
      </c>
      <c r="R17" s="1351" t="s">
        <v>65</v>
      </c>
      <c r="S17" s="1352">
        <f>F17</f>
        <v>100</v>
      </c>
      <c r="T17" s="1351" t="s">
        <v>65</v>
      </c>
      <c r="U17" s="1352">
        <f>H17</f>
        <v>100</v>
      </c>
      <c r="V17" s="1351" t="s">
        <v>65</v>
      </c>
      <c r="W17" s="1352">
        <f>J17</f>
        <v>100</v>
      </c>
      <c r="X17" s="1339"/>
      <c r="Y17" s="357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1"/>
      <c r="M18" s="2296"/>
      <c r="N18" s="2296"/>
      <c r="O18" s="2340"/>
      <c r="P18" s="3578"/>
      <c r="Q18" s="1350"/>
      <c r="R18" s="1351"/>
      <c r="S18" s="1352"/>
      <c r="T18" s="1351"/>
      <c r="U18" s="1352"/>
      <c r="V18" s="1351"/>
      <c r="W18" s="1352"/>
      <c r="X18" s="1339"/>
      <c r="Y18" s="3578"/>
      <c r="Z18" s="1353"/>
      <c r="AA18" s="1354">
        <v>1</v>
      </c>
      <c r="AB18" s="1354">
        <v>1</v>
      </c>
      <c r="AC18" s="1354">
        <v>1</v>
      </c>
    </row>
    <row r="19" spans="1:29" ht="40.5">
      <c r="A19" s="151"/>
      <c r="B19" s="1355" t="s">
        <v>2666</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1"/>
      <c r="M19" s="2296"/>
      <c r="N19" s="2296"/>
      <c r="O19" s="2340"/>
      <c r="P19" s="3578"/>
      <c r="Q19" s="1350" t="str">
        <f>B19</f>
        <v>公共配套设施</v>
      </c>
      <c r="R19" s="1351" t="s">
        <v>65</v>
      </c>
      <c r="S19" s="1352">
        <f>F19</f>
        <v>100</v>
      </c>
      <c r="T19" s="1351" t="s">
        <v>65</v>
      </c>
      <c r="U19" s="1352">
        <f>H19</f>
        <v>100</v>
      </c>
      <c r="V19" s="1351" t="s">
        <v>65</v>
      </c>
      <c r="W19" s="1352">
        <f>J19</f>
        <v>100</v>
      </c>
      <c r="X19" s="1339"/>
      <c r="Y19" s="357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1"/>
      <c r="M20" s="2296"/>
      <c r="N20" s="2296"/>
      <c r="O20" s="2340"/>
      <c r="P20" s="3578"/>
      <c r="Q20" s="1350"/>
      <c r="R20" s="1351"/>
      <c r="S20" s="1352"/>
      <c r="T20" s="1351"/>
      <c r="U20" s="1352"/>
      <c r="V20" s="1351"/>
      <c r="W20" s="1352"/>
      <c r="X20" s="1339"/>
      <c r="Y20" s="3578"/>
      <c r="Z20" s="1353"/>
      <c r="AA20" s="1354">
        <v>1</v>
      </c>
      <c r="AB20" s="1354">
        <v>1</v>
      </c>
      <c r="AC20" s="1354">
        <v>1</v>
      </c>
    </row>
    <row r="21" spans="1:29" ht="40.5">
      <c r="A21" s="151"/>
      <c r="B21" s="1411" t="s">
        <v>2669</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1"/>
      <c r="M21" s="2296"/>
      <c r="N21" s="2296"/>
      <c r="O21" s="2340"/>
      <c r="P21" s="3578"/>
      <c r="Q21" s="2746" t="str">
        <f>B21</f>
        <v>基础设施水平</v>
      </c>
      <c r="R21" s="1351" t="s">
        <v>65</v>
      </c>
      <c r="S21" s="1352">
        <f>F21</f>
        <v>100</v>
      </c>
      <c r="T21" s="1351" t="s">
        <v>65</v>
      </c>
      <c r="U21" s="1352">
        <f>H21</f>
        <v>100</v>
      </c>
      <c r="V21" s="1351" t="s">
        <v>65</v>
      </c>
      <c r="W21" s="1352">
        <f>J21</f>
        <v>100</v>
      </c>
      <c r="X21" s="2748"/>
      <c r="Y21" s="3578"/>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6"/>
      <c r="L22" s="2301"/>
      <c r="M22" s="2296"/>
      <c r="N22" s="2296"/>
      <c r="O22" s="2340"/>
      <c r="P22" s="3578"/>
      <c r="Q22" s="2746"/>
      <c r="R22" s="1351"/>
      <c r="S22" s="1352"/>
      <c r="T22" s="1351"/>
      <c r="U22" s="1352"/>
      <c r="V22" s="1351"/>
      <c r="W22" s="1352"/>
      <c r="X22" s="2748"/>
      <c r="Y22" s="3578"/>
      <c r="Z22" s="2747"/>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1"/>
      <c r="M23" s="2296"/>
      <c r="N23" s="2296"/>
      <c r="O23" s="2340"/>
      <c r="P23" s="3578"/>
      <c r="Q23" s="1350" t="str">
        <f>B23</f>
        <v>环境质量</v>
      </c>
      <c r="R23" s="1351" t="s">
        <v>65</v>
      </c>
      <c r="S23" s="1352">
        <f>F23</f>
        <v>100</v>
      </c>
      <c r="T23" s="1351" t="s">
        <v>65</v>
      </c>
      <c r="U23" s="1352">
        <f>H23</f>
        <v>100</v>
      </c>
      <c r="V23" s="1351" t="s">
        <v>65</v>
      </c>
      <c r="W23" s="1352">
        <f>J23</f>
        <v>100</v>
      </c>
      <c r="X23" s="1339"/>
      <c r="Y23" s="3578"/>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1"/>
      <c r="M24" s="2296"/>
      <c r="N24" s="2296"/>
      <c r="O24" s="2340"/>
      <c r="P24" s="3578"/>
      <c r="Q24" s="1350"/>
      <c r="R24" s="1351"/>
      <c r="S24" s="1352"/>
      <c r="T24" s="1351"/>
      <c r="U24" s="1352"/>
      <c r="V24" s="1351"/>
      <c r="W24" s="1352"/>
      <c r="X24" s="1339"/>
      <c r="Y24" s="3578"/>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1"/>
      <c r="M25" s="2296"/>
      <c r="N25" s="2296"/>
      <c r="O25" s="2340"/>
      <c r="P25" s="3578"/>
      <c r="Q25" s="1350">
        <f>B25</f>
        <v>111</v>
      </c>
      <c r="R25" s="1351" t="s">
        <v>65</v>
      </c>
      <c r="S25" s="1352">
        <f>F25</f>
        <v>100</v>
      </c>
      <c r="T25" s="1351" t="s">
        <v>65</v>
      </c>
      <c r="U25" s="1352">
        <f>H25</f>
        <v>100</v>
      </c>
      <c r="V25" s="1351" t="s">
        <v>65</v>
      </c>
      <c r="W25" s="1352">
        <f>J25</f>
        <v>100</v>
      </c>
      <c r="X25" s="1339"/>
      <c r="Y25" s="3578"/>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1"/>
      <c r="M26" s="2296"/>
      <c r="N26" s="2296"/>
      <c r="O26" s="2340"/>
      <c r="P26" s="3578"/>
      <c r="Q26" s="1350">
        <f t="shared" ref="Q26:Q40" si="11">B26</f>
        <v>111</v>
      </c>
      <c r="R26" s="1351" t="s">
        <v>65</v>
      </c>
      <c r="S26" s="1352">
        <f>F26</f>
        <v>100</v>
      </c>
      <c r="T26" s="1351" t="s">
        <v>65</v>
      </c>
      <c r="U26" s="1352">
        <f>H26</f>
        <v>100</v>
      </c>
      <c r="V26" s="1351" t="s">
        <v>65</v>
      </c>
      <c r="W26" s="1352">
        <f>J26</f>
        <v>100</v>
      </c>
      <c r="X26" s="1339"/>
      <c r="Y26" s="3578"/>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7"/>
      <c r="M27" s="2259"/>
      <c r="N27" s="2259"/>
      <c r="O27" s="2338"/>
      <c r="P27" s="3578"/>
      <c r="Q27" s="7">
        <f t="shared" si="11"/>
        <v>111</v>
      </c>
      <c r="R27" s="1341" t="s">
        <v>65</v>
      </c>
      <c r="S27" s="1342">
        <f>F27</f>
        <v>100</v>
      </c>
      <c r="T27" s="1341" t="s">
        <v>65</v>
      </c>
      <c r="U27" s="1342">
        <f>H27</f>
        <v>100</v>
      </c>
      <c r="V27" s="1341" t="s">
        <v>65</v>
      </c>
      <c r="W27" s="1342">
        <f>J27</f>
        <v>100</v>
      </c>
      <c r="X27" s="287"/>
      <c r="Y27" s="3578"/>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1"/>
      <c r="M28" s="2296"/>
      <c r="N28" s="2296"/>
      <c r="O28" s="2340"/>
      <c r="P28" s="3578"/>
      <c r="Q28" s="1350">
        <f t="shared" si="11"/>
        <v>111</v>
      </c>
      <c r="R28" s="1351" t="s">
        <v>65</v>
      </c>
      <c r="S28" s="1352">
        <f t="shared" ref="S28:S40" si="12">F28</f>
        <v>100</v>
      </c>
      <c r="T28" s="1351" t="s">
        <v>65</v>
      </c>
      <c r="U28" s="1352">
        <f t="shared" ref="U28:U40" si="13">H28</f>
        <v>100</v>
      </c>
      <c r="V28" s="1351" t="s">
        <v>65</v>
      </c>
      <c r="W28" s="1352">
        <f t="shared" ref="W28:W40" si="14">J28</f>
        <v>100</v>
      </c>
      <c r="X28" s="1339"/>
      <c r="Y28" s="3578"/>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1"/>
      <c r="M29" s="2296"/>
      <c r="N29" s="2296"/>
      <c r="O29" s="2340"/>
      <c r="P29" s="3664" t="s">
        <v>1128</v>
      </c>
      <c r="Q29" s="1350" t="str">
        <f t="shared" si="11"/>
        <v>建筑类型</v>
      </c>
      <c r="R29" s="1351" t="s">
        <v>65</v>
      </c>
      <c r="S29" s="1352">
        <f t="shared" si="12"/>
        <v>100</v>
      </c>
      <c r="T29" s="1351" t="s">
        <v>65</v>
      </c>
      <c r="U29" s="1352">
        <f t="shared" si="13"/>
        <v>100</v>
      </c>
      <c r="V29" s="1351" t="s">
        <v>65</v>
      </c>
      <c r="W29" s="1352">
        <f t="shared" si="14"/>
        <v>100</v>
      </c>
      <c r="X29" s="1339"/>
      <c r="Y29" s="3582" t="s">
        <v>1128</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2"/>
      <c r="F30" s="767" t="e">
        <f>LOOKUP(E30,91:91,92:92)-LOOKUP(C30,91:91,92:92)+100</f>
        <v>#N/A</v>
      </c>
      <c r="G30" s="771"/>
      <c r="H30" s="426" t="e">
        <f>LOOKUP(G30,91:91,92:92)-LOOKUP(C30,91:91,92:92)+100</f>
        <v>#N/A</v>
      </c>
      <c r="I30" s="771"/>
      <c r="J30" s="426" t="e">
        <f>LOOKUP(I30,91:91,92:92)-LOOKUP(C30,91:91,92:92)+100</f>
        <v>#N/A</v>
      </c>
      <c r="K30" s="188"/>
      <c r="L30" s="2300"/>
      <c r="M30" s="2302"/>
      <c r="N30" s="2302"/>
      <c r="O30" s="2341"/>
      <c r="P30" s="3582"/>
      <c r="Q30" s="1358" t="str">
        <f t="shared" si="11"/>
        <v>项目建筑规模</v>
      </c>
      <c r="R30" s="1359" t="s">
        <v>65</v>
      </c>
      <c r="S30" s="1360" t="e">
        <f t="shared" si="12"/>
        <v>#N/A</v>
      </c>
      <c r="T30" s="1359" t="s">
        <v>65</v>
      </c>
      <c r="U30" s="1360" t="e">
        <f t="shared" si="13"/>
        <v>#N/A</v>
      </c>
      <c r="V30" s="1359" t="s">
        <v>65</v>
      </c>
      <c r="W30" s="1360" t="e">
        <f t="shared" si="14"/>
        <v>#N/A</v>
      </c>
      <c r="X30" s="1361"/>
      <c r="Y30" s="3582"/>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1"/>
      <c r="M31" s="2296"/>
      <c r="N31" s="2296"/>
      <c r="O31" s="2340"/>
      <c r="P31" s="3582"/>
      <c r="Q31" s="1350" t="str">
        <f t="shared" si="11"/>
        <v>建筑结构</v>
      </c>
      <c r="R31" s="1351" t="s">
        <v>65</v>
      </c>
      <c r="S31" s="1352">
        <f t="shared" si="12"/>
        <v>100</v>
      </c>
      <c r="T31" s="1351" t="s">
        <v>65</v>
      </c>
      <c r="U31" s="1352">
        <f t="shared" si="13"/>
        <v>100</v>
      </c>
      <c r="V31" s="1351" t="s">
        <v>65</v>
      </c>
      <c r="W31" s="1352">
        <f t="shared" si="14"/>
        <v>100</v>
      </c>
      <c r="X31" s="1339"/>
      <c r="Y31" s="3582"/>
      <c r="Z31" s="1353" t="str">
        <f t="shared" si="15"/>
        <v>建筑结构</v>
      </c>
      <c r="AA31" s="1354">
        <f t="shared" si="3"/>
        <v>1</v>
      </c>
      <c r="AB31" s="1354">
        <f t="shared" si="4"/>
        <v>1</v>
      </c>
      <c r="AC31" s="1354">
        <f t="shared" si="5"/>
        <v>1</v>
      </c>
    </row>
    <row r="32" spans="1:29" ht="15">
      <c r="A32" s="161"/>
      <c r="B32" s="12" t="s">
        <v>1030</v>
      </c>
      <c r="C32" s="107"/>
      <c r="D32" s="777">
        <v>100</v>
      </c>
      <c r="E32" s="107"/>
      <c r="F32" s="803">
        <f>SUMIF(95:95,E32,96:96)-SUMIF(95:95,C32,96:96)+100</f>
        <v>100</v>
      </c>
      <c r="G32" s="107"/>
      <c r="H32" s="777">
        <f>SUMIF(95:95,G32,96:96)-SUMIF(95:95,C32,96:96)+100</f>
        <v>100</v>
      </c>
      <c r="I32" s="107"/>
      <c r="J32" s="777">
        <f>SUMIF(95:95,I32,96:96)-SUMIF(95:95,C32,96:96)+100</f>
        <v>100</v>
      </c>
      <c r="K32" s="954"/>
      <c r="L32" s="2301"/>
      <c r="M32" s="2296"/>
      <c r="N32" s="2296"/>
      <c r="O32" s="2340"/>
      <c r="P32" s="3582"/>
      <c r="Q32" s="1350" t="str">
        <f t="shared" si="11"/>
        <v>公共部分装修</v>
      </c>
      <c r="R32" s="1351" t="s">
        <v>65</v>
      </c>
      <c r="S32" s="1352">
        <f t="shared" si="12"/>
        <v>100</v>
      </c>
      <c r="T32" s="1351" t="s">
        <v>65</v>
      </c>
      <c r="U32" s="1352">
        <f t="shared" si="13"/>
        <v>100</v>
      </c>
      <c r="V32" s="1351" t="s">
        <v>65</v>
      </c>
      <c r="W32" s="1352">
        <f t="shared" si="14"/>
        <v>100</v>
      </c>
      <c r="X32" s="1339"/>
      <c r="Y32" s="3582"/>
      <c r="Z32" s="1353" t="str">
        <f t="shared" si="15"/>
        <v>公共部分装修</v>
      </c>
      <c r="AA32" s="1354">
        <f t="shared" si="3"/>
        <v>1</v>
      </c>
      <c r="AB32" s="1354">
        <f t="shared" si="4"/>
        <v>1</v>
      </c>
      <c r="AC32" s="1354">
        <f t="shared" si="5"/>
        <v>1</v>
      </c>
    </row>
    <row r="33" spans="1:29" ht="15">
      <c r="A33" s="161"/>
      <c r="B33" s="12" t="s">
        <v>1031</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1"/>
      <c r="M33" s="2296"/>
      <c r="N33" s="2296"/>
      <c r="O33" s="2340"/>
      <c r="P33" s="3582"/>
      <c r="Q33" s="1350" t="str">
        <f t="shared" si="11"/>
        <v>成新度</v>
      </c>
      <c r="R33" s="1351" t="s">
        <v>65</v>
      </c>
      <c r="S33" s="1352" t="e">
        <f t="shared" si="12"/>
        <v>#N/A</v>
      </c>
      <c r="T33" s="1351" t="s">
        <v>65</v>
      </c>
      <c r="U33" s="1352" t="e">
        <f t="shared" si="13"/>
        <v>#N/A</v>
      </c>
      <c r="V33" s="1351" t="s">
        <v>65</v>
      </c>
      <c r="W33" s="1352" t="e">
        <f t="shared" si="14"/>
        <v>#N/A</v>
      </c>
      <c r="X33" s="1339"/>
      <c r="Y33" s="3582"/>
      <c r="Z33" s="1353" t="str">
        <f t="shared" si="15"/>
        <v>成新度</v>
      </c>
      <c r="AA33" s="1354" t="e">
        <f t="shared" si="3"/>
        <v>#N/A</v>
      </c>
      <c r="AB33" s="1354" t="e">
        <f t="shared" si="4"/>
        <v>#N/A</v>
      </c>
      <c r="AC33" s="1354" t="e">
        <f t="shared" si="5"/>
        <v>#N/A</v>
      </c>
    </row>
    <row r="34" spans="1:29" s="40" customFormat="1" ht="15">
      <c r="A34" s="1040"/>
      <c r="B34" s="12" t="s">
        <v>1129</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7"/>
      <c r="M34" s="2259"/>
      <c r="N34" s="2259"/>
      <c r="O34" s="2338"/>
      <c r="P34" s="3582"/>
      <c r="Q34" s="7" t="str">
        <f t="shared" si="11"/>
        <v>物业管理</v>
      </c>
      <c r="R34" s="1341" t="s">
        <v>65</v>
      </c>
      <c r="S34" s="1342">
        <f t="shared" si="12"/>
        <v>100</v>
      </c>
      <c r="T34" s="1341" t="s">
        <v>65</v>
      </c>
      <c r="U34" s="1342">
        <f t="shared" si="13"/>
        <v>100</v>
      </c>
      <c r="V34" s="1341" t="s">
        <v>65</v>
      </c>
      <c r="W34" s="1342">
        <f t="shared" si="14"/>
        <v>100</v>
      </c>
      <c r="X34" s="287"/>
      <c r="Y34" s="3582"/>
      <c r="Z34" s="288" t="str">
        <f t="shared" si="15"/>
        <v>物业管理</v>
      </c>
      <c r="AA34" s="1343">
        <f t="shared" si="3"/>
        <v>1</v>
      </c>
      <c r="AB34" s="1343">
        <f t="shared" si="4"/>
        <v>1</v>
      </c>
      <c r="AC34" s="1343">
        <f t="shared" si="5"/>
        <v>1</v>
      </c>
    </row>
    <row r="35" spans="1:29" ht="15">
      <c r="A35" s="161"/>
      <c r="B35" s="12" t="s">
        <v>2659</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1"/>
      <c r="M35" s="2296"/>
      <c r="N35" s="2296"/>
      <c r="O35" s="2340"/>
      <c r="P35" s="3582" t="s">
        <v>70</v>
      </c>
      <c r="Q35" s="1350" t="str">
        <f t="shared" si="11"/>
        <v>市政基础设施</v>
      </c>
      <c r="R35" s="1351" t="s">
        <v>65</v>
      </c>
      <c r="S35" s="1352">
        <f t="shared" si="12"/>
        <v>100</v>
      </c>
      <c r="T35" s="1351" t="s">
        <v>65</v>
      </c>
      <c r="U35" s="1352">
        <f t="shared" si="13"/>
        <v>100</v>
      </c>
      <c r="V35" s="1351" t="s">
        <v>65</v>
      </c>
      <c r="W35" s="1352">
        <f t="shared" si="14"/>
        <v>100</v>
      </c>
      <c r="X35" s="1339"/>
      <c r="Y35" s="3582"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1"/>
      <c r="M36" s="2296"/>
      <c r="N36" s="2296"/>
      <c r="O36" s="2340"/>
      <c r="P36" s="3582"/>
      <c r="Q36" s="1350" t="str">
        <f t="shared" si="11"/>
        <v>内部装修</v>
      </c>
      <c r="R36" s="1351" t="s">
        <v>65</v>
      </c>
      <c r="S36" s="1352">
        <f t="shared" si="12"/>
        <v>100</v>
      </c>
      <c r="T36" s="1351" t="s">
        <v>65</v>
      </c>
      <c r="U36" s="1352">
        <f t="shared" si="13"/>
        <v>100</v>
      </c>
      <c r="V36" s="1351" t="s">
        <v>65</v>
      </c>
      <c r="W36" s="1352">
        <f t="shared" si="14"/>
        <v>100</v>
      </c>
      <c r="X36" s="1339"/>
      <c r="Y36" s="3582"/>
      <c r="Z36" s="1353" t="str">
        <f t="shared" si="15"/>
        <v>内部装修</v>
      </c>
      <c r="AA36" s="1354">
        <f t="shared" si="3"/>
        <v>1</v>
      </c>
      <c r="AB36" s="1354">
        <f t="shared" si="4"/>
        <v>1</v>
      </c>
      <c r="AC36" s="1354">
        <f t="shared" si="5"/>
        <v>1</v>
      </c>
    </row>
    <row r="37" spans="1:29" ht="15">
      <c r="A37" s="161"/>
      <c r="B37" s="12" t="s">
        <v>1130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1"/>
      <c r="M37" s="2296"/>
      <c r="N37" s="2296"/>
      <c r="O37" s="2340"/>
      <c r="P37" s="3582"/>
      <c r="Q37" s="1350" t="str">
        <f t="shared" si="11"/>
        <v>内部装修状况</v>
      </c>
      <c r="R37" s="1351" t="s">
        <v>65</v>
      </c>
      <c r="S37" s="1352">
        <f t="shared" si="12"/>
        <v>100</v>
      </c>
      <c r="T37" s="1351" t="s">
        <v>65</v>
      </c>
      <c r="U37" s="1352">
        <f t="shared" si="13"/>
        <v>100</v>
      </c>
      <c r="V37" s="1351" t="s">
        <v>65</v>
      </c>
      <c r="W37" s="1352">
        <f t="shared" si="14"/>
        <v>100</v>
      </c>
      <c r="X37" s="1339"/>
      <c r="Y37" s="3582"/>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0"/>
      <c r="M38" s="2302"/>
      <c r="N38" s="2302"/>
      <c r="O38" s="2341"/>
      <c r="P38" s="3582"/>
      <c r="Q38" s="1358">
        <f t="shared" si="11"/>
        <v>111</v>
      </c>
      <c r="R38" s="1359" t="s">
        <v>65</v>
      </c>
      <c r="S38" s="1360">
        <f t="shared" si="12"/>
        <v>100</v>
      </c>
      <c r="T38" s="1359" t="s">
        <v>65</v>
      </c>
      <c r="U38" s="1360">
        <f t="shared" si="13"/>
        <v>100</v>
      </c>
      <c r="V38" s="1359" t="s">
        <v>65</v>
      </c>
      <c r="W38" s="1360">
        <f t="shared" si="14"/>
        <v>100</v>
      </c>
      <c r="X38" s="1361"/>
      <c r="Y38" s="3582"/>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1"/>
      <c r="M39" s="2296"/>
      <c r="N39" s="2296"/>
      <c r="O39" s="2340"/>
      <c r="P39" s="3582"/>
      <c r="Q39" s="1350">
        <f t="shared" si="11"/>
        <v>111</v>
      </c>
      <c r="R39" s="1351" t="s">
        <v>65</v>
      </c>
      <c r="S39" s="1352">
        <f t="shared" si="12"/>
        <v>100</v>
      </c>
      <c r="T39" s="1351" t="s">
        <v>65</v>
      </c>
      <c r="U39" s="1352">
        <f t="shared" si="13"/>
        <v>100</v>
      </c>
      <c r="V39" s="1351" t="s">
        <v>65</v>
      </c>
      <c r="W39" s="1352">
        <f t="shared" si="14"/>
        <v>100</v>
      </c>
      <c r="X39" s="1339"/>
      <c r="Y39" s="3582"/>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1"/>
      <c r="M40" s="2296"/>
      <c r="N40" s="2296"/>
      <c r="O40" s="2340"/>
      <c r="P40" s="3583"/>
      <c r="Q40" s="1350">
        <f t="shared" si="11"/>
        <v>111</v>
      </c>
      <c r="R40" s="1351" t="s">
        <v>65</v>
      </c>
      <c r="S40" s="1352">
        <f t="shared" si="12"/>
        <v>100</v>
      </c>
      <c r="T40" s="1351" t="s">
        <v>65</v>
      </c>
      <c r="U40" s="1352">
        <f t="shared" si="13"/>
        <v>100</v>
      </c>
      <c r="V40" s="1351" t="s">
        <v>65</v>
      </c>
      <c r="W40" s="1352">
        <f t="shared" si="14"/>
        <v>100</v>
      </c>
      <c r="X40" s="1339"/>
      <c r="Y40" s="3583"/>
      <c r="Z40" s="1353">
        <f t="shared" si="15"/>
        <v>111</v>
      </c>
      <c r="AA40" s="1354">
        <f t="shared" si="3"/>
        <v>1</v>
      </c>
      <c r="AB40" s="1354">
        <f t="shared" si="4"/>
        <v>1</v>
      </c>
      <c r="AC40" s="1354">
        <f t="shared" si="5"/>
        <v>1</v>
      </c>
    </row>
    <row r="41" spans="1:29" ht="15">
      <c r="A41" s="163" t="s">
        <v>102</v>
      </c>
      <c r="B41" s="164"/>
      <c r="C41" s="2836" t="s">
        <v>23</v>
      </c>
      <c r="D41" s="2837"/>
      <c r="E41" s="2838"/>
      <c r="F41" s="2839"/>
      <c r="G41" s="2840"/>
      <c r="H41" s="2841"/>
      <c r="I41" s="2838"/>
      <c r="J41" s="2841"/>
      <c r="K41" s="1392"/>
      <c r="L41" s="2303"/>
      <c r="M41" s="2304"/>
      <c r="N41" s="2296"/>
      <c r="O41" s="2304"/>
      <c r="P41" s="3570" t="str">
        <f>A41</f>
        <v>成交单价（元/平方米）</v>
      </c>
      <c r="Q41" s="3570"/>
      <c r="R41" s="3571">
        <f>E41</f>
        <v>0</v>
      </c>
      <c r="S41" s="3571"/>
      <c r="T41" s="3571">
        <f>G41</f>
        <v>0</v>
      </c>
      <c r="U41" s="3571"/>
      <c r="V41" s="3571">
        <f>I41</f>
        <v>0</v>
      </c>
      <c r="W41" s="3571"/>
      <c r="X41" s="1364"/>
      <c r="Y41" s="1365"/>
      <c r="Z41" s="1364"/>
      <c r="AA41" s="1364"/>
      <c r="AB41" s="1364"/>
      <c r="AC41" s="1364"/>
    </row>
    <row r="42" spans="1:29" ht="15.75" thickBot="1">
      <c r="A42" s="165" t="s">
        <v>100</v>
      </c>
      <c r="B42" s="166"/>
      <c r="C42" s="2842" t="e">
        <f>R43</f>
        <v>#DIV/0!</v>
      </c>
      <c r="D42" s="2843"/>
      <c r="E42" s="2844" t="e">
        <f>R42</f>
        <v>#DIV/0!</v>
      </c>
      <c r="F42" s="2844"/>
      <c r="G42" s="2842" t="e">
        <f>T42</f>
        <v>#DIV/0!</v>
      </c>
      <c r="H42" s="2843"/>
      <c r="I42" s="2844" t="e">
        <f>V42</f>
        <v>#DIV/0!</v>
      </c>
      <c r="J42" s="2843"/>
      <c r="K42" s="1393"/>
      <c r="L42" s="2303"/>
      <c r="M42" s="2304"/>
      <c r="N42" s="2296"/>
      <c r="O42" s="2304"/>
      <c r="P42" s="3570" t="str">
        <f>A42</f>
        <v>比较价值（元/平方米）</v>
      </c>
      <c r="Q42" s="3570"/>
      <c r="R42" s="3571" t="e">
        <f>IF(F1="售价",ROUND(PRODUCT(R41,AA7:AA40),0),ROUND(PRODUCT(R41,AA7:AA40),1))</f>
        <v>#DIV/0!</v>
      </c>
      <c r="S42" s="3571"/>
      <c r="T42" s="3571" t="e">
        <f>IF(F1="售价",ROUND(PRODUCT(T41,AB7:AB40),0),ROUND(PRODUCT(T41,AB7:AB40),1))</f>
        <v>#DIV/0!</v>
      </c>
      <c r="U42" s="3571"/>
      <c r="V42" s="3571" t="e">
        <f>IF(F1="售价",ROUND(PRODUCT(V41,AC7:AC40),0),ROUND(PRODUCT(V41,AC7:AC40),1))</f>
        <v>#DIV/0!</v>
      </c>
      <c r="W42" s="3571"/>
      <c r="X42" s="1364"/>
      <c r="Y42" s="1364"/>
      <c r="Z42" s="1364"/>
      <c r="AA42" s="1364"/>
      <c r="AB42" s="1364"/>
      <c r="AC42" s="1364"/>
    </row>
    <row r="43" spans="1:29" ht="15.75" thickBot="1">
      <c r="A43" s="115" t="s">
        <v>3021</v>
      </c>
      <c r="B43" s="116"/>
      <c r="C43" s="2846" t="e">
        <f>R43</f>
        <v>#DIV/0!</v>
      </c>
      <c r="D43" s="2846"/>
      <c r="E43" s="2846"/>
      <c r="F43" s="2846"/>
      <c r="G43" s="2846"/>
      <c r="H43" s="2846"/>
      <c r="I43" s="2846"/>
      <c r="J43" s="2846"/>
      <c r="K43" s="1394"/>
      <c r="L43" s="2303"/>
      <c r="M43" s="2304"/>
      <c r="N43" s="2304"/>
      <c r="O43" s="2304"/>
      <c r="P43" s="3572" t="str">
        <f>A43</f>
        <v>估价对象XX用房的比较价值（楼面单价，元/平方米）</v>
      </c>
      <c r="Q43" s="3573"/>
      <c r="R43" s="3574" t="e">
        <f>IF(F1="售价",ROUND(AVERAGE(R42:V42),0),ROUND(AVERAGE(R42:V42),1))</f>
        <v>#DIV/0!</v>
      </c>
      <c r="S43" s="3574"/>
      <c r="T43" s="3574"/>
      <c r="U43" s="3574"/>
      <c r="V43" s="3574"/>
      <c r="W43" s="3574"/>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127</v>
      </c>
      <c r="B51" s="1364"/>
      <c r="C51" s="1372"/>
      <c r="D51" s="1372"/>
      <c r="E51" s="1372"/>
      <c r="F51" s="1373"/>
      <c r="G51" s="1373"/>
      <c r="H51" s="1372"/>
      <c r="I51" s="1372"/>
      <c r="J51" s="1372"/>
      <c r="K51" s="2310"/>
      <c r="L51" s="2311"/>
      <c r="M51" s="2312"/>
      <c r="N51" s="2312"/>
      <c r="O51" s="2312"/>
      <c r="P51" s="120"/>
      <c r="Q51" s="121"/>
    </row>
    <row r="52" spans="1:17" s="850" customFormat="1" ht="15">
      <c r="A52" s="847" t="s">
        <v>2798</v>
      </c>
      <c r="B52" s="848"/>
      <c r="C52" s="3045" t="str">
        <f>YEAR(C7)&amp;"-"&amp;MONTH(C7)</f>
        <v>2017-11</v>
      </c>
      <c r="D52" s="3046">
        <f>EDATE(C52,-1)</f>
        <v>43009</v>
      </c>
      <c r="E52" s="3046">
        <f t="shared" ref="E52:O52" si="16">EDATE(D52,-1)</f>
        <v>42979</v>
      </c>
      <c r="F52" s="3046">
        <f t="shared" si="16"/>
        <v>42948</v>
      </c>
      <c r="G52" s="3046">
        <f t="shared" si="16"/>
        <v>42917</v>
      </c>
      <c r="H52" s="3046">
        <f t="shared" si="16"/>
        <v>42887</v>
      </c>
      <c r="I52" s="3046">
        <f t="shared" si="16"/>
        <v>42856</v>
      </c>
      <c r="J52" s="3046">
        <f t="shared" si="16"/>
        <v>42826</v>
      </c>
      <c r="K52" s="3046">
        <f t="shared" si="16"/>
        <v>42795</v>
      </c>
      <c r="L52" s="3046">
        <f t="shared" si="16"/>
        <v>42767</v>
      </c>
      <c r="M52" s="3046">
        <f t="shared" si="16"/>
        <v>42736</v>
      </c>
      <c r="N52" s="3046">
        <f t="shared" si="16"/>
        <v>42705</v>
      </c>
      <c r="O52" s="3046">
        <f t="shared" si="16"/>
        <v>42675</v>
      </c>
      <c r="P52" s="849"/>
    </row>
    <row r="53" spans="1:17" s="40" customFormat="1" ht="14.25">
      <c r="A53" s="1044"/>
      <c r="B53" s="1045"/>
      <c r="C53" s="3043">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1010</v>
      </c>
      <c r="D59" s="881" t="s">
        <v>1011</v>
      </c>
      <c r="E59" s="881" t="s">
        <v>1012</v>
      </c>
      <c r="F59" s="881" t="s">
        <v>1013</v>
      </c>
      <c r="G59" s="881" t="s">
        <v>1014</v>
      </c>
      <c r="H59" s="881" t="s">
        <v>1015</v>
      </c>
      <c r="I59" s="881" t="s">
        <v>1016</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1017</v>
      </c>
      <c r="D70" s="915" t="s">
        <v>1018</v>
      </c>
      <c r="E70" s="915" t="s">
        <v>1019</v>
      </c>
      <c r="F70" s="915" t="s">
        <v>1020</v>
      </c>
      <c r="G70" s="915" t="s">
        <v>1021</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1017</v>
      </c>
      <c r="D72" s="920" t="s">
        <v>1018</v>
      </c>
      <c r="E72" s="920" t="s">
        <v>1019</v>
      </c>
      <c r="F72" s="920" t="s">
        <v>1020</v>
      </c>
      <c r="G72" s="920" t="s">
        <v>1021</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2641</v>
      </c>
      <c r="C74" s="920" t="s">
        <v>1017</v>
      </c>
      <c r="D74" s="920" t="s">
        <v>1018</v>
      </c>
      <c r="E74" s="920" t="s">
        <v>1019</v>
      </c>
      <c r="F74" s="920" t="s">
        <v>1020</v>
      </c>
      <c r="G74" s="920" t="s">
        <v>1021</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2669</v>
      </c>
      <c r="C76" s="213" t="s">
        <v>2661</v>
      </c>
      <c r="D76" s="213" t="s">
        <v>2662</v>
      </c>
      <c r="E76" s="213" t="s">
        <v>2663</v>
      </c>
      <c r="F76" s="213" t="s">
        <v>2664</v>
      </c>
      <c r="G76" s="213" t="s">
        <v>2665</v>
      </c>
      <c r="H76" s="881"/>
      <c r="I76" s="881"/>
      <c r="J76" s="881"/>
      <c r="K76" s="881"/>
      <c r="L76" s="881"/>
      <c r="M76" s="2765"/>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1017</v>
      </c>
      <c r="D78" s="920" t="s">
        <v>1018</v>
      </c>
      <c r="E78" s="920" t="s">
        <v>1019</v>
      </c>
      <c r="F78" s="920" t="s">
        <v>1020</v>
      </c>
      <c r="G78" s="920" t="s">
        <v>1021</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2643</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1017</v>
      </c>
      <c r="D106" s="920" t="s">
        <v>1018</v>
      </c>
      <c r="E106" s="920" t="s">
        <v>1019</v>
      </c>
      <c r="F106" s="920" t="s">
        <v>1020</v>
      </c>
      <c r="G106" s="920" t="s">
        <v>1021</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25"/>
      <c r="C1" s="3126" t="s">
        <v>444</v>
      </c>
      <c r="D1" s="3127"/>
      <c r="E1" s="3128"/>
      <c r="F1" s="3109"/>
      <c r="G1" s="3129" t="s">
        <v>445</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446</v>
      </c>
      <c r="B2" s="2847" t="e">
        <f ca="1">IF(C2="——",IF(B37="元/平方米",ROUND(C39*D3/10000,0),ROUND(F3*C39/10000,0)),IF(B37="元/平方米",ROUND(C39*D3/10000,0),ROUND(F3*C39/10000,0))-D2)</f>
        <v>#DIV/0!</v>
      </c>
      <c r="C2" s="3101"/>
      <c r="D2" s="2342" t="e">
        <f ca="1">SUMIF(INDIRECT("'"&amp;F2&amp;"'"&amp;"!A:A"),"承租人权益价值",INDIRECT("'"&amp;F2&amp;"'"&amp;"!c:c"))</f>
        <v>#REF!</v>
      </c>
      <c r="E2" s="3102" t="s">
        <v>869</v>
      </c>
      <c r="F2" s="3103"/>
      <c r="G2" s="2343"/>
      <c r="H2" s="2343"/>
      <c r="I2" s="2343"/>
      <c r="J2" s="2343"/>
      <c r="K2" s="2345"/>
      <c r="L2" s="2346"/>
      <c r="M2" s="2347"/>
      <c r="N2" s="2347"/>
      <c r="O2" s="2347"/>
      <c r="P2" s="2848"/>
      <c r="Q2" s="1315"/>
      <c r="R2" s="1315"/>
      <c r="S2" s="1315"/>
      <c r="T2" s="1315"/>
      <c r="U2" s="1315"/>
      <c r="V2" s="1315"/>
      <c r="W2" s="1315"/>
      <c r="X2" s="1315"/>
      <c r="Y2" s="1315"/>
      <c r="Z2" s="1315"/>
      <c r="AA2" s="1315"/>
      <c r="AB2" s="1315"/>
      <c r="AC2" s="1316"/>
    </row>
    <row r="3" spans="1:29" s="741" customFormat="1" ht="28.5" customHeight="1" thickBot="1">
      <c r="A3" s="579" t="s">
        <v>447</v>
      </c>
      <c r="B3" s="951" t="e">
        <f ca="1">IF(AND(C2="——",B37="元/平方米"),C39,ROUND(B2*10000/D3,0))</f>
        <v>#DIV/0!</v>
      </c>
      <c r="C3" s="743" t="s">
        <v>448</v>
      </c>
      <c r="D3" s="742">
        <f>SUMIF('数据-汇总表'!$C19:$C33,D1,'数据-汇总表'!$E19:$E33)</f>
        <v>0</v>
      </c>
      <c r="E3" s="743" t="s">
        <v>2137</v>
      </c>
      <c r="F3" s="742">
        <f>SUMIF('数据-取费表'!A5:A15,D1,'数据-取费表'!AH5:AH15)</f>
        <v>0</v>
      </c>
      <c r="G3" s="2343"/>
      <c r="H3" s="2343"/>
      <c r="I3" s="2343"/>
      <c r="J3" s="2343"/>
      <c r="K3" s="2345"/>
      <c r="L3" s="2346"/>
      <c r="M3" s="2347"/>
      <c r="N3" s="2347"/>
      <c r="O3" s="2347"/>
      <c r="P3" s="2848"/>
      <c r="Q3" s="1315"/>
      <c r="R3" s="1315"/>
      <c r="S3" s="1315"/>
      <c r="T3" s="1315"/>
      <c r="U3" s="1315"/>
      <c r="V3" s="1315"/>
      <c r="W3" s="1315"/>
      <c r="X3" s="1315"/>
      <c r="Y3" s="1315"/>
      <c r="Z3" s="1315"/>
      <c r="AA3" s="1315"/>
      <c r="AB3" s="1408"/>
      <c r="AC3" s="1398"/>
    </row>
    <row r="4" spans="1:29" ht="15">
      <c r="A4" s="744" t="s">
        <v>449</v>
      </c>
      <c r="B4" s="745"/>
      <c r="C4" s="3677" t="s">
        <v>450</v>
      </c>
      <c r="D4" s="3678"/>
      <c r="E4" s="3679" t="s">
        <v>451</v>
      </c>
      <c r="F4" s="3680"/>
      <c r="G4" s="3677" t="s">
        <v>452</v>
      </c>
      <c r="H4" s="3678"/>
      <c r="I4" s="3677" t="s">
        <v>453</v>
      </c>
      <c r="J4" s="3678"/>
      <c r="K4" s="952" t="s">
        <v>454</v>
      </c>
      <c r="L4" s="2348"/>
      <c r="M4" s="2349"/>
      <c r="N4" s="2349"/>
      <c r="O4" s="2349"/>
      <c r="P4" s="3681" t="s">
        <v>455</v>
      </c>
      <c r="Q4" s="3682"/>
      <c r="R4" s="3687" t="s">
        <v>451</v>
      </c>
      <c r="S4" s="3688"/>
      <c r="T4" s="3687" t="s">
        <v>452</v>
      </c>
      <c r="U4" s="3688"/>
      <c r="V4" s="3693" t="s">
        <v>453</v>
      </c>
      <c r="W4" s="3693"/>
      <c r="X4" s="2833"/>
      <c r="Y4" s="3687" t="s">
        <v>455</v>
      </c>
      <c r="Z4" s="3688"/>
      <c r="AA4" s="3674" t="s">
        <v>451</v>
      </c>
      <c r="AB4" s="3675" t="s">
        <v>452</v>
      </c>
      <c r="AC4" s="3674" t="s">
        <v>453</v>
      </c>
    </row>
    <row r="5" spans="1:29" ht="15">
      <c r="A5" s="747"/>
      <c r="B5" s="748"/>
      <c r="C5" s="3696" t="s">
        <v>3022</v>
      </c>
      <c r="D5" s="3697"/>
      <c r="E5" s="3703" t="s">
        <v>3023</v>
      </c>
      <c r="F5" s="3704"/>
      <c r="G5" s="3696" t="s">
        <v>3024</v>
      </c>
      <c r="H5" s="3697"/>
      <c r="I5" s="3696" t="s">
        <v>3025</v>
      </c>
      <c r="J5" s="3697"/>
      <c r="K5" s="952"/>
      <c r="L5" s="2348"/>
      <c r="M5" s="2349"/>
      <c r="N5" s="2349"/>
      <c r="O5" s="2349"/>
      <c r="P5" s="3683"/>
      <c r="Q5" s="3684"/>
      <c r="R5" s="3689"/>
      <c r="S5" s="3690"/>
      <c r="T5" s="3689"/>
      <c r="U5" s="3690"/>
      <c r="V5" s="3693"/>
      <c r="W5" s="3693"/>
      <c r="X5" s="2833"/>
      <c r="Y5" s="3689"/>
      <c r="Z5" s="3690"/>
      <c r="AA5" s="3675"/>
      <c r="AB5" s="3675"/>
      <c r="AC5" s="3675"/>
    </row>
    <row r="6" spans="1:29" ht="15.75" thickBot="1">
      <c r="A6" s="749"/>
      <c r="B6" s="750"/>
      <c r="C6" s="3694" t="s">
        <v>3026</v>
      </c>
      <c r="D6" s="3695"/>
      <c r="E6" s="3701" t="s">
        <v>3026</v>
      </c>
      <c r="F6" s="3702"/>
      <c r="G6" s="3694" t="s">
        <v>3026</v>
      </c>
      <c r="H6" s="3695"/>
      <c r="I6" s="3694" t="s">
        <v>3026</v>
      </c>
      <c r="J6" s="3695"/>
      <c r="K6" s="952" t="s">
        <v>397</v>
      </c>
      <c r="L6" s="2348"/>
      <c r="M6" s="2349"/>
      <c r="N6" s="2349"/>
      <c r="O6" s="2349"/>
      <c r="P6" s="3685"/>
      <c r="Q6" s="3686"/>
      <c r="R6" s="3689"/>
      <c r="S6" s="3690"/>
      <c r="T6" s="3691"/>
      <c r="U6" s="3692"/>
      <c r="V6" s="3693"/>
      <c r="W6" s="3693"/>
      <c r="X6" s="2833"/>
      <c r="Y6" s="3691"/>
      <c r="Z6" s="3692"/>
      <c r="AA6" s="3676"/>
      <c r="AB6" s="3676"/>
      <c r="AC6" s="3676"/>
    </row>
    <row r="7" spans="1:29" s="407" customFormat="1" ht="15.75" thickBot="1">
      <c r="A7" s="751" t="s">
        <v>398</v>
      </c>
      <c r="B7" s="752"/>
      <c r="C7" s="753">
        <f>'数据-取费表'!B2</f>
        <v>43040</v>
      </c>
      <c r="D7" s="754">
        <v>100</v>
      </c>
      <c r="E7" s="755"/>
      <c r="F7" s="756">
        <f>SUMIF(48:48,YEAR(E7)&amp;"-"&amp;MONTH(E7),49:49)</f>
        <v>0</v>
      </c>
      <c r="G7" s="755"/>
      <c r="H7" s="754">
        <f>SUMIF(48:48,YEAR(G7)&amp;"-"&amp;MONTH(G7),49:49)</f>
        <v>0</v>
      </c>
      <c r="I7" s="755"/>
      <c r="J7" s="754">
        <f>SUMIF(48:48,YEAR(I7)&amp;"-"&amp;MONTH(I7),49:49)</f>
        <v>0</v>
      </c>
      <c r="K7" s="953"/>
      <c r="L7" s="2350"/>
      <c r="M7" s="2351"/>
      <c r="N7" s="2351"/>
      <c r="O7" s="2351"/>
      <c r="P7" s="3698" t="s">
        <v>399</v>
      </c>
      <c r="Q7" s="3700"/>
      <c r="R7" s="1318" t="s">
        <v>65</v>
      </c>
      <c r="S7" s="1319">
        <f t="shared" ref="S7:S14" si="0">F7</f>
        <v>0</v>
      </c>
      <c r="T7" s="1318" t="s">
        <v>65</v>
      </c>
      <c r="U7" s="1319">
        <f t="shared" ref="U7:U14" si="1">H7</f>
        <v>0</v>
      </c>
      <c r="V7" s="1318" t="s">
        <v>65</v>
      </c>
      <c r="W7" s="1319">
        <f t="shared" ref="W7:W14" si="2">J7</f>
        <v>0</v>
      </c>
      <c r="X7" s="1320"/>
      <c r="Y7" s="3698" t="s">
        <v>399</v>
      </c>
      <c r="Z7" s="3699"/>
      <c r="AA7" s="1321" t="e">
        <f>D7/F7</f>
        <v>#DIV/0!</v>
      </c>
      <c r="AB7" s="1321" t="e">
        <f>D7/H7</f>
        <v>#DIV/0!</v>
      </c>
      <c r="AC7" s="1321"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3"/>
      <c r="L8" s="2350"/>
      <c r="M8" s="2351"/>
      <c r="N8" s="2351"/>
      <c r="O8" s="2351"/>
      <c r="P8" s="3698" t="s">
        <v>435</v>
      </c>
      <c r="Q8" s="3699"/>
      <c r="R8" s="1318" t="s">
        <v>65</v>
      </c>
      <c r="S8" s="1319">
        <f t="shared" si="0"/>
        <v>0</v>
      </c>
      <c r="T8" s="1318" t="s">
        <v>65</v>
      </c>
      <c r="U8" s="1319">
        <f t="shared" si="1"/>
        <v>0</v>
      </c>
      <c r="V8" s="1318" t="s">
        <v>65</v>
      </c>
      <c r="W8" s="1319">
        <f t="shared" si="2"/>
        <v>0</v>
      </c>
      <c r="X8" s="1320"/>
      <c r="Y8" s="3698" t="s">
        <v>435</v>
      </c>
      <c r="Z8" s="3699"/>
      <c r="AA8" s="1321" t="e">
        <f t="shared" ref="AA8:AA36" si="3">D8/F8</f>
        <v>#DIV/0!</v>
      </c>
      <c r="AB8" s="1321" t="e">
        <f t="shared" ref="AB8:AB36" si="4">D8/H8</f>
        <v>#DIV/0!</v>
      </c>
      <c r="AC8" s="1321" t="e">
        <f t="shared" ref="AC8:AC36" si="5">D8/J8</f>
        <v>#DIV/0!</v>
      </c>
    </row>
    <row r="9" spans="1:29" s="407" customFormat="1">
      <c r="A9" s="358" t="s">
        <v>401</v>
      </c>
      <c r="B9" s="982" t="s">
        <v>419</v>
      </c>
      <c r="C9" s="759"/>
      <c r="D9" s="425">
        <v>100</v>
      </c>
      <c r="E9" s="762"/>
      <c r="F9" s="425">
        <f>SUMIF(53:53,E9,54:54)-SUMIF(53:53,C9,54:54)+100</f>
        <v>100</v>
      </c>
      <c r="G9" s="760"/>
      <c r="H9" s="425">
        <f>SUMIF(53:53,G9,54:54)-SUMIF(53:53,C9,54:54)+100</f>
        <v>100</v>
      </c>
      <c r="I9" s="760"/>
      <c r="J9" s="425">
        <f>SUMIF(53:53,I9,54:54)-SUMIF(53:53,C9,54:54)+100</f>
        <v>100</v>
      </c>
      <c r="K9" s="953"/>
      <c r="L9" s="2350"/>
      <c r="M9" s="2351"/>
      <c r="N9" s="2351"/>
      <c r="O9" s="2351"/>
      <c r="P9" s="3665" t="s">
        <v>402</v>
      </c>
      <c r="Q9" s="2832" t="str">
        <f t="shared" ref="Q9:Q14" si="6">B9</f>
        <v>用途</v>
      </c>
      <c r="R9" s="1318" t="s">
        <v>65</v>
      </c>
      <c r="S9" s="1319">
        <f t="shared" si="0"/>
        <v>100</v>
      </c>
      <c r="T9" s="1318" t="s">
        <v>65</v>
      </c>
      <c r="U9" s="1319">
        <f t="shared" si="1"/>
        <v>100</v>
      </c>
      <c r="V9" s="1318" t="s">
        <v>65</v>
      </c>
      <c r="W9" s="1319">
        <f t="shared" si="2"/>
        <v>100</v>
      </c>
      <c r="X9" s="1320"/>
      <c r="Y9" s="3469" t="s">
        <v>403</v>
      </c>
      <c r="Z9" s="344" t="str">
        <f t="shared" ref="Z9:Z14" si="7">Q9</f>
        <v>用途</v>
      </c>
      <c r="AA9" s="1321">
        <f t="shared" si="3"/>
        <v>1</v>
      </c>
      <c r="AB9" s="1321">
        <f t="shared" si="4"/>
        <v>1</v>
      </c>
      <c r="AC9" s="1321">
        <f t="shared" si="5"/>
        <v>1</v>
      </c>
    </row>
    <row r="10" spans="1:29" s="769" customFormat="1" ht="27">
      <c r="A10" s="983"/>
      <c r="B10" s="984" t="s">
        <v>404</v>
      </c>
      <c r="C10" s="765"/>
      <c r="D10" s="426">
        <v>100</v>
      </c>
      <c r="E10" s="765"/>
      <c r="F10" s="426">
        <f>SUMIF(55:55,E10,56:56)-SUMIF(55:55,C10,56:56)+100</f>
        <v>100</v>
      </c>
      <c r="G10" s="766"/>
      <c r="H10" s="426">
        <f>SUMIF(55:55,G10,56:56)-SUMIF(55:55,C10,56:56)+100</f>
        <v>100</v>
      </c>
      <c r="I10" s="765"/>
      <c r="J10" s="426">
        <f>SUMIF(55:55,I10,56:56)-SUMIF(55:55,C10,56:56)+100</f>
        <v>100</v>
      </c>
      <c r="K10" s="954"/>
      <c r="L10" s="2353"/>
      <c r="M10" s="2354"/>
      <c r="N10" s="2354"/>
      <c r="O10" s="2354"/>
      <c r="P10" s="3665"/>
      <c r="Q10" s="2832" t="str">
        <f t="shared" si="6"/>
        <v>土地使用年限（年）</v>
      </c>
      <c r="R10" s="1318" t="s">
        <v>65</v>
      </c>
      <c r="S10" s="1319">
        <f t="shared" si="0"/>
        <v>100</v>
      </c>
      <c r="T10" s="1318" t="s">
        <v>65</v>
      </c>
      <c r="U10" s="1319">
        <f t="shared" si="1"/>
        <v>100</v>
      </c>
      <c r="V10" s="1318" t="s">
        <v>65</v>
      </c>
      <c r="W10" s="1319">
        <f t="shared" si="2"/>
        <v>100</v>
      </c>
      <c r="X10" s="1320"/>
      <c r="Y10" s="3469"/>
      <c r="Z10" s="344" t="str">
        <f t="shared" si="7"/>
        <v>土地使用年限（年）</v>
      </c>
      <c r="AA10" s="1321">
        <f t="shared" si="3"/>
        <v>1</v>
      </c>
      <c r="AB10" s="1321">
        <f t="shared" si="4"/>
        <v>1</v>
      </c>
      <c r="AC10" s="1321">
        <f t="shared" si="5"/>
        <v>1</v>
      </c>
    </row>
    <row r="11" spans="1:29" ht="15">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6"/>
      <c r="M11" s="2349"/>
      <c r="N11" s="2349"/>
      <c r="O11" s="2349"/>
      <c r="P11" s="3665"/>
      <c r="Q11" s="2832">
        <f t="shared" si="6"/>
        <v>111</v>
      </c>
      <c r="R11" s="1318" t="s">
        <v>65</v>
      </c>
      <c r="S11" s="1319">
        <f t="shared" si="0"/>
        <v>100</v>
      </c>
      <c r="T11" s="1318" t="s">
        <v>65</v>
      </c>
      <c r="U11" s="1319">
        <f t="shared" si="1"/>
        <v>100</v>
      </c>
      <c r="V11" s="1318" t="s">
        <v>65</v>
      </c>
      <c r="W11" s="1319">
        <f t="shared" si="2"/>
        <v>100</v>
      </c>
      <c r="X11" s="1320"/>
      <c r="Y11" s="3469"/>
      <c r="Z11" s="344">
        <f t="shared" si="7"/>
        <v>111</v>
      </c>
      <c r="AA11" s="1321">
        <f t="shared" si="3"/>
        <v>1</v>
      </c>
      <c r="AB11" s="1321">
        <f t="shared" si="4"/>
        <v>1</v>
      </c>
      <c r="AC11" s="1321">
        <f t="shared" si="5"/>
        <v>1</v>
      </c>
    </row>
    <row r="12" spans="1:29" s="407" customFormat="1" ht="15">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50"/>
      <c r="M12" s="2351"/>
      <c r="N12" s="2351"/>
      <c r="O12" s="2351"/>
      <c r="P12" s="3665"/>
      <c r="Q12" s="2832">
        <f t="shared" si="6"/>
        <v>111</v>
      </c>
      <c r="R12" s="1318" t="s">
        <v>65</v>
      </c>
      <c r="S12" s="1319">
        <f t="shared" si="0"/>
        <v>100</v>
      </c>
      <c r="T12" s="1318" t="s">
        <v>65</v>
      </c>
      <c r="U12" s="1319">
        <f t="shared" si="1"/>
        <v>100</v>
      </c>
      <c r="V12" s="1318" t="s">
        <v>65</v>
      </c>
      <c r="W12" s="1319">
        <f t="shared" si="2"/>
        <v>100</v>
      </c>
      <c r="X12" s="1320"/>
      <c r="Y12" s="3469"/>
      <c r="Z12" s="344">
        <f t="shared" si="7"/>
        <v>111</v>
      </c>
      <c r="AA12" s="1321">
        <f>D12/F12</f>
        <v>1</v>
      </c>
      <c r="AB12" s="1321">
        <f>D12/H12</f>
        <v>1</v>
      </c>
      <c r="AC12" s="1321">
        <f>D12/J12</f>
        <v>1</v>
      </c>
    </row>
    <row r="13" spans="1:29" ht="15.75"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8"/>
      <c r="M13" s="2349"/>
      <c r="N13" s="2349"/>
      <c r="O13" s="2349"/>
      <c r="P13" s="3665"/>
      <c r="Q13" s="2832">
        <f t="shared" si="6"/>
        <v>111</v>
      </c>
      <c r="R13" s="1318" t="s">
        <v>65</v>
      </c>
      <c r="S13" s="1319">
        <f t="shared" si="0"/>
        <v>100</v>
      </c>
      <c r="T13" s="1318" t="s">
        <v>65</v>
      </c>
      <c r="U13" s="1319">
        <f t="shared" si="1"/>
        <v>100</v>
      </c>
      <c r="V13" s="1318" t="s">
        <v>65</v>
      </c>
      <c r="W13" s="1319">
        <f t="shared" si="2"/>
        <v>100</v>
      </c>
      <c r="X13" s="1320"/>
      <c r="Y13" s="3469"/>
      <c r="Z13" s="344">
        <f t="shared" si="7"/>
        <v>111</v>
      </c>
      <c r="AA13" s="1321">
        <f t="shared" si="3"/>
        <v>1</v>
      </c>
      <c r="AB13" s="1321">
        <f t="shared" si="4"/>
        <v>1</v>
      </c>
      <c r="AC13" s="1321">
        <f t="shared" si="5"/>
        <v>1</v>
      </c>
    </row>
    <row r="14" spans="1:29" ht="94.5">
      <c r="A14" s="744" t="s">
        <v>406</v>
      </c>
      <c r="B14" s="971" t="s">
        <v>456</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8"/>
      <c r="M14" s="2349"/>
      <c r="N14" s="2349"/>
      <c r="O14" s="2349"/>
      <c r="P14" s="3670" t="s">
        <v>407</v>
      </c>
      <c r="Q14" s="2834" t="str">
        <f t="shared" si="6"/>
        <v>交通便捷度</v>
      </c>
      <c r="R14" s="1323" t="s">
        <v>65</v>
      </c>
      <c r="S14" s="1324">
        <f t="shared" si="0"/>
        <v>100</v>
      </c>
      <c r="T14" s="1323" t="s">
        <v>65</v>
      </c>
      <c r="U14" s="1324">
        <f t="shared" si="1"/>
        <v>100</v>
      </c>
      <c r="V14" s="1323" t="s">
        <v>65</v>
      </c>
      <c r="W14" s="1324">
        <f t="shared" si="2"/>
        <v>100</v>
      </c>
      <c r="X14" s="2833"/>
      <c r="Y14" s="3670" t="s">
        <v>407</v>
      </c>
      <c r="Z14" s="2835" t="str">
        <f t="shared" si="7"/>
        <v>交通便捷度</v>
      </c>
      <c r="AA14" s="1326">
        <f t="shared" si="3"/>
        <v>1</v>
      </c>
      <c r="AB14" s="1326">
        <f t="shared" si="4"/>
        <v>1</v>
      </c>
      <c r="AC14" s="1326">
        <f t="shared" si="5"/>
        <v>1</v>
      </c>
    </row>
    <row r="15" spans="1:29" ht="15">
      <c r="A15" s="747"/>
      <c r="B15" s="989"/>
      <c r="C15" s="97"/>
      <c r="D15" s="790"/>
      <c r="E15" s="789"/>
      <c r="F15" s="791"/>
      <c r="G15" s="789"/>
      <c r="H15" s="792"/>
      <c r="I15" s="789"/>
      <c r="J15" s="790"/>
      <c r="K15" s="957"/>
      <c r="L15" s="2358"/>
      <c r="M15" s="2349"/>
      <c r="N15" s="2349"/>
      <c r="O15" s="2349"/>
      <c r="P15" s="3671"/>
      <c r="Q15" s="2834"/>
      <c r="R15" s="1323"/>
      <c r="S15" s="1324"/>
      <c r="T15" s="1323"/>
      <c r="U15" s="1324"/>
      <c r="V15" s="1323"/>
      <c r="W15" s="1324"/>
      <c r="X15" s="2833"/>
      <c r="Y15" s="3671"/>
      <c r="Z15" s="2835"/>
      <c r="AA15" s="1326">
        <v>1</v>
      </c>
      <c r="AB15" s="1326">
        <v>1</v>
      </c>
      <c r="AC15" s="1326">
        <v>1</v>
      </c>
    </row>
    <row r="16" spans="1:29" ht="40.5">
      <c r="A16" s="747"/>
      <c r="B16" s="1033" t="s">
        <v>2670</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8"/>
      <c r="M16" s="2349"/>
      <c r="N16" s="2349"/>
      <c r="O16" s="2349"/>
      <c r="P16" s="3671"/>
      <c r="Q16" s="2834" t="str">
        <f>B16</f>
        <v>公共配套设施</v>
      </c>
      <c r="R16" s="1323" t="s">
        <v>65</v>
      </c>
      <c r="S16" s="1324">
        <f>F16</f>
        <v>100</v>
      </c>
      <c r="T16" s="1323" t="s">
        <v>65</v>
      </c>
      <c r="U16" s="1324">
        <f>H16</f>
        <v>100</v>
      </c>
      <c r="V16" s="1323" t="s">
        <v>65</v>
      </c>
      <c r="W16" s="1324">
        <f>J16</f>
        <v>100</v>
      </c>
      <c r="X16" s="2833"/>
      <c r="Y16" s="3671"/>
      <c r="Z16" s="2835" t="str">
        <f>Q16</f>
        <v>公共配套设施</v>
      </c>
      <c r="AA16" s="1326">
        <f t="shared" si="3"/>
        <v>1</v>
      </c>
      <c r="AB16" s="1326">
        <f t="shared" si="4"/>
        <v>1</v>
      </c>
      <c r="AC16" s="1326">
        <f t="shared" si="5"/>
        <v>1</v>
      </c>
    </row>
    <row r="17" spans="1:29" ht="15">
      <c r="A17" s="747"/>
      <c r="B17" s="974"/>
      <c r="C17" s="102"/>
      <c r="D17" s="790"/>
      <c r="E17" s="789"/>
      <c r="F17" s="791"/>
      <c r="G17" s="789"/>
      <c r="H17" s="790"/>
      <c r="I17" s="789"/>
      <c r="J17" s="790"/>
      <c r="K17" s="957"/>
      <c r="L17" s="2358"/>
      <c r="M17" s="2349"/>
      <c r="N17" s="2349"/>
      <c r="O17" s="2349"/>
      <c r="P17" s="3671"/>
      <c r="Q17" s="2834"/>
      <c r="R17" s="1323"/>
      <c r="S17" s="1324"/>
      <c r="T17" s="1323"/>
      <c r="U17" s="1324"/>
      <c r="V17" s="1323"/>
      <c r="W17" s="1324"/>
      <c r="X17" s="2833"/>
      <c r="Y17" s="3671"/>
      <c r="Z17" s="2835"/>
      <c r="AA17" s="1326">
        <v>1</v>
      </c>
      <c r="AB17" s="1326">
        <v>1</v>
      </c>
      <c r="AC17" s="1326">
        <v>1</v>
      </c>
    </row>
    <row r="18" spans="1:29" ht="40.5">
      <c r="A18" s="747"/>
      <c r="B18" s="1035" t="s">
        <v>2669</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8"/>
      <c r="M18" s="2349"/>
      <c r="N18" s="2349"/>
      <c r="O18" s="2349"/>
      <c r="P18" s="3671"/>
      <c r="Q18" s="2834" t="str">
        <f>B18</f>
        <v>基础设施水平</v>
      </c>
      <c r="R18" s="1323" t="s">
        <v>65</v>
      </c>
      <c r="S18" s="1324">
        <f>F18</f>
        <v>100</v>
      </c>
      <c r="T18" s="1323" t="s">
        <v>65</v>
      </c>
      <c r="U18" s="1324">
        <f>H18</f>
        <v>100</v>
      </c>
      <c r="V18" s="1323" t="s">
        <v>65</v>
      </c>
      <c r="W18" s="1324">
        <f>J18</f>
        <v>100</v>
      </c>
      <c r="X18" s="2833"/>
      <c r="Y18" s="3671"/>
      <c r="Z18" s="2835" t="str">
        <f>Q18</f>
        <v>基础设施水平</v>
      </c>
      <c r="AA18" s="1326">
        <f t="shared" ref="AA18" si="8">D18/F18</f>
        <v>1</v>
      </c>
      <c r="AB18" s="1326">
        <f t="shared" ref="AB18" si="9">D18/H18</f>
        <v>1</v>
      </c>
      <c r="AC18" s="1326">
        <f t="shared" ref="AC18" si="10">D18/J18</f>
        <v>1</v>
      </c>
    </row>
    <row r="19" spans="1:29" ht="15">
      <c r="A19" s="747"/>
      <c r="B19" s="975"/>
      <c r="C19" s="102"/>
      <c r="D19" s="792"/>
      <c r="E19" s="102"/>
      <c r="F19" s="795"/>
      <c r="G19" s="102"/>
      <c r="H19" s="790"/>
      <c r="I19" s="97"/>
      <c r="J19" s="790"/>
      <c r="K19" s="2767"/>
      <c r="L19" s="2358"/>
      <c r="M19" s="2349"/>
      <c r="N19" s="2349"/>
      <c r="O19" s="2349"/>
      <c r="P19" s="3671"/>
      <c r="Q19" s="2834"/>
      <c r="R19" s="1323"/>
      <c r="S19" s="1324"/>
      <c r="T19" s="1323"/>
      <c r="U19" s="1324"/>
      <c r="V19" s="1323"/>
      <c r="W19" s="1324"/>
      <c r="X19" s="2833"/>
      <c r="Y19" s="3671"/>
      <c r="Z19" s="2835"/>
      <c r="AA19" s="1326">
        <v>1</v>
      </c>
      <c r="AB19" s="1326">
        <v>1</v>
      </c>
      <c r="AC19" s="1326">
        <v>1</v>
      </c>
    </row>
    <row r="20" spans="1:29" ht="54">
      <c r="A20" s="747"/>
      <c r="B20" s="973" t="s">
        <v>457</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8"/>
      <c r="M20" s="2349"/>
      <c r="N20" s="2349"/>
      <c r="O20" s="2349"/>
      <c r="P20" s="3671"/>
      <c r="Q20" s="2834" t="str">
        <f>B20</f>
        <v>自然及人文环境</v>
      </c>
      <c r="R20" s="1323" t="s">
        <v>65</v>
      </c>
      <c r="S20" s="1324">
        <f>F20</f>
        <v>100</v>
      </c>
      <c r="T20" s="1323" t="s">
        <v>65</v>
      </c>
      <c r="U20" s="1324">
        <f>H20</f>
        <v>100</v>
      </c>
      <c r="V20" s="1323" t="s">
        <v>65</v>
      </c>
      <c r="W20" s="1324">
        <f>J20</f>
        <v>100</v>
      </c>
      <c r="X20" s="2833"/>
      <c r="Y20" s="3671"/>
      <c r="Z20" s="2835" t="str">
        <f>Q20</f>
        <v>自然及人文环境</v>
      </c>
      <c r="AA20" s="1326">
        <f t="shared" si="3"/>
        <v>1</v>
      </c>
      <c r="AB20" s="1326">
        <f t="shared" si="4"/>
        <v>1</v>
      </c>
      <c r="AC20" s="1326">
        <f t="shared" si="5"/>
        <v>1</v>
      </c>
    </row>
    <row r="21" spans="1:29" ht="15">
      <c r="A21" s="747"/>
      <c r="B21" s="974"/>
      <c r="C21" s="789"/>
      <c r="D21" s="790"/>
      <c r="E21" s="789"/>
      <c r="F21" s="791"/>
      <c r="G21" s="789"/>
      <c r="H21" s="790"/>
      <c r="I21" s="789"/>
      <c r="J21" s="790"/>
      <c r="K21" s="957"/>
      <c r="L21" s="2358"/>
      <c r="M21" s="2349"/>
      <c r="N21" s="2349"/>
      <c r="O21" s="2349"/>
      <c r="P21" s="3671"/>
      <c r="Q21" s="2834"/>
      <c r="R21" s="1323"/>
      <c r="S21" s="1324"/>
      <c r="T21" s="1323"/>
      <c r="U21" s="1324"/>
      <c r="V21" s="1323"/>
      <c r="W21" s="1324"/>
      <c r="X21" s="2833"/>
      <c r="Y21" s="3671"/>
      <c r="Z21" s="2835"/>
      <c r="AA21" s="1326">
        <v>1</v>
      </c>
      <c r="AB21" s="1326">
        <v>1</v>
      </c>
      <c r="AC21" s="1326">
        <v>1</v>
      </c>
    </row>
    <row r="22" spans="1:29" ht="15">
      <c r="A22" s="747"/>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8"/>
      <c r="M22" s="2349"/>
      <c r="N22" s="2349"/>
      <c r="O22" s="2349"/>
      <c r="P22" s="3671"/>
      <c r="Q22" s="2834" t="str">
        <f>B22</f>
        <v>楼层</v>
      </c>
      <c r="R22" s="1323" t="s">
        <v>65</v>
      </c>
      <c r="S22" s="1324">
        <f>F22</f>
        <v>100</v>
      </c>
      <c r="T22" s="1323" t="s">
        <v>65</v>
      </c>
      <c r="U22" s="1324">
        <f>H22</f>
        <v>100</v>
      </c>
      <c r="V22" s="1323" t="s">
        <v>65</v>
      </c>
      <c r="W22" s="1324">
        <f>J22</f>
        <v>100</v>
      </c>
      <c r="X22" s="2833"/>
      <c r="Y22" s="3671"/>
      <c r="Z22" s="2835" t="str">
        <f>Q22</f>
        <v>楼层</v>
      </c>
      <c r="AA22" s="1326">
        <f t="shared" si="3"/>
        <v>1</v>
      </c>
      <c r="AB22" s="1326">
        <f t="shared" si="4"/>
        <v>1</v>
      </c>
      <c r="AC22" s="1326">
        <f t="shared" si="5"/>
        <v>1</v>
      </c>
    </row>
    <row r="23" spans="1:29" ht="15">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8"/>
      <c r="M23" s="2349"/>
      <c r="N23" s="2349"/>
      <c r="O23" s="2349"/>
      <c r="P23" s="3671"/>
      <c r="Q23" s="2834">
        <f>B23</f>
        <v>111</v>
      </c>
      <c r="R23" s="1323" t="s">
        <v>65</v>
      </c>
      <c r="S23" s="1324">
        <f>F23</f>
        <v>100</v>
      </c>
      <c r="T23" s="1323" t="s">
        <v>65</v>
      </c>
      <c r="U23" s="1324">
        <f>H23</f>
        <v>100</v>
      </c>
      <c r="V23" s="1323" t="s">
        <v>65</v>
      </c>
      <c r="W23" s="1324">
        <f>J23</f>
        <v>100</v>
      </c>
      <c r="X23" s="2833"/>
      <c r="Y23" s="3671"/>
      <c r="Z23" s="2835">
        <f>Q23</f>
        <v>111</v>
      </c>
      <c r="AA23" s="1326">
        <f t="shared" si="3"/>
        <v>1</v>
      </c>
      <c r="AB23" s="1326">
        <f t="shared" si="4"/>
        <v>1</v>
      </c>
      <c r="AC23" s="1326">
        <f t="shared" si="5"/>
        <v>1</v>
      </c>
    </row>
    <row r="24" spans="1:29" ht="15">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8"/>
      <c r="M24" s="2349"/>
      <c r="N24" s="2349"/>
      <c r="O24" s="2349"/>
      <c r="P24" s="3671"/>
      <c r="Q24" s="2834">
        <f t="shared" ref="Q24:Q36" si="11">B24</f>
        <v>111</v>
      </c>
      <c r="R24" s="1323" t="s">
        <v>65</v>
      </c>
      <c r="S24" s="1324">
        <f>F24</f>
        <v>100</v>
      </c>
      <c r="T24" s="1323" t="s">
        <v>65</v>
      </c>
      <c r="U24" s="1324">
        <f>H24</f>
        <v>100</v>
      </c>
      <c r="V24" s="1323" t="s">
        <v>65</v>
      </c>
      <c r="W24" s="1324">
        <f>J24</f>
        <v>100</v>
      </c>
      <c r="X24" s="2833"/>
      <c r="Y24" s="3671"/>
      <c r="Z24" s="2835">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0"/>
      <c r="M25" s="2351"/>
      <c r="N25" s="2351"/>
      <c r="O25" s="2351"/>
      <c r="P25" s="3671"/>
      <c r="Q25" s="2832">
        <f t="shared" si="11"/>
        <v>111</v>
      </c>
      <c r="R25" s="1318" t="s">
        <v>65</v>
      </c>
      <c r="S25" s="1319">
        <f>F25</f>
        <v>100</v>
      </c>
      <c r="T25" s="1318" t="s">
        <v>65</v>
      </c>
      <c r="U25" s="1319">
        <f>H25</f>
        <v>100</v>
      </c>
      <c r="V25" s="1318" t="s">
        <v>65</v>
      </c>
      <c r="W25" s="1319">
        <f>J25</f>
        <v>100</v>
      </c>
      <c r="X25" s="1320"/>
      <c r="Y25" s="3671"/>
      <c r="Z25" s="344">
        <f>Q25</f>
        <v>111</v>
      </c>
      <c r="AA25" s="1326">
        <f>D25/F25</f>
        <v>1</v>
      </c>
      <c r="AB25" s="1326">
        <f>D25/H25</f>
        <v>1</v>
      </c>
      <c r="AC25" s="1326">
        <f>D25/J25</f>
        <v>1</v>
      </c>
    </row>
    <row r="26" spans="1:29" ht="15">
      <c r="A26" s="994" t="s">
        <v>408</v>
      </c>
      <c r="B26" s="360" t="s">
        <v>459</v>
      </c>
      <c r="C26" s="2768">
        <f>B1</f>
        <v>0</v>
      </c>
      <c r="D26" s="790">
        <v>100</v>
      </c>
      <c r="E26" s="789"/>
      <c r="F26" s="791">
        <f>SUMIF(79:79,E26,80:80)-SUMIF(79:79,C26,80:80)+100</f>
        <v>100</v>
      </c>
      <c r="G26" s="789"/>
      <c r="H26" s="790">
        <f>SUMIF(79:79,G26,80:80)-SUMIF(79:79,C26,80:80)+100</f>
        <v>100</v>
      </c>
      <c r="I26" s="789"/>
      <c r="J26" s="790">
        <f>SUMIF(79:79,I26,80:80)-SUMIF(79:79,C26,80:80)+100</f>
        <v>100</v>
      </c>
      <c r="K26" s="954"/>
      <c r="L26" s="2358"/>
      <c r="M26" s="2349"/>
      <c r="N26" s="2349"/>
      <c r="O26" s="2349"/>
      <c r="P26" s="3672" t="s">
        <v>409</v>
      </c>
      <c r="Q26" s="2834" t="str">
        <f t="shared" si="11"/>
        <v>配套类型</v>
      </c>
      <c r="R26" s="1323" t="s">
        <v>65</v>
      </c>
      <c r="S26" s="1324">
        <f t="shared" ref="S26:S36" si="12">F26</f>
        <v>100</v>
      </c>
      <c r="T26" s="1323" t="s">
        <v>65</v>
      </c>
      <c r="U26" s="1324">
        <f t="shared" ref="U26:U36" si="13">H26</f>
        <v>100</v>
      </c>
      <c r="V26" s="1323" t="s">
        <v>65</v>
      </c>
      <c r="W26" s="1324">
        <f t="shared" ref="W26:W36" si="14">J26</f>
        <v>100</v>
      </c>
      <c r="X26" s="2833"/>
      <c r="Y26" s="3673" t="s">
        <v>409</v>
      </c>
      <c r="Z26" s="2835" t="str">
        <f t="shared" ref="Z26:Z36" si="15">Q26</f>
        <v>配套类型</v>
      </c>
      <c r="AA26" s="1326">
        <f t="shared" si="3"/>
        <v>1</v>
      </c>
      <c r="AB26" s="1326">
        <f t="shared" si="4"/>
        <v>1</v>
      </c>
      <c r="AC26" s="1326">
        <f t="shared" si="5"/>
        <v>1</v>
      </c>
    </row>
    <row r="27" spans="1:29" s="813" customFormat="1" ht="15">
      <c r="A27" s="995"/>
      <c r="B27" s="996" t="s">
        <v>460</v>
      </c>
      <c r="C27" s="997"/>
      <c r="D27" s="426">
        <v>100</v>
      </c>
      <c r="E27" s="997"/>
      <c r="F27" s="803">
        <f>SUMIF(81:81,E27,82:82)-SUMIF(81:81,C27,82:82)+100</f>
        <v>100</v>
      </c>
      <c r="G27" s="997"/>
      <c r="H27" s="777">
        <f>SUMIF(81:81,G27,82:82)-SUMIF(81:81,C27,82:82)+100</f>
        <v>100</v>
      </c>
      <c r="I27" s="997"/>
      <c r="J27" s="777">
        <f>SUMIF(81:81,I27,82:82)-SUMIF(81:81,C27,82:82)+100</f>
        <v>100</v>
      </c>
      <c r="K27" s="955"/>
      <c r="L27" s="2356"/>
      <c r="M27" s="2359"/>
      <c r="N27" s="2359"/>
      <c r="O27" s="2359"/>
      <c r="P27" s="3673"/>
      <c r="Q27" s="1327" t="str">
        <f t="shared" si="11"/>
        <v>项目停车位配比</v>
      </c>
      <c r="R27" s="1328" t="s">
        <v>65</v>
      </c>
      <c r="S27" s="1329">
        <f t="shared" si="12"/>
        <v>100</v>
      </c>
      <c r="T27" s="1328" t="s">
        <v>65</v>
      </c>
      <c r="U27" s="1329">
        <f t="shared" si="13"/>
        <v>100</v>
      </c>
      <c r="V27" s="1328" t="s">
        <v>65</v>
      </c>
      <c r="W27" s="1329">
        <f t="shared" si="14"/>
        <v>100</v>
      </c>
      <c r="X27" s="1330"/>
      <c r="Y27" s="3673"/>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8"/>
      <c r="M28" s="2349"/>
      <c r="N28" s="2349"/>
      <c r="O28" s="2349"/>
      <c r="P28" s="3673"/>
      <c r="Q28" s="2834" t="str">
        <f t="shared" si="11"/>
        <v>公共部分装修</v>
      </c>
      <c r="R28" s="1323" t="s">
        <v>65</v>
      </c>
      <c r="S28" s="1324">
        <f t="shared" si="12"/>
        <v>100</v>
      </c>
      <c r="T28" s="1323" t="s">
        <v>65</v>
      </c>
      <c r="U28" s="1324">
        <f t="shared" si="13"/>
        <v>100</v>
      </c>
      <c r="V28" s="1323" t="s">
        <v>65</v>
      </c>
      <c r="W28" s="1324">
        <f t="shared" si="14"/>
        <v>100</v>
      </c>
      <c r="X28" s="2833"/>
      <c r="Y28" s="3673"/>
      <c r="Z28" s="2835"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8"/>
      <c r="M29" s="2349"/>
      <c r="N29" s="2349"/>
      <c r="O29" s="2349"/>
      <c r="P29" s="3673"/>
      <c r="Q29" s="2834" t="str">
        <f t="shared" si="11"/>
        <v>成新率</v>
      </c>
      <c r="R29" s="1323" t="s">
        <v>65</v>
      </c>
      <c r="S29" s="1324" t="e">
        <f t="shared" si="12"/>
        <v>#N/A</v>
      </c>
      <c r="T29" s="1323" t="s">
        <v>65</v>
      </c>
      <c r="U29" s="1324" t="e">
        <f t="shared" si="13"/>
        <v>#N/A</v>
      </c>
      <c r="V29" s="1323" t="s">
        <v>65</v>
      </c>
      <c r="W29" s="1324" t="e">
        <f t="shared" si="14"/>
        <v>#N/A</v>
      </c>
      <c r="X29" s="2833"/>
      <c r="Y29" s="3673"/>
      <c r="Z29" s="2835"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8"/>
      <c r="M30" s="2349"/>
      <c r="N30" s="2349"/>
      <c r="O30" s="2349"/>
      <c r="P30" s="3673"/>
      <c r="Q30" s="2834" t="str">
        <f t="shared" si="11"/>
        <v>物业等级</v>
      </c>
      <c r="R30" s="1323" t="s">
        <v>65</v>
      </c>
      <c r="S30" s="1324">
        <f t="shared" si="12"/>
        <v>100</v>
      </c>
      <c r="T30" s="1323" t="s">
        <v>65</v>
      </c>
      <c r="U30" s="1324">
        <f t="shared" si="13"/>
        <v>100</v>
      </c>
      <c r="V30" s="1323" t="s">
        <v>65</v>
      </c>
      <c r="W30" s="1324">
        <f t="shared" si="14"/>
        <v>100</v>
      </c>
      <c r="X30" s="2833"/>
      <c r="Y30" s="3673"/>
      <c r="Z30" s="2835" t="str">
        <f t="shared" si="15"/>
        <v>物业等级</v>
      </c>
      <c r="AA30" s="1326">
        <f t="shared" si="3"/>
        <v>1</v>
      </c>
      <c r="AB30" s="1326">
        <f t="shared" si="4"/>
        <v>1</v>
      </c>
      <c r="AC30" s="1326">
        <f t="shared" si="5"/>
        <v>1</v>
      </c>
    </row>
    <row r="31" spans="1:29" s="407" customFormat="1" ht="15">
      <c r="A31" s="1000"/>
      <c r="B31" s="996" t="s">
        <v>464</v>
      </c>
      <c r="C31" s="811"/>
      <c r="D31" s="426">
        <v>100</v>
      </c>
      <c r="E31" s="811"/>
      <c r="F31" s="803" t="e">
        <f>LOOKUP(E31,91:91,92:92)-LOOKUP(C31,91:91,92:92)+100</f>
        <v>#N/A</v>
      </c>
      <c r="G31" s="811"/>
      <c r="H31" s="777" t="e">
        <f>LOOKUP(G31,91:91,92:92)-LOOKUP(C31,91:91,92:92)+100</f>
        <v>#N/A</v>
      </c>
      <c r="I31" s="811"/>
      <c r="J31" s="777" t="e">
        <f>LOOKUP(I31,91:91,92:92)-LOOKUP(C31,91:91,92:92)+100</f>
        <v>#N/A</v>
      </c>
      <c r="K31" s="954"/>
      <c r="L31" s="2350"/>
      <c r="M31" s="2351"/>
      <c r="N31" s="2351"/>
      <c r="O31" s="2351"/>
      <c r="P31" s="3673"/>
      <c r="Q31" s="2832" t="str">
        <f t="shared" si="11"/>
        <v>停车位面积</v>
      </c>
      <c r="R31" s="1318" t="s">
        <v>65</v>
      </c>
      <c r="S31" s="1319" t="e">
        <f t="shared" si="12"/>
        <v>#N/A</v>
      </c>
      <c r="T31" s="1318" t="s">
        <v>65</v>
      </c>
      <c r="U31" s="1319" t="e">
        <f t="shared" si="13"/>
        <v>#N/A</v>
      </c>
      <c r="V31" s="1318" t="s">
        <v>65</v>
      </c>
      <c r="W31" s="1319" t="e">
        <f t="shared" si="14"/>
        <v>#N/A</v>
      </c>
      <c r="X31" s="1320"/>
      <c r="Y31" s="3673"/>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8"/>
      <c r="M32" s="2349"/>
      <c r="N32" s="2349"/>
      <c r="O32" s="2349"/>
      <c r="P32" s="3673" t="s">
        <v>409</v>
      </c>
      <c r="Q32" s="2834" t="str">
        <f t="shared" si="11"/>
        <v>车位类型</v>
      </c>
      <c r="R32" s="1323" t="s">
        <v>65</v>
      </c>
      <c r="S32" s="1324">
        <f t="shared" si="12"/>
        <v>100</v>
      </c>
      <c r="T32" s="1323" t="s">
        <v>65</v>
      </c>
      <c r="U32" s="1324">
        <f t="shared" si="13"/>
        <v>100</v>
      </c>
      <c r="V32" s="1323" t="s">
        <v>65</v>
      </c>
      <c r="W32" s="1324">
        <f t="shared" si="14"/>
        <v>100</v>
      </c>
      <c r="X32" s="2833"/>
      <c r="Y32" s="3673" t="s">
        <v>409</v>
      </c>
      <c r="Z32" s="2835"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8"/>
      <c r="M33" s="2349"/>
      <c r="N33" s="2349"/>
      <c r="O33" s="2349"/>
      <c r="P33" s="3673"/>
      <c r="Q33" s="2834" t="str">
        <f t="shared" si="11"/>
        <v>是否直接入户</v>
      </c>
      <c r="R33" s="1323" t="s">
        <v>65</v>
      </c>
      <c r="S33" s="1324">
        <f t="shared" si="12"/>
        <v>100</v>
      </c>
      <c r="T33" s="1323" t="s">
        <v>65</v>
      </c>
      <c r="U33" s="1324">
        <f t="shared" si="13"/>
        <v>100</v>
      </c>
      <c r="V33" s="1323" t="s">
        <v>65</v>
      </c>
      <c r="W33" s="1324">
        <f t="shared" si="14"/>
        <v>100</v>
      </c>
      <c r="X33" s="2833"/>
      <c r="Y33" s="3673"/>
      <c r="Z33" s="2835"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8"/>
      <c r="M34" s="2349"/>
      <c r="N34" s="2349"/>
      <c r="O34" s="2349"/>
      <c r="P34" s="3673"/>
      <c r="Q34" s="2834">
        <f t="shared" si="11"/>
        <v>111</v>
      </c>
      <c r="R34" s="1323" t="s">
        <v>65</v>
      </c>
      <c r="S34" s="1324">
        <f t="shared" si="12"/>
        <v>100</v>
      </c>
      <c r="T34" s="1323" t="s">
        <v>65</v>
      </c>
      <c r="U34" s="1324">
        <f t="shared" si="13"/>
        <v>100</v>
      </c>
      <c r="V34" s="1323" t="s">
        <v>65</v>
      </c>
      <c r="W34" s="1324">
        <f t="shared" si="14"/>
        <v>100</v>
      </c>
      <c r="X34" s="2833"/>
      <c r="Y34" s="3673"/>
      <c r="Z34" s="2835">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6"/>
      <c r="M35" s="2359"/>
      <c r="N35" s="2359"/>
      <c r="O35" s="2359"/>
      <c r="P35" s="3673"/>
      <c r="Q35" s="1327">
        <f t="shared" si="11"/>
        <v>111</v>
      </c>
      <c r="R35" s="1328" t="s">
        <v>65</v>
      </c>
      <c r="S35" s="1329">
        <f t="shared" si="12"/>
        <v>100</v>
      </c>
      <c r="T35" s="1328" t="s">
        <v>65</v>
      </c>
      <c r="U35" s="1329">
        <f t="shared" si="13"/>
        <v>100</v>
      </c>
      <c r="V35" s="1328" t="s">
        <v>65</v>
      </c>
      <c r="W35" s="1329">
        <f t="shared" si="14"/>
        <v>100</v>
      </c>
      <c r="X35" s="1330"/>
      <c r="Y35" s="3673"/>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8"/>
      <c r="M36" s="2349"/>
      <c r="N36" s="2349"/>
      <c r="O36" s="2349"/>
      <c r="P36" s="3673"/>
      <c r="Q36" s="2834">
        <f t="shared" si="11"/>
        <v>111</v>
      </c>
      <c r="R36" s="1323" t="s">
        <v>65</v>
      </c>
      <c r="S36" s="1324">
        <f t="shared" si="12"/>
        <v>100</v>
      </c>
      <c r="T36" s="1323" t="s">
        <v>65</v>
      </c>
      <c r="U36" s="1324">
        <f t="shared" si="13"/>
        <v>100</v>
      </c>
      <c r="V36" s="1323" t="s">
        <v>65</v>
      </c>
      <c r="W36" s="1324">
        <f t="shared" si="14"/>
        <v>100</v>
      </c>
      <c r="X36" s="2833"/>
      <c r="Y36" s="3673"/>
      <c r="Z36" s="2835">
        <f t="shared" si="15"/>
        <v>111</v>
      </c>
      <c r="AA36" s="1326">
        <f t="shared" si="3"/>
        <v>1</v>
      </c>
      <c r="AB36" s="1326">
        <f t="shared" si="4"/>
        <v>1</v>
      </c>
      <c r="AC36" s="1326">
        <f t="shared" si="5"/>
        <v>1</v>
      </c>
    </row>
    <row r="37" spans="1:29" ht="15">
      <c r="A37" s="163" t="s">
        <v>2138</v>
      </c>
      <c r="B37" s="2099" t="s">
        <v>2139</v>
      </c>
      <c r="C37" s="2836" t="s">
        <v>23</v>
      </c>
      <c r="D37" s="2837"/>
      <c r="E37" s="2838"/>
      <c r="F37" s="2839"/>
      <c r="G37" s="2840"/>
      <c r="H37" s="2841"/>
      <c r="I37" s="2838"/>
      <c r="J37" s="2841"/>
      <c r="K37" s="961"/>
      <c r="L37" s="2361"/>
      <c r="M37" s="2362"/>
      <c r="N37" s="2349"/>
      <c r="O37" s="2362"/>
      <c r="P37" s="3665" t="str">
        <f>A37</f>
        <v>成交单价</v>
      </c>
      <c r="Q37" s="3665"/>
      <c r="R37" s="3666">
        <f>E37</f>
        <v>0</v>
      </c>
      <c r="S37" s="3666"/>
      <c r="T37" s="3666">
        <f>G37</f>
        <v>0</v>
      </c>
      <c r="U37" s="3666"/>
      <c r="V37" s="3666">
        <f>I37</f>
        <v>0</v>
      </c>
      <c r="W37" s="3666"/>
      <c r="X37" s="1306"/>
      <c r="Y37" s="1332"/>
      <c r="Z37" s="1306"/>
      <c r="AA37" s="1306"/>
      <c r="AB37" s="1306"/>
      <c r="AC37" s="1306"/>
    </row>
    <row r="38" spans="1:29" ht="15.75" thickBot="1">
      <c r="A38" s="828" t="s">
        <v>411</v>
      </c>
      <c r="B38" s="166" t="str">
        <f>B37</f>
        <v>元/车位</v>
      </c>
      <c r="C38" s="2842" t="e">
        <f>R39</f>
        <v>#DIV/0!</v>
      </c>
      <c r="D38" s="2843"/>
      <c r="E38" s="2844" t="e">
        <f>R38</f>
        <v>#DIV/0!</v>
      </c>
      <c r="F38" s="2844"/>
      <c r="G38" s="2842" t="e">
        <f>T38</f>
        <v>#DIV/0!</v>
      </c>
      <c r="H38" s="2843"/>
      <c r="I38" s="2844" t="e">
        <f>V38</f>
        <v>#DIV/0!</v>
      </c>
      <c r="J38" s="2843"/>
      <c r="K38" s="962"/>
      <c r="L38" s="2361"/>
      <c r="M38" s="2362"/>
      <c r="N38" s="2362"/>
      <c r="O38" s="2362"/>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306"/>
      <c r="Y38" s="1306"/>
      <c r="Z38" s="1306"/>
      <c r="AA38" s="1306"/>
      <c r="AB38" s="1306"/>
      <c r="AC38" s="1306"/>
    </row>
    <row r="39" spans="1:29" ht="15.75" thickBot="1">
      <c r="A39" s="834" t="s">
        <v>3027</v>
      </c>
      <c r="B39" s="835"/>
      <c r="C39" s="2846" t="e">
        <f>R39</f>
        <v>#DIV/0!</v>
      </c>
      <c r="D39" s="2846"/>
      <c r="E39" s="2846"/>
      <c r="F39" s="2846"/>
      <c r="G39" s="2846"/>
      <c r="H39" s="2846"/>
      <c r="I39" s="2846"/>
      <c r="J39" s="2846"/>
      <c r="K39" s="963"/>
      <c r="L39" s="2361"/>
      <c r="M39" s="2362"/>
      <c r="N39" s="2362"/>
      <c r="O39" s="2362"/>
      <c r="P39" s="3667" t="str">
        <f>A39</f>
        <v>估价对象XX用房的比较价值（楼面单价，元/平方米）</v>
      </c>
      <c r="Q39" s="3668"/>
      <c r="R39" s="3669" t="e">
        <f>IF(F1="售价",ROUND(AVERAGE(R38:V38),0),ROUND(AVERAGE(R38:V38),1))</f>
        <v>#DIV/0!</v>
      </c>
      <c r="S39" s="3669"/>
      <c r="T39" s="3669"/>
      <c r="U39" s="3669"/>
      <c r="V39" s="3669"/>
      <c r="W39" s="3669"/>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4" customFormat="1" ht="13.5" customHeight="1">
      <c r="A44" s="2363"/>
      <c r="B44" s="2363"/>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4"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415</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0" customFormat="1" ht="15">
      <c r="A48" s="847" t="s">
        <v>2798</v>
      </c>
      <c r="B48" s="848"/>
      <c r="C48" s="3045" t="str">
        <f>YEAR(C7)&amp;"-"&amp;MONTH(C7)</f>
        <v>2017-11</v>
      </c>
      <c r="D48" s="3046">
        <f>EDATE(C48,-1)</f>
        <v>43009</v>
      </c>
      <c r="E48" s="3046">
        <f t="shared" ref="E48:O48" si="16">EDATE(D48,-1)</f>
        <v>42979</v>
      </c>
      <c r="F48" s="3046">
        <f t="shared" si="16"/>
        <v>42948</v>
      </c>
      <c r="G48" s="3046">
        <f t="shared" si="16"/>
        <v>42917</v>
      </c>
      <c r="H48" s="3046">
        <f t="shared" si="16"/>
        <v>42887</v>
      </c>
      <c r="I48" s="3046">
        <f t="shared" si="16"/>
        <v>42856</v>
      </c>
      <c r="J48" s="3046">
        <f t="shared" si="16"/>
        <v>42826</v>
      </c>
      <c r="K48" s="3046">
        <f t="shared" si="16"/>
        <v>42795</v>
      </c>
      <c r="L48" s="3046">
        <f t="shared" si="16"/>
        <v>42767</v>
      </c>
      <c r="M48" s="3046">
        <f t="shared" si="16"/>
        <v>42736</v>
      </c>
      <c r="N48" s="3046">
        <f t="shared" si="16"/>
        <v>42705</v>
      </c>
      <c r="O48" s="3046">
        <f t="shared" si="16"/>
        <v>42675</v>
      </c>
      <c r="P48" s="2867"/>
      <c r="Q48" s="2868"/>
      <c r="R48" s="2868"/>
      <c r="S48" s="2868"/>
      <c r="T48" s="2868"/>
      <c r="U48" s="2868"/>
      <c r="V48" s="2868"/>
      <c r="W48" s="2868"/>
      <c r="X48" s="2868"/>
      <c r="Y48" s="2868"/>
      <c r="Z48" s="2868"/>
      <c r="AA48" s="2868"/>
      <c r="AB48" s="2868"/>
      <c r="AC48" s="2868"/>
    </row>
    <row r="49" spans="1:29" s="407" customFormat="1" ht="15">
      <c r="A49" s="851"/>
      <c r="B49" s="852"/>
      <c r="C49" s="3034">
        <v>100</v>
      </c>
      <c r="D49" s="854"/>
      <c r="E49" s="854"/>
      <c r="F49" s="854"/>
      <c r="G49" s="854"/>
      <c r="H49" s="854"/>
      <c r="I49" s="854"/>
      <c r="J49" s="854"/>
      <c r="K49" s="854"/>
      <c r="L49" s="854"/>
      <c r="M49" s="855"/>
      <c r="N49" s="854"/>
      <c r="O49" s="855"/>
      <c r="P49" s="2857"/>
      <c r="Q49" s="2856"/>
      <c r="R49" s="2856"/>
      <c r="S49" s="2856"/>
      <c r="T49" s="2856"/>
      <c r="U49" s="2856"/>
      <c r="V49" s="2856"/>
      <c r="W49" s="2856"/>
      <c r="X49" s="2856"/>
      <c r="Y49" s="2856"/>
      <c r="Z49" s="2856"/>
      <c r="AA49" s="2856"/>
      <c r="AB49" s="2856"/>
      <c r="AC49" s="2856"/>
    </row>
    <row r="50" spans="1:29" s="407" customFormat="1" ht="15.75" thickBot="1">
      <c r="A50" s="857" t="s">
        <v>416</v>
      </c>
      <c r="B50" s="858"/>
      <c r="C50" s="859"/>
      <c r="D50" s="860"/>
      <c r="E50" s="860"/>
      <c r="F50" s="860"/>
      <c r="G50" s="860"/>
      <c r="H50" s="860"/>
      <c r="I50" s="860"/>
      <c r="J50" s="860"/>
      <c r="K50" s="860"/>
      <c r="L50" s="860"/>
      <c r="M50" s="861"/>
      <c r="N50" s="860"/>
      <c r="O50" s="861"/>
      <c r="P50" s="2857"/>
      <c r="Q50" s="2852"/>
      <c r="R50" s="2856"/>
      <c r="S50" s="2856"/>
      <c r="T50" s="2856"/>
      <c r="U50" s="2856"/>
      <c r="V50" s="2856"/>
      <c r="W50" s="2856"/>
      <c r="X50" s="2856"/>
      <c r="Y50" s="2856"/>
      <c r="Z50" s="2856"/>
      <c r="AA50" s="2856"/>
      <c r="AB50" s="2856"/>
      <c r="AC50" s="2856"/>
    </row>
    <row r="51" spans="1:29" s="407" customFormat="1" ht="15">
      <c r="A51" s="863" t="s">
        <v>400</v>
      </c>
      <c r="B51" s="852"/>
      <c r="C51" s="864" t="s">
        <v>417</v>
      </c>
      <c r="D51" s="865"/>
      <c r="E51" s="865"/>
      <c r="F51" s="865"/>
      <c r="G51" s="865"/>
      <c r="H51" s="865"/>
      <c r="I51" s="865"/>
      <c r="J51" s="865"/>
      <c r="K51" s="865"/>
      <c r="L51" s="866"/>
      <c r="M51" s="867"/>
      <c r="N51" s="2369"/>
      <c r="O51" s="2369"/>
      <c r="P51" s="2855"/>
      <c r="Q51" s="2852"/>
      <c r="R51" s="2856"/>
      <c r="S51" s="2856"/>
      <c r="T51" s="2856"/>
      <c r="U51" s="2856"/>
      <c r="V51" s="2856"/>
      <c r="W51" s="2856"/>
      <c r="X51" s="2856"/>
      <c r="Y51" s="2856"/>
      <c r="Z51" s="2856"/>
      <c r="AA51" s="2856"/>
      <c r="AB51" s="2856"/>
      <c r="AC51" s="2856"/>
    </row>
    <row r="52" spans="1:29" s="407" customFormat="1" ht="15.75" thickBot="1">
      <c r="A52" s="863"/>
      <c r="B52" s="852"/>
      <c r="C52" s="981">
        <v>100</v>
      </c>
      <c r="D52" s="854"/>
      <c r="E52" s="854"/>
      <c r="F52" s="854"/>
      <c r="G52" s="854"/>
      <c r="H52" s="854"/>
      <c r="I52" s="854"/>
      <c r="J52" s="854"/>
      <c r="K52" s="854"/>
      <c r="L52" s="854"/>
      <c r="M52" s="856"/>
      <c r="N52" s="2369"/>
      <c r="O52" s="2369"/>
      <c r="P52" s="2857"/>
      <c r="Q52" s="2852"/>
      <c r="R52" s="2856"/>
      <c r="S52" s="2856"/>
      <c r="T52" s="2856"/>
      <c r="U52" s="2856"/>
      <c r="V52" s="2856"/>
      <c r="W52" s="2856"/>
      <c r="X52" s="2856"/>
      <c r="Y52" s="2856"/>
      <c r="Z52" s="2856"/>
      <c r="AA52" s="2856"/>
      <c r="AB52" s="2856"/>
      <c r="AC52" s="2856"/>
    </row>
    <row r="53" spans="1:29">
      <c r="A53" s="869" t="s">
        <v>418</v>
      </c>
      <c r="B53" s="870" t="s">
        <v>419</v>
      </c>
      <c r="C53" s="871">
        <f>C9</f>
        <v>0</v>
      </c>
      <c r="D53" s="872"/>
      <c r="E53" s="872"/>
      <c r="F53" s="872"/>
      <c r="G53" s="872"/>
      <c r="H53" s="872"/>
      <c r="I53" s="872"/>
      <c r="J53" s="872"/>
      <c r="K53" s="873"/>
      <c r="L53" s="874"/>
      <c r="M53" s="875"/>
      <c r="N53" s="2370"/>
      <c r="O53" s="2370"/>
      <c r="P53" s="2858"/>
      <c r="Q53" s="2852"/>
      <c r="R53" s="2362"/>
      <c r="S53" s="2362"/>
      <c r="T53" s="2362"/>
      <c r="U53" s="2362"/>
      <c r="V53" s="2362"/>
      <c r="W53" s="2362"/>
      <c r="X53" s="2362"/>
      <c r="Y53" s="2362"/>
      <c r="Z53" s="2362"/>
      <c r="AA53" s="2362"/>
      <c r="AB53" s="2362"/>
      <c r="AC53" s="2362"/>
    </row>
    <row r="54" spans="1:29" ht="15.75" thickBot="1">
      <c r="A54" s="876"/>
      <c r="B54" s="877"/>
      <c r="C54" s="878">
        <v>100</v>
      </c>
      <c r="D54" s="878"/>
      <c r="E54" s="878"/>
      <c r="F54" s="878"/>
      <c r="G54" s="878"/>
      <c r="H54" s="878"/>
      <c r="I54" s="878"/>
      <c r="J54" s="878"/>
      <c r="K54" s="878"/>
      <c r="L54" s="878"/>
      <c r="M54" s="879"/>
      <c r="N54" s="2371"/>
      <c r="O54" s="2371"/>
      <c r="P54" s="2858"/>
      <c r="Q54" s="2852"/>
      <c r="R54" s="2362"/>
      <c r="S54" s="2362"/>
      <c r="T54" s="2362"/>
      <c r="U54" s="2362"/>
      <c r="V54" s="2362"/>
      <c r="W54" s="2362"/>
      <c r="X54" s="2362"/>
      <c r="Y54" s="2362"/>
      <c r="Z54" s="2362"/>
      <c r="AA54" s="2362"/>
      <c r="AB54" s="2362"/>
      <c r="AC54" s="2362"/>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70"/>
      <c r="O55" s="2370"/>
      <c r="P55" s="2858"/>
      <c r="Q55" s="2852"/>
      <c r="R55" s="2362"/>
      <c r="S55" s="2362"/>
      <c r="T55" s="2362"/>
      <c r="U55" s="2362"/>
      <c r="V55" s="2362"/>
      <c r="W55" s="2362"/>
      <c r="X55" s="2362"/>
      <c r="Y55" s="2362"/>
      <c r="Z55" s="2362"/>
      <c r="AA55" s="2362"/>
      <c r="AB55" s="2362"/>
      <c r="AC55" s="2362"/>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1"/>
      <c r="O56" s="2371"/>
      <c r="P56" s="2858"/>
      <c r="Q56" s="2852"/>
      <c r="R56" s="2362"/>
      <c r="S56" s="2362"/>
      <c r="T56" s="2362"/>
      <c r="U56" s="2362"/>
      <c r="V56" s="2362"/>
      <c r="W56" s="2362"/>
      <c r="X56" s="2362"/>
      <c r="Y56" s="2362"/>
      <c r="Z56" s="2362"/>
      <c r="AA56" s="2362"/>
      <c r="AB56" s="2362"/>
      <c r="AC56" s="2362"/>
    </row>
    <row r="57" spans="1:29" ht="15.75" thickTop="1">
      <c r="A57" s="876"/>
      <c r="B57" s="1002">
        <f>B11</f>
        <v>111</v>
      </c>
      <c r="C57" s="891"/>
      <c r="D57" s="891"/>
      <c r="E57" s="891"/>
      <c r="F57" s="891"/>
      <c r="G57" s="891"/>
      <c r="H57" s="891"/>
      <c r="I57" s="891"/>
      <c r="J57" s="891"/>
      <c r="K57" s="892"/>
      <c r="L57" s="893"/>
      <c r="M57" s="894"/>
      <c r="N57" s="2370"/>
      <c r="O57" s="2370"/>
      <c r="P57" s="2858"/>
      <c r="Q57" s="2852"/>
      <c r="R57" s="2362"/>
      <c r="S57" s="2362"/>
      <c r="T57" s="2362"/>
      <c r="U57" s="2362"/>
      <c r="V57" s="2362"/>
      <c r="W57" s="2362"/>
      <c r="X57" s="2362"/>
      <c r="Y57" s="2362"/>
      <c r="Z57" s="2362"/>
      <c r="AA57" s="2362"/>
      <c r="AB57" s="2362"/>
      <c r="AC57" s="2362"/>
    </row>
    <row r="58" spans="1:29" ht="15.75" thickBot="1">
      <c r="A58" s="876"/>
      <c r="B58" s="877"/>
      <c r="C58" s="902"/>
      <c r="D58" s="878"/>
      <c r="E58" s="878"/>
      <c r="F58" s="878"/>
      <c r="G58" s="878"/>
      <c r="H58" s="878"/>
      <c r="I58" s="878"/>
      <c r="J58" s="878"/>
      <c r="K58" s="878"/>
      <c r="L58" s="878"/>
      <c r="M58" s="879"/>
      <c r="N58" s="2371"/>
      <c r="O58" s="2371"/>
      <c r="P58" s="2858"/>
      <c r="Q58" s="2852"/>
      <c r="R58" s="2362"/>
      <c r="S58" s="2362"/>
      <c r="T58" s="2362"/>
      <c r="U58" s="2362"/>
      <c r="V58" s="2362"/>
      <c r="W58" s="2362"/>
      <c r="X58" s="2362"/>
      <c r="Y58" s="2362"/>
      <c r="Z58" s="2362"/>
      <c r="AA58" s="2362"/>
      <c r="AB58" s="2362"/>
      <c r="AC58" s="2362"/>
    </row>
    <row r="59" spans="1:29" s="813" customFormat="1" ht="15.75" thickTop="1">
      <c r="A59" s="895"/>
      <c r="B59" s="880">
        <f>B12</f>
        <v>111</v>
      </c>
      <c r="C59" s="891"/>
      <c r="D59" s="891"/>
      <c r="E59" s="891"/>
      <c r="F59" s="891"/>
      <c r="G59" s="896"/>
      <c r="H59" s="897"/>
      <c r="I59" s="897"/>
      <c r="J59" s="897"/>
      <c r="K59" s="897"/>
      <c r="L59" s="898"/>
      <c r="M59" s="899"/>
      <c r="N59" s="2372"/>
      <c r="O59" s="2372"/>
      <c r="P59" s="2859"/>
      <c r="Q59" s="2860"/>
      <c r="R59" s="2861"/>
      <c r="S59" s="2861"/>
      <c r="T59" s="2861"/>
      <c r="U59" s="2861"/>
      <c r="V59" s="2861"/>
      <c r="W59" s="2861"/>
      <c r="X59" s="2861"/>
      <c r="Y59" s="2861"/>
      <c r="Z59" s="2861"/>
      <c r="AA59" s="2861"/>
      <c r="AB59" s="2861"/>
      <c r="AC59" s="2861"/>
    </row>
    <row r="60" spans="1:29" s="813" customFormat="1" ht="15.75" thickBot="1">
      <c r="A60" s="895"/>
      <c r="B60" s="885"/>
      <c r="C60" s="902"/>
      <c r="D60" s="878"/>
      <c r="E60" s="878"/>
      <c r="F60" s="878"/>
      <c r="G60" s="878"/>
      <c r="H60" s="878"/>
      <c r="I60" s="878"/>
      <c r="J60" s="878"/>
      <c r="K60" s="878"/>
      <c r="L60" s="878"/>
      <c r="M60" s="879"/>
      <c r="N60" s="2371"/>
      <c r="O60" s="2371"/>
      <c r="P60" s="2859"/>
      <c r="Q60" s="2860"/>
      <c r="R60" s="2861"/>
      <c r="S60" s="2861"/>
      <c r="T60" s="2861"/>
      <c r="U60" s="2861"/>
      <c r="V60" s="2861"/>
      <c r="W60" s="2861"/>
      <c r="X60" s="2861"/>
      <c r="Y60" s="2861"/>
      <c r="Z60" s="2861"/>
      <c r="AA60" s="2861"/>
      <c r="AB60" s="2861"/>
      <c r="AC60" s="2861"/>
    </row>
    <row r="61" spans="1:29" s="813" customFormat="1" ht="15.75" thickTop="1">
      <c r="A61" s="895"/>
      <c r="B61" s="880">
        <f>B13</f>
        <v>111</v>
      </c>
      <c r="C61" s="896"/>
      <c r="D61" s="896"/>
      <c r="E61" s="896"/>
      <c r="F61" s="896"/>
      <c r="G61" s="896"/>
      <c r="H61" s="897"/>
      <c r="I61" s="897"/>
      <c r="J61" s="897"/>
      <c r="K61" s="897"/>
      <c r="L61" s="898"/>
      <c r="M61" s="899"/>
      <c r="N61" s="2372"/>
      <c r="O61" s="2372"/>
      <c r="P61" s="2862"/>
      <c r="Q61" s="2863"/>
      <c r="R61" s="2861"/>
      <c r="S61" s="2861"/>
      <c r="T61" s="2861"/>
      <c r="U61" s="2861"/>
      <c r="V61" s="2861"/>
      <c r="W61" s="2861"/>
      <c r="X61" s="2861"/>
      <c r="Y61" s="2861"/>
      <c r="Z61" s="2861"/>
      <c r="AA61" s="2861"/>
      <c r="AB61" s="2861"/>
      <c r="AC61" s="2861"/>
    </row>
    <row r="62" spans="1:29" s="813" customFormat="1" ht="15.75" thickBot="1">
      <c r="A62" s="895"/>
      <c r="B62" s="885"/>
      <c r="C62" s="902"/>
      <c r="D62" s="902"/>
      <c r="E62" s="902"/>
      <c r="F62" s="902"/>
      <c r="G62" s="902"/>
      <c r="H62" s="904"/>
      <c r="I62" s="904"/>
      <c r="J62" s="904"/>
      <c r="K62" s="904"/>
      <c r="L62" s="904"/>
      <c r="M62" s="905"/>
      <c r="N62" s="2372"/>
      <c r="O62" s="2372"/>
      <c r="P62" s="2859"/>
      <c r="Q62" s="2860"/>
      <c r="R62" s="2861"/>
      <c r="S62" s="2861"/>
      <c r="T62" s="2861"/>
      <c r="U62" s="2861"/>
      <c r="V62" s="2861"/>
      <c r="W62" s="2861"/>
      <c r="X62" s="2861"/>
      <c r="Y62" s="2861"/>
      <c r="Z62" s="2861"/>
      <c r="AA62" s="2861"/>
      <c r="AB62" s="2861"/>
      <c r="AC62" s="2861"/>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70"/>
      <c r="O63" s="2370"/>
      <c r="P63" s="2864"/>
      <c r="Q63" s="2852"/>
      <c r="R63" s="2362"/>
      <c r="S63" s="2362"/>
      <c r="T63" s="2362"/>
      <c r="U63" s="2362"/>
      <c r="V63" s="2362"/>
      <c r="W63" s="2362"/>
      <c r="X63" s="2362"/>
      <c r="Y63" s="2362"/>
      <c r="Z63" s="2362"/>
      <c r="AA63" s="2362"/>
      <c r="AB63" s="2362"/>
      <c r="AC63" s="2362"/>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1"/>
      <c r="O64" s="2371"/>
      <c r="P64" s="2858"/>
      <c r="Q64" s="2852"/>
      <c r="R64" s="2362"/>
      <c r="S64" s="2362"/>
      <c r="T64" s="2362"/>
      <c r="U64" s="2362"/>
      <c r="V64" s="2362"/>
      <c r="W64" s="2362"/>
      <c r="X64" s="2362"/>
      <c r="Y64" s="2362"/>
      <c r="Z64" s="2362"/>
      <c r="AA64" s="2362"/>
      <c r="AB64" s="2362"/>
      <c r="AC64" s="2362"/>
    </row>
    <row r="65" spans="1:29" ht="15.75" thickTop="1">
      <c r="A65" s="876"/>
      <c r="B65" s="1053" t="s">
        <v>2641</v>
      </c>
      <c r="C65" s="920" t="s">
        <v>425</v>
      </c>
      <c r="D65" s="920" t="s">
        <v>426</v>
      </c>
      <c r="E65" s="920" t="s">
        <v>427</v>
      </c>
      <c r="F65" s="920" t="s">
        <v>428</v>
      </c>
      <c r="G65" s="920" t="s">
        <v>429</v>
      </c>
      <c r="H65" s="881"/>
      <c r="I65" s="881"/>
      <c r="J65" s="881"/>
      <c r="K65" s="882"/>
      <c r="L65" s="883"/>
      <c r="M65" s="884"/>
      <c r="N65" s="2370"/>
      <c r="O65" s="2370"/>
      <c r="P65" s="2858"/>
      <c r="Q65" s="2852"/>
      <c r="R65" s="2362"/>
      <c r="S65" s="2362"/>
      <c r="T65" s="2362"/>
      <c r="U65" s="2362"/>
      <c r="V65" s="2362"/>
      <c r="W65" s="2362"/>
      <c r="X65" s="2362"/>
      <c r="Y65" s="2362"/>
      <c r="Z65" s="2362"/>
      <c r="AA65" s="2362"/>
      <c r="AB65" s="2362"/>
      <c r="AC65" s="2362"/>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1"/>
      <c r="O66" s="2371"/>
      <c r="P66" s="2858"/>
      <c r="Q66" s="2852"/>
      <c r="R66" s="2362"/>
      <c r="S66" s="2362"/>
      <c r="T66" s="2362"/>
      <c r="U66" s="2362"/>
      <c r="V66" s="2362"/>
      <c r="W66" s="2362"/>
      <c r="X66" s="2362"/>
      <c r="Y66" s="2362"/>
      <c r="Z66" s="2362"/>
      <c r="AA66" s="2362"/>
      <c r="AB66" s="2362"/>
      <c r="AC66" s="2362"/>
    </row>
    <row r="67" spans="1:29" ht="15.75" thickTop="1">
      <c r="A67" s="876"/>
      <c r="B67" s="1055" t="s">
        <v>2671</v>
      </c>
      <c r="C67" s="213" t="s">
        <v>2661</v>
      </c>
      <c r="D67" s="213" t="s">
        <v>2662</v>
      </c>
      <c r="E67" s="213" t="s">
        <v>2663</v>
      </c>
      <c r="F67" s="213" t="s">
        <v>2664</v>
      </c>
      <c r="G67" s="213" t="s">
        <v>2665</v>
      </c>
      <c r="H67" s="881"/>
      <c r="I67" s="881"/>
      <c r="J67" s="881"/>
      <c r="K67" s="881"/>
      <c r="L67" s="881"/>
      <c r="M67" s="2765"/>
      <c r="N67" s="2371"/>
      <c r="O67" s="2371"/>
      <c r="P67" s="2858"/>
      <c r="Q67" s="2852"/>
      <c r="R67" s="2362"/>
      <c r="S67" s="2362"/>
      <c r="T67" s="2362"/>
      <c r="U67" s="2362"/>
      <c r="V67" s="2362"/>
      <c r="W67" s="2362"/>
      <c r="X67" s="2362"/>
      <c r="Y67" s="2362"/>
      <c r="Z67" s="2362"/>
      <c r="AA67" s="2362"/>
      <c r="AB67" s="2362"/>
      <c r="AC67" s="2362"/>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1"/>
      <c r="O68" s="2371"/>
      <c r="P68" s="2858"/>
      <c r="Q68" s="2852"/>
      <c r="R68" s="2362"/>
      <c r="S68" s="2362"/>
      <c r="T68" s="2362"/>
      <c r="U68" s="2362"/>
      <c r="V68" s="2362"/>
      <c r="W68" s="2362"/>
      <c r="X68" s="2362"/>
      <c r="Y68" s="2362"/>
      <c r="Z68" s="2362"/>
      <c r="AA68" s="2362"/>
      <c r="AB68" s="2362"/>
      <c r="AC68" s="2362"/>
    </row>
    <row r="69" spans="1:29" ht="15.75" thickTop="1">
      <c r="A69" s="876"/>
      <c r="B69" s="880" t="s">
        <v>432</v>
      </c>
      <c r="C69" s="920" t="s">
        <v>425</v>
      </c>
      <c r="D69" s="920" t="s">
        <v>426</v>
      </c>
      <c r="E69" s="920" t="s">
        <v>427</v>
      </c>
      <c r="F69" s="920" t="s">
        <v>428</v>
      </c>
      <c r="G69" s="920" t="s">
        <v>429</v>
      </c>
      <c r="H69" s="881"/>
      <c r="I69" s="881"/>
      <c r="J69" s="881"/>
      <c r="K69" s="882"/>
      <c r="L69" s="883"/>
      <c r="M69" s="884"/>
      <c r="N69" s="2370"/>
      <c r="O69" s="2370"/>
      <c r="P69" s="2858"/>
      <c r="Q69" s="2852"/>
      <c r="R69" s="2362"/>
      <c r="S69" s="2362"/>
      <c r="T69" s="2362"/>
      <c r="U69" s="2362"/>
      <c r="V69" s="2362"/>
      <c r="W69" s="2362"/>
      <c r="X69" s="2362"/>
      <c r="Y69" s="2362"/>
      <c r="Z69" s="2362"/>
      <c r="AA69" s="2362"/>
      <c r="AB69" s="2362"/>
      <c r="AC69" s="2362"/>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1"/>
      <c r="O70" s="2371"/>
      <c r="P70" s="2858"/>
      <c r="Q70" s="2852"/>
      <c r="R70" s="2362"/>
      <c r="S70" s="2362"/>
      <c r="T70" s="2362"/>
      <c r="U70" s="2362"/>
      <c r="V70" s="2362"/>
      <c r="W70" s="2362"/>
      <c r="X70" s="2362"/>
      <c r="Y70" s="2362"/>
      <c r="Z70" s="2362"/>
      <c r="AA70" s="2362"/>
      <c r="AB70" s="2362"/>
      <c r="AC70" s="2362"/>
    </row>
    <row r="71" spans="1:29" ht="15.75" thickTop="1">
      <c r="A71" s="876"/>
      <c r="B71" s="880" t="s">
        <v>433</v>
      </c>
      <c r="C71" s="896"/>
      <c r="D71" s="896"/>
      <c r="E71" s="896"/>
      <c r="F71" s="896"/>
      <c r="G71" s="896"/>
      <c r="H71" s="925"/>
      <c r="I71" s="925"/>
      <c r="J71" s="925"/>
      <c r="K71" s="926"/>
      <c r="L71" s="927"/>
      <c r="M71" s="928"/>
      <c r="N71" s="2370"/>
      <c r="O71" s="2370"/>
      <c r="P71" s="2858"/>
      <c r="Q71" s="2852"/>
      <c r="R71" s="2362"/>
      <c r="S71" s="2362"/>
      <c r="T71" s="2362"/>
      <c r="U71" s="2362"/>
      <c r="V71" s="2362"/>
      <c r="W71" s="2362"/>
      <c r="X71" s="2362"/>
      <c r="Y71" s="2362"/>
      <c r="Z71" s="2362"/>
      <c r="AA71" s="2362"/>
      <c r="AB71" s="2362"/>
      <c r="AC71" s="2362"/>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1"/>
      <c r="O72" s="2371"/>
      <c r="P72" s="2858"/>
      <c r="Q72" s="2852"/>
      <c r="R72" s="2362"/>
      <c r="S72" s="2362"/>
      <c r="T72" s="2362"/>
      <c r="U72" s="2362"/>
      <c r="V72" s="2362"/>
      <c r="W72" s="2362"/>
      <c r="X72" s="2362"/>
      <c r="Y72" s="2362"/>
      <c r="Z72" s="2362"/>
      <c r="AA72" s="2362"/>
      <c r="AB72" s="2362"/>
      <c r="AC72" s="2362"/>
    </row>
    <row r="73" spans="1:29" s="407" customFormat="1" ht="15.75" thickTop="1">
      <c r="A73" s="921"/>
      <c r="B73" s="880">
        <f>B23</f>
        <v>111</v>
      </c>
      <c r="C73" s="891"/>
      <c r="D73" s="891"/>
      <c r="E73" s="891"/>
      <c r="F73" s="891"/>
      <c r="G73" s="896"/>
      <c r="H73" s="896"/>
      <c r="I73" s="896"/>
      <c r="J73" s="896"/>
      <c r="K73" s="896"/>
      <c r="L73" s="922"/>
      <c r="M73" s="923"/>
      <c r="N73" s="2369"/>
      <c r="O73" s="2369"/>
      <c r="P73" s="2858"/>
      <c r="Q73" s="2852"/>
      <c r="R73" s="2856"/>
      <c r="S73" s="2856"/>
      <c r="T73" s="2856"/>
      <c r="U73" s="2856"/>
      <c r="V73" s="2856"/>
      <c r="W73" s="2856"/>
      <c r="X73" s="2856"/>
      <c r="Y73" s="2856"/>
      <c r="Z73" s="2856"/>
      <c r="AA73" s="2856"/>
      <c r="AB73" s="2856"/>
      <c r="AC73" s="2856"/>
    </row>
    <row r="74" spans="1:29" s="407" customFormat="1" ht="15.75" thickBot="1">
      <c r="A74" s="921"/>
      <c r="B74" s="885"/>
      <c r="C74" s="902"/>
      <c r="D74" s="878"/>
      <c r="E74" s="878"/>
      <c r="F74" s="878"/>
      <c r="G74" s="878"/>
      <c r="H74" s="878"/>
      <c r="I74" s="878"/>
      <c r="J74" s="878"/>
      <c r="K74" s="878"/>
      <c r="L74" s="878"/>
      <c r="M74" s="879"/>
      <c r="N74" s="2371"/>
      <c r="O74" s="2371"/>
      <c r="P74" s="2858"/>
      <c r="Q74" s="2852"/>
      <c r="R74" s="2856"/>
      <c r="S74" s="2856"/>
      <c r="T74" s="2856"/>
      <c r="U74" s="2856"/>
      <c r="V74" s="2856"/>
      <c r="W74" s="2856"/>
      <c r="X74" s="2856"/>
      <c r="Y74" s="2856"/>
      <c r="Z74" s="2856"/>
      <c r="AA74" s="2856"/>
      <c r="AB74" s="2856"/>
      <c r="AC74" s="2856"/>
    </row>
    <row r="75" spans="1:29" s="407" customFormat="1" ht="15.75" thickTop="1">
      <c r="A75" s="921"/>
      <c r="B75" s="880">
        <f>B24</f>
        <v>111</v>
      </c>
      <c r="C75" s="891"/>
      <c r="D75" s="891"/>
      <c r="E75" s="891"/>
      <c r="F75" s="891"/>
      <c r="G75" s="896"/>
      <c r="H75" s="896"/>
      <c r="I75" s="896"/>
      <c r="J75" s="896"/>
      <c r="K75" s="896"/>
      <c r="L75" s="896"/>
      <c r="M75" s="923"/>
      <c r="N75" s="2369"/>
      <c r="O75" s="2369"/>
      <c r="P75" s="2858"/>
      <c r="Q75" s="2852"/>
      <c r="R75" s="2856"/>
      <c r="S75" s="2856"/>
      <c r="T75" s="2856"/>
      <c r="U75" s="2856"/>
      <c r="V75" s="2856"/>
      <c r="W75" s="2856"/>
      <c r="X75" s="2856"/>
      <c r="Y75" s="2856"/>
      <c r="Z75" s="2856"/>
      <c r="AA75" s="2856"/>
      <c r="AB75" s="2856"/>
      <c r="AC75" s="2856"/>
    </row>
    <row r="76" spans="1:29" s="407" customFormat="1" ht="15.75" thickBot="1">
      <c r="A76" s="921"/>
      <c r="B76" s="885"/>
      <c r="C76" s="902"/>
      <c r="D76" s="878"/>
      <c r="E76" s="878"/>
      <c r="F76" s="878"/>
      <c r="G76" s="878"/>
      <c r="H76" s="878"/>
      <c r="I76" s="878"/>
      <c r="J76" s="878"/>
      <c r="K76" s="878"/>
      <c r="L76" s="878"/>
      <c r="M76" s="879"/>
      <c r="N76" s="2371"/>
      <c r="O76" s="2371"/>
      <c r="P76" s="2858"/>
      <c r="Q76" s="2852"/>
      <c r="R76" s="2856"/>
      <c r="S76" s="2856"/>
      <c r="T76" s="2856"/>
      <c r="U76" s="2856"/>
      <c r="V76" s="2856"/>
      <c r="W76" s="2856"/>
      <c r="X76" s="2856"/>
      <c r="Y76" s="2856"/>
      <c r="Z76" s="2856"/>
      <c r="AA76" s="2856"/>
      <c r="AB76" s="2856"/>
      <c r="AC76" s="2856"/>
    </row>
    <row r="77" spans="1:29" s="813" customFormat="1" ht="15.75" thickTop="1">
      <c r="A77" s="895"/>
      <c r="B77" s="880">
        <f>B25</f>
        <v>111</v>
      </c>
      <c r="C77" s="896"/>
      <c r="D77" s="896"/>
      <c r="E77" s="896"/>
      <c r="F77" s="896"/>
      <c r="G77" s="896"/>
      <c r="H77" s="897"/>
      <c r="I77" s="897"/>
      <c r="J77" s="897"/>
      <c r="K77" s="897"/>
      <c r="L77" s="898"/>
      <c r="M77" s="899"/>
      <c r="N77" s="2372"/>
      <c r="O77" s="2372"/>
      <c r="P77" s="2859"/>
      <c r="Q77" s="2860"/>
      <c r="R77" s="2861"/>
      <c r="S77" s="2861"/>
      <c r="T77" s="2861"/>
      <c r="U77" s="2861"/>
      <c r="V77" s="2861"/>
      <c r="W77" s="2861"/>
      <c r="X77" s="2861"/>
      <c r="Y77" s="2861"/>
      <c r="Z77" s="2861"/>
      <c r="AA77" s="2861"/>
      <c r="AB77" s="2861"/>
      <c r="AC77" s="2861"/>
    </row>
    <row r="78" spans="1:29" s="813" customFormat="1" ht="15.75" thickBot="1">
      <c r="A78" s="895"/>
      <c r="B78" s="885"/>
      <c r="C78" s="902"/>
      <c r="D78" s="902"/>
      <c r="E78" s="902"/>
      <c r="F78" s="902"/>
      <c r="G78" s="878"/>
      <c r="H78" s="878"/>
      <c r="I78" s="878"/>
      <c r="J78" s="878"/>
      <c r="K78" s="878"/>
      <c r="L78" s="878"/>
      <c r="M78" s="879"/>
      <c r="N78" s="2372"/>
      <c r="O78" s="2372"/>
      <c r="P78" s="2859"/>
      <c r="Q78" s="2860"/>
      <c r="R78" s="2861"/>
      <c r="S78" s="2861"/>
      <c r="T78" s="2861"/>
      <c r="U78" s="2861"/>
      <c r="V78" s="2861"/>
      <c r="W78" s="2861"/>
      <c r="X78" s="2861"/>
      <c r="Y78" s="2861"/>
      <c r="Z78" s="2861"/>
      <c r="AA78" s="2861"/>
      <c r="AB78" s="2861"/>
      <c r="AC78" s="2861"/>
    </row>
    <row r="79" spans="1:29" ht="27.75" thickTop="1">
      <c r="A79" s="869" t="s">
        <v>408</v>
      </c>
      <c r="B79" s="870" t="s">
        <v>467</v>
      </c>
      <c r="C79" s="871">
        <f>C26</f>
        <v>0</v>
      </c>
      <c r="D79" s="872"/>
      <c r="E79" s="872"/>
      <c r="F79" s="872"/>
      <c r="G79" s="872"/>
      <c r="H79" s="872"/>
      <c r="I79" s="872"/>
      <c r="J79" s="872"/>
      <c r="K79" s="873"/>
      <c r="L79" s="874"/>
      <c r="M79" s="875"/>
      <c r="N79" s="2370"/>
      <c r="O79" s="2370"/>
      <c r="P79" s="2858"/>
      <c r="Q79" s="2852"/>
      <c r="R79" s="2362"/>
      <c r="S79" s="2362"/>
      <c r="T79" s="2362"/>
      <c r="U79" s="2362"/>
      <c r="V79" s="2362"/>
      <c r="W79" s="2362"/>
      <c r="X79" s="2362"/>
      <c r="Y79" s="2362"/>
      <c r="Z79" s="2362"/>
      <c r="AA79" s="2362"/>
      <c r="AB79" s="2362"/>
      <c r="AC79" s="2362"/>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6"/>
      <c r="B81" s="880" t="s">
        <v>468</v>
      </c>
      <c r="C81" s="1003"/>
      <c r="D81" s="1003"/>
      <c r="E81" s="1003"/>
      <c r="F81" s="1003"/>
      <c r="G81" s="1003"/>
      <c r="H81" s="1003"/>
      <c r="I81" s="1003"/>
      <c r="J81" s="1003"/>
      <c r="K81" s="1004"/>
      <c r="L81" s="1005"/>
      <c r="M81" s="1006"/>
      <c r="N81" s="2369"/>
      <c r="O81" s="2369"/>
      <c r="P81" s="2858"/>
      <c r="Q81" s="2852"/>
      <c r="R81" s="2362"/>
      <c r="S81" s="2362"/>
      <c r="T81" s="2362"/>
      <c r="U81" s="2362"/>
      <c r="V81" s="2362"/>
      <c r="W81" s="2362"/>
      <c r="X81" s="2362"/>
      <c r="Y81" s="2362"/>
      <c r="Z81" s="2362"/>
      <c r="AA81" s="2362"/>
      <c r="AB81" s="2362"/>
      <c r="AC81" s="2362"/>
    </row>
    <row r="82" spans="1:29" s="813" customFormat="1" ht="15.75" thickBot="1">
      <c r="A82" s="895"/>
      <c r="B82" s="885"/>
      <c r="C82" s="902"/>
      <c r="D82" s="878"/>
      <c r="E82" s="878"/>
      <c r="F82" s="878"/>
      <c r="G82" s="878"/>
      <c r="H82" s="878"/>
      <c r="I82" s="878"/>
      <c r="J82" s="878"/>
      <c r="K82" s="878"/>
      <c r="L82" s="878"/>
      <c r="M82" s="879"/>
      <c r="N82" s="2371"/>
      <c r="O82" s="2371"/>
      <c r="P82" s="2859"/>
      <c r="Q82" s="2860"/>
      <c r="R82" s="2861"/>
      <c r="S82" s="2861"/>
      <c r="T82" s="2861"/>
      <c r="U82" s="2861"/>
      <c r="V82" s="2861"/>
      <c r="W82" s="2861"/>
      <c r="X82" s="2861"/>
      <c r="Y82" s="2861"/>
      <c r="Z82" s="2861"/>
      <c r="AA82" s="2861"/>
      <c r="AB82" s="2861"/>
      <c r="AC82" s="2861"/>
    </row>
    <row r="83" spans="1:29" ht="15" thickTop="1">
      <c r="A83" s="941"/>
      <c r="B83" s="880" t="s">
        <v>434</v>
      </c>
      <c r="C83" s="896"/>
      <c r="D83" s="896"/>
      <c r="E83" s="925"/>
      <c r="F83" s="925"/>
      <c r="G83" s="925"/>
      <c r="H83" s="925"/>
      <c r="I83" s="925"/>
      <c r="J83" s="925"/>
      <c r="K83" s="926"/>
      <c r="L83" s="927"/>
      <c r="M83" s="928"/>
      <c r="N83" s="2370"/>
      <c r="O83" s="2370"/>
      <c r="P83" s="2858"/>
      <c r="Q83" s="2852"/>
      <c r="R83" s="2362"/>
      <c r="S83" s="2362"/>
      <c r="T83" s="2362"/>
      <c r="U83" s="2362"/>
      <c r="V83" s="2362"/>
      <c r="W83" s="2362"/>
      <c r="X83" s="2362"/>
      <c r="Y83" s="2362"/>
      <c r="Z83" s="2362"/>
      <c r="AA83" s="2362"/>
      <c r="AB83" s="2362"/>
      <c r="AC83" s="2362"/>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0"/>
      <c r="O85" s="2370"/>
      <c r="P85" s="2858"/>
      <c r="Q85" s="2852"/>
      <c r="R85" s="2362"/>
      <c r="S85" s="2362"/>
      <c r="T85" s="2362"/>
      <c r="U85" s="2362"/>
      <c r="V85" s="2362"/>
      <c r="W85" s="2362"/>
      <c r="X85" s="2362"/>
      <c r="Y85" s="2362"/>
      <c r="Z85" s="2362"/>
      <c r="AA85" s="2362"/>
      <c r="AB85" s="2362"/>
      <c r="AC85" s="2362"/>
    </row>
    <row r="86" spans="1:29">
      <c r="A86" s="941"/>
      <c r="B86" s="888"/>
      <c r="C86" s="945">
        <v>0.5</v>
      </c>
      <c r="D86" s="945">
        <v>0.6</v>
      </c>
      <c r="E86" s="945">
        <v>0.7</v>
      </c>
      <c r="F86" s="945">
        <v>0.8</v>
      </c>
      <c r="G86" s="945">
        <v>0.9</v>
      </c>
      <c r="H86" s="945">
        <v>1.0001</v>
      </c>
      <c r="I86" s="965"/>
      <c r="J86" s="965"/>
      <c r="K86" s="966"/>
      <c r="L86" s="967"/>
      <c r="M86" s="968"/>
      <c r="N86" s="2370"/>
      <c r="O86" s="2370"/>
      <c r="P86" s="2858"/>
      <c r="Q86" s="2852"/>
      <c r="R86" s="2362"/>
      <c r="S86" s="2362"/>
      <c r="T86" s="2362"/>
      <c r="U86" s="2362"/>
      <c r="V86" s="2362"/>
      <c r="W86" s="2362"/>
      <c r="X86" s="2362"/>
      <c r="Y86" s="2362"/>
      <c r="Z86" s="2362"/>
      <c r="AA86" s="2362"/>
      <c r="AB86" s="2362"/>
      <c r="AC86" s="2362"/>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1"/>
      <c r="B88" s="888" t="s">
        <v>470</v>
      </c>
      <c r="C88" s="872"/>
      <c r="D88" s="872"/>
      <c r="E88" s="872"/>
      <c r="F88" s="872"/>
      <c r="G88" s="872"/>
      <c r="H88" s="872"/>
      <c r="I88" s="872"/>
      <c r="J88" s="872"/>
      <c r="K88" s="873"/>
      <c r="L88" s="874"/>
      <c r="M88" s="875"/>
      <c r="N88" s="2370"/>
      <c r="O88" s="2370"/>
      <c r="P88" s="2858"/>
      <c r="Q88" s="2852"/>
      <c r="R88" s="2362"/>
      <c r="S88" s="2362"/>
      <c r="T88" s="2362"/>
      <c r="U88" s="2362"/>
      <c r="V88" s="2362"/>
      <c r="W88" s="2362"/>
      <c r="X88" s="2362"/>
      <c r="Y88" s="2362"/>
      <c r="Z88" s="2362"/>
      <c r="AA88" s="2362"/>
      <c r="AB88" s="2362"/>
      <c r="AC88" s="2362"/>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1"/>
      <c r="O89" s="2371"/>
      <c r="P89" s="2858"/>
      <c r="Q89" s="2852"/>
      <c r="R89" s="2362"/>
      <c r="S89" s="2362"/>
      <c r="T89" s="2362"/>
      <c r="U89" s="2362"/>
      <c r="V89" s="2362"/>
      <c r="W89" s="2362"/>
      <c r="X89" s="2362"/>
      <c r="Y89" s="2362"/>
      <c r="Z89" s="2362"/>
      <c r="AA89" s="2362"/>
      <c r="AB89" s="2362"/>
      <c r="AC89" s="2362"/>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2"/>
      <c r="O90" s="2372"/>
      <c r="P90" s="2859"/>
      <c r="Q90" s="2860"/>
      <c r="R90" s="2861"/>
      <c r="S90" s="2861"/>
      <c r="T90" s="2861"/>
      <c r="U90" s="2861"/>
      <c r="V90" s="2861"/>
      <c r="W90" s="2861"/>
      <c r="X90" s="2861"/>
      <c r="Y90" s="2861"/>
      <c r="Z90" s="2861"/>
      <c r="AA90" s="2861"/>
      <c r="AB90" s="2861"/>
      <c r="AC90" s="2861"/>
    </row>
    <row r="91" spans="1:29" s="813" customFormat="1">
      <c r="A91" s="935"/>
      <c r="B91" s="888"/>
      <c r="C91" s="937"/>
      <c r="D91" s="937"/>
      <c r="E91" s="937"/>
      <c r="F91" s="937"/>
      <c r="G91" s="937"/>
      <c r="H91" s="937"/>
      <c r="I91" s="937"/>
      <c r="J91" s="938"/>
      <c r="K91" s="938"/>
      <c r="L91" s="939"/>
      <c r="M91" s="940"/>
      <c r="N91" s="2372"/>
      <c r="O91" s="2372"/>
      <c r="P91" s="2859"/>
      <c r="Q91" s="2860"/>
      <c r="R91" s="2861"/>
      <c r="S91" s="2861"/>
      <c r="T91" s="2861"/>
      <c r="U91" s="2861"/>
      <c r="V91" s="2861"/>
      <c r="W91" s="2861"/>
      <c r="X91" s="2861"/>
      <c r="Y91" s="2861"/>
      <c r="Z91" s="2861"/>
      <c r="AA91" s="2861"/>
      <c r="AB91" s="2861"/>
      <c r="AC91" s="2861"/>
    </row>
    <row r="92" spans="1:29" s="813" customFormat="1" ht="15.75" thickBot="1">
      <c r="A92" s="895"/>
      <c r="B92" s="885"/>
      <c r="C92" s="902"/>
      <c r="D92" s="878"/>
      <c r="E92" s="878"/>
      <c r="F92" s="878"/>
      <c r="G92" s="878"/>
      <c r="H92" s="878"/>
      <c r="I92" s="878"/>
      <c r="J92" s="878"/>
      <c r="K92" s="878"/>
      <c r="L92" s="878"/>
      <c r="M92" s="879"/>
      <c r="N92" s="2372"/>
      <c r="O92" s="2372"/>
      <c r="P92" s="2859"/>
      <c r="Q92" s="2860"/>
      <c r="R92" s="2861"/>
      <c r="S92" s="2861"/>
      <c r="T92" s="2861"/>
      <c r="U92" s="2861"/>
      <c r="V92" s="2861"/>
      <c r="W92" s="2861"/>
      <c r="X92" s="2861"/>
      <c r="Y92" s="2861"/>
      <c r="Z92" s="2861"/>
      <c r="AA92" s="2861"/>
      <c r="AB92" s="2861"/>
      <c r="AC92" s="2861"/>
    </row>
    <row r="93" spans="1:29" ht="15" thickTop="1">
      <c r="A93" s="941"/>
      <c r="B93" s="880" t="s">
        <v>472</v>
      </c>
      <c r="C93" s="896"/>
      <c r="D93" s="896"/>
      <c r="E93" s="925"/>
      <c r="F93" s="925"/>
      <c r="G93" s="925"/>
      <c r="H93" s="925"/>
      <c r="I93" s="925"/>
      <c r="J93" s="925"/>
      <c r="K93" s="926"/>
      <c r="L93" s="927"/>
      <c r="M93" s="928"/>
      <c r="N93" s="2370"/>
      <c r="O93" s="2370"/>
      <c r="P93" s="2858"/>
      <c r="Q93" s="2852"/>
      <c r="R93" s="2362"/>
      <c r="S93" s="2362"/>
      <c r="T93" s="2362"/>
      <c r="U93" s="2362"/>
      <c r="V93" s="2362"/>
      <c r="W93" s="2362"/>
      <c r="X93" s="2362"/>
      <c r="Y93" s="2362"/>
      <c r="Z93" s="2362"/>
      <c r="AA93" s="2362"/>
      <c r="AB93" s="2362"/>
      <c r="AC93" s="2362"/>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1"/>
      <c r="B95" s="880" t="s">
        <v>473</v>
      </c>
      <c r="C95" s="872"/>
      <c r="D95" s="872"/>
      <c r="E95" s="872"/>
      <c r="F95" s="872"/>
      <c r="G95" s="872"/>
      <c r="H95" s="872"/>
      <c r="I95" s="872"/>
      <c r="J95" s="872"/>
      <c r="K95" s="873"/>
      <c r="L95" s="874"/>
      <c r="M95" s="875"/>
      <c r="N95" s="2370"/>
      <c r="O95" s="2370"/>
      <c r="P95" s="2858"/>
      <c r="Q95" s="2852"/>
      <c r="R95" s="2362"/>
      <c r="S95" s="2362"/>
      <c r="T95" s="2362"/>
      <c r="U95" s="2362"/>
      <c r="V95" s="2362"/>
      <c r="W95" s="2362"/>
      <c r="X95" s="2362"/>
      <c r="Y95" s="2362"/>
      <c r="Z95" s="2362"/>
      <c r="AA95" s="2362"/>
      <c r="AB95" s="2362"/>
      <c r="AC95" s="2362"/>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1"/>
      <c r="O96" s="2371"/>
      <c r="P96" s="2858"/>
      <c r="Q96" s="2852"/>
      <c r="R96" s="2362"/>
      <c r="S96" s="2362"/>
      <c r="T96" s="2362"/>
      <c r="U96" s="2362"/>
      <c r="V96" s="2362"/>
      <c r="W96" s="2362"/>
      <c r="X96" s="2362"/>
      <c r="Y96" s="2362"/>
      <c r="Z96" s="2362"/>
      <c r="AA96" s="2362"/>
      <c r="AB96" s="2362"/>
      <c r="AC96" s="2362"/>
    </row>
    <row r="97" spans="1:29" ht="15" thickTop="1">
      <c r="A97" s="941"/>
      <c r="B97" s="978">
        <f>B34</f>
        <v>111</v>
      </c>
      <c r="C97" s="891"/>
      <c r="D97" s="891"/>
      <c r="E97" s="891"/>
      <c r="F97" s="891"/>
      <c r="G97" s="896"/>
      <c r="H97" s="897"/>
      <c r="I97" s="897"/>
      <c r="J97" s="897"/>
      <c r="K97" s="897"/>
      <c r="L97" s="898"/>
      <c r="M97" s="899"/>
      <c r="N97" s="2371"/>
      <c r="O97" s="2371"/>
      <c r="P97" s="2865"/>
      <c r="Q97" s="2866"/>
      <c r="R97" s="2362"/>
      <c r="S97" s="2362"/>
      <c r="T97" s="2362"/>
      <c r="U97" s="2362"/>
      <c r="V97" s="2362"/>
      <c r="W97" s="2362"/>
      <c r="X97" s="2362"/>
      <c r="Y97" s="2362"/>
      <c r="Z97" s="2362"/>
      <c r="AA97" s="2362"/>
      <c r="AB97" s="2362"/>
      <c r="AC97" s="2362"/>
    </row>
    <row r="98" spans="1:29" ht="15.75" thickBot="1">
      <c r="A98" s="876"/>
      <c r="B98" s="885"/>
      <c r="C98" s="902"/>
      <c r="D98" s="878"/>
      <c r="E98" s="878"/>
      <c r="F98" s="878"/>
      <c r="G98" s="902"/>
      <c r="H98" s="904"/>
      <c r="I98" s="904"/>
      <c r="J98" s="904"/>
      <c r="K98" s="904"/>
      <c r="L98" s="904"/>
      <c r="M98" s="905"/>
      <c r="N98" s="2371"/>
      <c r="O98" s="2371"/>
      <c r="P98" s="2858"/>
      <c r="Q98" s="2852"/>
      <c r="R98" s="2362"/>
      <c r="S98" s="2362"/>
      <c r="T98" s="2362"/>
      <c r="U98" s="2362"/>
      <c r="V98" s="2362"/>
      <c r="W98" s="2362"/>
      <c r="X98" s="2362"/>
      <c r="Y98" s="2362"/>
      <c r="Z98" s="2362"/>
      <c r="AA98" s="2362"/>
      <c r="AB98" s="2362"/>
      <c r="AC98" s="2362"/>
    </row>
    <row r="99" spans="1:29" s="813" customFormat="1" ht="15" thickTop="1">
      <c r="A99" s="935"/>
      <c r="B99" s="880">
        <f>B35</f>
        <v>111</v>
      </c>
      <c r="C99" s="891"/>
      <c r="D99" s="891"/>
      <c r="E99" s="891"/>
      <c r="F99" s="891"/>
      <c r="G99" s="896"/>
      <c r="H99" s="897"/>
      <c r="I99" s="897"/>
      <c r="J99" s="897"/>
      <c r="K99" s="897"/>
      <c r="L99" s="898"/>
      <c r="M99" s="899"/>
      <c r="N99" s="2372"/>
      <c r="O99" s="2372"/>
      <c r="P99" s="2859"/>
      <c r="Q99" s="2860"/>
      <c r="R99" s="2861"/>
      <c r="S99" s="2861"/>
      <c r="T99" s="2861"/>
      <c r="U99" s="2861"/>
      <c r="V99" s="2861"/>
      <c r="W99" s="2861"/>
      <c r="X99" s="2861"/>
      <c r="Y99" s="2861"/>
      <c r="Z99" s="2861"/>
      <c r="AA99" s="2861"/>
      <c r="AB99" s="2861"/>
      <c r="AC99" s="2861"/>
    </row>
    <row r="100" spans="1:29" s="813" customFormat="1" ht="15.75" thickBot="1">
      <c r="A100" s="895"/>
      <c r="B100" s="877"/>
      <c r="C100" s="902"/>
      <c r="D100" s="878"/>
      <c r="E100" s="878"/>
      <c r="F100" s="878"/>
      <c r="G100" s="902"/>
      <c r="H100" s="904"/>
      <c r="I100" s="904"/>
      <c r="J100" s="904"/>
      <c r="K100" s="904"/>
      <c r="L100" s="904"/>
      <c r="M100" s="905"/>
      <c r="N100" s="2372"/>
      <c r="O100" s="2372"/>
      <c r="P100" s="2859"/>
      <c r="Q100" s="2860"/>
      <c r="R100" s="2861"/>
      <c r="S100" s="2861"/>
      <c r="T100" s="2861"/>
      <c r="U100" s="2861"/>
      <c r="V100" s="2861"/>
      <c r="W100" s="2861"/>
      <c r="X100" s="2861"/>
      <c r="Y100" s="2861"/>
      <c r="Z100" s="2861"/>
      <c r="AA100" s="2861"/>
      <c r="AB100" s="2861"/>
      <c r="AC100" s="2861"/>
    </row>
    <row r="101" spans="1:29" ht="15" thickTop="1">
      <c r="A101" s="941"/>
      <c r="B101" s="880">
        <f>B36</f>
        <v>111</v>
      </c>
      <c r="C101" s="896"/>
      <c r="D101" s="896"/>
      <c r="E101" s="896"/>
      <c r="F101" s="896"/>
      <c r="G101" s="896"/>
      <c r="H101" s="897"/>
      <c r="I101" s="897"/>
      <c r="J101" s="897"/>
      <c r="K101" s="897"/>
      <c r="L101" s="898"/>
      <c r="M101" s="899"/>
      <c r="N101" s="2370"/>
      <c r="O101" s="2370"/>
      <c r="P101" s="2858"/>
      <c r="Q101" s="2852"/>
      <c r="R101" s="2362"/>
      <c r="S101" s="2362"/>
      <c r="T101" s="2362"/>
      <c r="U101" s="2362"/>
      <c r="V101" s="2362"/>
      <c r="W101" s="2362"/>
      <c r="X101" s="2362"/>
      <c r="Y101" s="2362"/>
      <c r="Z101" s="2362"/>
      <c r="AA101" s="2362"/>
      <c r="AB101" s="2362"/>
      <c r="AC101" s="2362"/>
    </row>
    <row r="102" spans="1:29" ht="15.75" thickBot="1">
      <c r="A102" s="876"/>
      <c r="B102" s="885"/>
      <c r="C102" s="902"/>
      <c r="D102" s="902"/>
      <c r="E102" s="902"/>
      <c r="F102" s="902"/>
      <c r="G102" s="902"/>
      <c r="H102" s="904"/>
      <c r="I102" s="904"/>
      <c r="J102" s="904"/>
      <c r="K102" s="904"/>
      <c r="L102" s="904"/>
      <c r="M102" s="905"/>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345</v>
      </c>
      <c r="B2" s="1079" t="e">
        <f>F61</f>
        <v>#DIV/0!</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346</v>
      </c>
      <c r="B3" s="951" t="e">
        <f>ROUND(IF(D3="",B2*10000/'数据-汇总表'!E3,B2*10000/D3),0)</f>
        <v>#DIV/0!</v>
      </c>
      <c r="C3" s="579" t="s">
        <v>2892</v>
      </c>
      <c r="D3" s="3057"/>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390</v>
      </c>
      <c r="B4" s="745"/>
      <c r="C4" s="3677" t="s">
        <v>391</v>
      </c>
      <c r="D4" s="3678"/>
      <c r="E4" s="3679" t="s">
        <v>392</v>
      </c>
      <c r="F4" s="3680"/>
      <c r="G4" s="3677" t="s">
        <v>393</v>
      </c>
      <c r="H4" s="3678"/>
      <c r="I4" s="3677" t="s">
        <v>394</v>
      </c>
      <c r="J4" s="3678"/>
      <c r="K4" s="952" t="s">
        <v>395</v>
      </c>
      <c r="L4" s="2348"/>
      <c r="M4" s="2349"/>
      <c r="N4" s="2349"/>
      <c r="O4" s="2349"/>
      <c r="P4" s="3681" t="s">
        <v>396</v>
      </c>
      <c r="Q4" s="3682"/>
      <c r="R4" s="3687" t="s">
        <v>392</v>
      </c>
      <c r="S4" s="3688"/>
      <c r="T4" s="3687" t="s">
        <v>393</v>
      </c>
      <c r="U4" s="3688"/>
      <c r="V4" s="3693" t="s">
        <v>394</v>
      </c>
      <c r="W4" s="3693"/>
      <c r="X4" s="1317"/>
      <c r="Y4" s="3687" t="s">
        <v>396</v>
      </c>
      <c r="Z4" s="3688"/>
      <c r="AA4" s="3674" t="s">
        <v>392</v>
      </c>
      <c r="AB4" s="3675" t="s">
        <v>393</v>
      </c>
      <c r="AC4" s="3674" t="s">
        <v>394</v>
      </c>
    </row>
    <row r="5" spans="1:29" ht="15">
      <c r="A5" s="747"/>
      <c r="B5" s="748"/>
      <c r="C5" s="3607" t="s">
        <v>1131</v>
      </c>
      <c r="D5" s="3608"/>
      <c r="E5" s="3614" t="s">
        <v>1132</v>
      </c>
      <c r="F5" s="3615"/>
      <c r="G5" s="3607" t="s">
        <v>1135</v>
      </c>
      <c r="H5" s="3608"/>
      <c r="I5" s="3607" t="s">
        <v>1133</v>
      </c>
      <c r="J5" s="3608"/>
      <c r="K5" s="952"/>
      <c r="L5" s="2348"/>
      <c r="M5" s="2349"/>
      <c r="N5" s="2349"/>
      <c r="O5" s="2349"/>
      <c r="P5" s="3683"/>
      <c r="Q5" s="3684"/>
      <c r="R5" s="3689"/>
      <c r="S5" s="3690"/>
      <c r="T5" s="3689"/>
      <c r="U5" s="3690"/>
      <c r="V5" s="3693"/>
      <c r="W5" s="3693"/>
      <c r="X5" s="1317"/>
      <c r="Y5" s="3689"/>
      <c r="Z5" s="3690"/>
      <c r="AA5" s="3675"/>
      <c r="AB5" s="3675"/>
      <c r="AC5" s="3675"/>
    </row>
    <row r="6" spans="1:29" ht="15.75" thickBot="1">
      <c r="A6" s="749"/>
      <c r="B6" s="750"/>
      <c r="C6" s="3710" t="s">
        <v>1134</v>
      </c>
      <c r="D6" s="3711"/>
      <c r="E6" s="3712" t="s">
        <v>1134</v>
      </c>
      <c r="F6" s="3713"/>
      <c r="G6" s="3710" t="s">
        <v>1134</v>
      </c>
      <c r="H6" s="3711"/>
      <c r="I6" s="3710" t="s">
        <v>1134</v>
      </c>
      <c r="J6" s="3711"/>
      <c r="K6" s="952" t="s">
        <v>397</v>
      </c>
      <c r="L6" s="2348"/>
      <c r="M6" s="2349"/>
      <c r="N6" s="2349"/>
      <c r="O6" s="2349"/>
      <c r="P6" s="3685"/>
      <c r="Q6" s="3686"/>
      <c r="R6" s="3689"/>
      <c r="S6" s="3690"/>
      <c r="T6" s="3691"/>
      <c r="U6" s="3692"/>
      <c r="V6" s="3693"/>
      <c r="W6" s="3693"/>
      <c r="X6" s="1317"/>
      <c r="Y6" s="3691"/>
      <c r="Z6" s="3692"/>
      <c r="AA6" s="3676"/>
      <c r="AB6" s="3676"/>
      <c r="AC6" s="3676"/>
    </row>
    <row r="7" spans="1:29" s="407" customFormat="1" ht="15.75" thickBot="1">
      <c r="A7" s="751" t="s">
        <v>398</v>
      </c>
      <c r="B7" s="752"/>
      <c r="C7" s="753">
        <f>'数据-取费表'!B2</f>
        <v>43040</v>
      </c>
      <c r="D7" s="754">
        <v>100</v>
      </c>
      <c r="E7" s="1016"/>
      <c r="F7" s="756">
        <f>SUMIF(65:65,YEAR(E7)&amp;"-"&amp;INT((MONTH(E7)+2)/3),66:66)</f>
        <v>0</v>
      </c>
      <c r="G7" s="1017"/>
      <c r="H7" s="754">
        <f>SUMIF(65:65,YEAR(G7)&amp;"-"&amp;INT((MONTH(G7)+2)/3),66:66)</f>
        <v>0</v>
      </c>
      <c r="I7" s="1017"/>
      <c r="J7" s="754">
        <f>SUMIF(65:65,YEAR(I7)&amp;"-"&amp;INT((MONTH(I7)+2)/3),66:66)</f>
        <v>0</v>
      </c>
      <c r="K7" s="953"/>
      <c r="L7" s="2350"/>
      <c r="M7" s="2351"/>
      <c r="N7" s="2351"/>
      <c r="O7" s="2351"/>
      <c r="P7" s="3698" t="s">
        <v>399</v>
      </c>
      <c r="Q7" s="3700"/>
      <c r="R7" s="1318" t="s">
        <v>65</v>
      </c>
      <c r="S7" s="1319">
        <f t="shared" ref="S7:S15" si="0">F7</f>
        <v>0</v>
      </c>
      <c r="T7" s="1318" t="s">
        <v>65</v>
      </c>
      <c r="U7" s="1319">
        <f t="shared" ref="U7:U15" si="1">H7</f>
        <v>0</v>
      </c>
      <c r="V7" s="1318" t="s">
        <v>65</v>
      </c>
      <c r="W7" s="1319">
        <f t="shared" ref="W7:W15" si="2">J7</f>
        <v>0</v>
      </c>
      <c r="X7" s="1320"/>
      <c r="Y7" s="3698" t="s">
        <v>399</v>
      </c>
      <c r="Z7" s="3699"/>
      <c r="AA7" s="1321" t="e">
        <f>D7/F7</f>
        <v>#DIV/0!</v>
      </c>
      <c r="AB7" s="1321" t="e">
        <f>D7/H7</f>
        <v>#DIV/0!</v>
      </c>
      <c r="AC7" s="1321" t="e">
        <f>D7/J7</f>
        <v>#DIV/0!</v>
      </c>
    </row>
    <row r="8" spans="1:29" s="407" customFormat="1" ht="15.75" thickBot="1">
      <c r="A8" s="751" t="s">
        <v>400</v>
      </c>
      <c r="B8" s="752"/>
      <c r="C8" s="1019" t="s">
        <v>155</v>
      </c>
      <c r="D8" s="754">
        <v>100</v>
      </c>
      <c r="E8" s="1019"/>
      <c r="F8" s="756">
        <f>SUMIF(68:68,E8,69:69)-SUMIF(68:68,C8,69:69)+100</f>
        <v>0</v>
      </c>
      <c r="G8" s="1019"/>
      <c r="H8" s="754">
        <f>SUMIF(68:68,G8,69:69)-SUMIF(68:68,C8,69:69)+100</f>
        <v>0</v>
      </c>
      <c r="I8" s="1019"/>
      <c r="J8" s="754">
        <f>SUMIF(68:68,I8,69:69)-SUMIF(68:68,C8,69:69)+100</f>
        <v>0</v>
      </c>
      <c r="K8" s="953"/>
      <c r="L8" s="2350"/>
      <c r="M8" s="2351"/>
      <c r="N8" s="2351"/>
      <c r="O8" s="2351"/>
      <c r="P8" s="3698" t="s">
        <v>435</v>
      </c>
      <c r="Q8" s="3699"/>
      <c r="R8" s="1318" t="s">
        <v>65</v>
      </c>
      <c r="S8" s="1319">
        <f t="shared" si="0"/>
        <v>0</v>
      </c>
      <c r="T8" s="1318" t="s">
        <v>65</v>
      </c>
      <c r="U8" s="1319">
        <f t="shared" si="1"/>
        <v>0</v>
      </c>
      <c r="V8" s="1318" t="s">
        <v>65</v>
      </c>
      <c r="W8" s="1319">
        <f t="shared" si="2"/>
        <v>0</v>
      </c>
      <c r="X8" s="1320"/>
      <c r="Y8" s="3698" t="s">
        <v>435</v>
      </c>
      <c r="Z8" s="3699"/>
      <c r="AA8" s="1321" t="e">
        <f t="shared" ref="AA8:AA40" si="3">D8/F8</f>
        <v>#DIV/0!</v>
      </c>
      <c r="AB8" s="1321" t="e">
        <f t="shared" ref="AB8:AB40" si="4">D8/H8</f>
        <v>#DIV/0!</v>
      </c>
      <c r="AC8" s="1321" t="e">
        <f t="shared" ref="AC8:AC40" si="5">D8/J8</f>
        <v>#DIV/0!</v>
      </c>
    </row>
    <row r="9" spans="1:29" s="407" customFormat="1">
      <c r="A9" s="758"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50"/>
      <c r="M9" s="2351"/>
      <c r="N9" s="2351"/>
      <c r="O9" s="2352"/>
      <c r="P9" s="3665" t="s">
        <v>402</v>
      </c>
      <c r="Q9" s="296" t="str">
        <f t="shared" ref="Q9:Q15" si="6">B9</f>
        <v>用途</v>
      </c>
      <c r="R9" s="1318" t="s">
        <v>65</v>
      </c>
      <c r="S9" s="1319">
        <f t="shared" si="0"/>
        <v>100</v>
      </c>
      <c r="T9" s="1318" t="s">
        <v>65</v>
      </c>
      <c r="U9" s="1319">
        <f t="shared" si="1"/>
        <v>100</v>
      </c>
      <c r="V9" s="1318" t="s">
        <v>65</v>
      </c>
      <c r="W9" s="1319">
        <f t="shared" si="2"/>
        <v>100</v>
      </c>
      <c r="X9" s="1320"/>
      <c r="Y9" s="3469" t="s">
        <v>403</v>
      </c>
      <c r="Z9" s="344" t="str">
        <f t="shared" ref="Z9:Z15" si="7">Q9</f>
        <v>用途</v>
      </c>
      <c r="AA9" s="1321">
        <f t="shared" si="3"/>
        <v>1</v>
      </c>
      <c r="AB9" s="1321">
        <f t="shared" si="4"/>
        <v>1</v>
      </c>
      <c r="AC9" s="1321">
        <f t="shared" si="5"/>
        <v>1</v>
      </c>
    </row>
    <row r="10" spans="1:29" s="769" customFormat="1" ht="27">
      <c r="A10" s="763"/>
      <c r="B10" s="764" t="s">
        <v>404</v>
      </c>
      <c r="C10" s="1023"/>
      <c r="D10" s="426">
        <v>100</v>
      </c>
      <c r="E10" s="1023"/>
      <c r="F10" s="426">
        <f>ROUND(100/'数据-取费表'!G16,0)</f>
        <v>114</v>
      </c>
      <c r="G10" s="1023"/>
      <c r="H10" s="426">
        <f>ROUND(100/'数据-取费表'!G16,0)</f>
        <v>114</v>
      </c>
      <c r="I10" s="1023"/>
      <c r="J10" s="426">
        <f>ROUND(100/'数据-取费表'!G16,0)</f>
        <v>114</v>
      </c>
      <c r="K10" s="1080"/>
      <c r="L10" s="2353"/>
      <c r="M10" s="2354"/>
      <c r="N10" s="2354"/>
      <c r="O10" s="2355"/>
      <c r="P10" s="3665"/>
      <c r="Q10" s="296" t="str">
        <f t="shared" si="6"/>
        <v>土地使用年限（年）</v>
      </c>
      <c r="R10" s="1318" t="s">
        <v>65</v>
      </c>
      <c r="S10" s="1319">
        <f t="shared" si="0"/>
        <v>114</v>
      </c>
      <c r="T10" s="1318" t="s">
        <v>65</v>
      </c>
      <c r="U10" s="1319">
        <f t="shared" si="1"/>
        <v>114</v>
      </c>
      <c r="V10" s="1318" t="s">
        <v>65</v>
      </c>
      <c r="W10" s="1319">
        <f t="shared" si="2"/>
        <v>114</v>
      </c>
      <c r="X10" s="1320"/>
      <c r="Y10" s="3469"/>
      <c r="Z10" s="344" t="str">
        <f t="shared" si="7"/>
        <v>土地使用年限（年）</v>
      </c>
      <c r="AA10" s="1321">
        <f t="shared" si="3"/>
        <v>0.8771929824561403</v>
      </c>
      <c r="AB10" s="1321">
        <f t="shared" si="4"/>
        <v>0.8771929824561403</v>
      </c>
      <c r="AC10" s="1321">
        <f t="shared" si="5"/>
        <v>0.8771929824561403</v>
      </c>
    </row>
    <row r="11" spans="1:29" ht="15">
      <c r="A11" s="770"/>
      <c r="B11" s="764" t="s">
        <v>405</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6"/>
      <c r="M11" s="2349"/>
      <c r="N11" s="2349"/>
      <c r="O11" s="2357"/>
      <c r="P11" s="3665"/>
      <c r="Q11" s="296" t="str">
        <f t="shared" si="6"/>
        <v>容积率</v>
      </c>
      <c r="R11" s="1318" t="s">
        <v>65</v>
      </c>
      <c r="S11" s="1319" t="e">
        <f t="shared" si="0"/>
        <v>#N/A</v>
      </c>
      <c r="T11" s="1318" t="s">
        <v>65</v>
      </c>
      <c r="U11" s="1319" t="e">
        <f t="shared" si="1"/>
        <v>#N/A</v>
      </c>
      <c r="V11" s="1318" t="s">
        <v>65</v>
      </c>
      <c r="W11" s="1319" t="e">
        <f t="shared" si="2"/>
        <v>#N/A</v>
      </c>
      <c r="X11" s="1320"/>
      <c r="Y11" s="3469"/>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50"/>
      <c r="M12" s="2351"/>
      <c r="N12" s="2351"/>
      <c r="O12" s="2352"/>
      <c r="P12" s="3665"/>
      <c r="Q12" s="296">
        <f t="shared" si="6"/>
        <v>111</v>
      </c>
      <c r="R12" s="1318" t="s">
        <v>65</v>
      </c>
      <c r="S12" s="1319">
        <f t="shared" si="0"/>
        <v>100</v>
      </c>
      <c r="T12" s="1318" t="s">
        <v>65</v>
      </c>
      <c r="U12" s="1319">
        <f t="shared" si="1"/>
        <v>100</v>
      </c>
      <c r="V12" s="1318" t="s">
        <v>65</v>
      </c>
      <c r="W12" s="1319">
        <f t="shared" si="2"/>
        <v>100</v>
      </c>
      <c r="X12" s="1320"/>
      <c r="Y12" s="3469"/>
      <c r="Z12" s="344">
        <f t="shared" si="7"/>
        <v>111</v>
      </c>
      <c r="AA12" s="1321">
        <f>D12/F12</f>
        <v>1</v>
      </c>
      <c r="AB12" s="1321">
        <f>D12/H12</f>
        <v>1</v>
      </c>
      <c r="AC12" s="1321">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8"/>
      <c r="M13" s="2349"/>
      <c r="N13" s="2349"/>
      <c r="O13" s="2357"/>
      <c r="P13" s="3665"/>
      <c r="Q13" s="296">
        <f t="shared" si="6"/>
        <v>111</v>
      </c>
      <c r="R13" s="1318" t="s">
        <v>65</v>
      </c>
      <c r="S13" s="1319">
        <f t="shared" si="0"/>
        <v>100</v>
      </c>
      <c r="T13" s="1318" t="s">
        <v>65</v>
      </c>
      <c r="U13" s="1319">
        <f t="shared" si="1"/>
        <v>100</v>
      </c>
      <c r="V13" s="1318" t="s">
        <v>65</v>
      </c>
      <c r="W13" s="1319">
        <f t="shared" si="2"/>
        <v>100</v>
      </c>
      <c r="X13" s="1320"/>
      <c r="Y13" s="3469"/>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8"/>
      <c r="M14" s="2349"/>
      <c r="N14" s="2349"/>
      <c r="O14" s="2357"/>
      <c r="P14" s="3665"/>
      <c r="Q14" s="296">
        <f t="shared" si="6"/>
        <v>111</v>
      </c>
      <c r="R14" s="1318" t="s">
        <v>65</v>
      </c>
      <c r="S14" s="1319">
        <f t="shared" si="0"/>
        <v>100</v>
      </c>
      <c r="T14" s="1318" t="s">
        <v>65</v>
      </c>
      <c r="U14" s="1319">
        <f t="shared" si="1"/>
        <v>100</v>
      </c>
      <c r="V14" s="1318" t="s">
        <v>65</v>
      </c>
      <c r="W14" s="1319">
        <f t="shared" si="2"/>
        <v>100</v>
      </c>
      <c r="X14" s="1320"/>
      <c r="Y14" s="3469"/>
      <c r="Z14" s="344">
        <f t="shared" si="7"/>
        <v>111</v>
      </c>
      <c r="AA14" s="1321">
        <f t="shared" si="3"/>
        <v>1</v>
      </c>
      <c r="AB14" s="1321">
        <f t="shared" si="4"/>
        <v>1</v>
      </c>
      <c r="AC14" s="1321">
        <f t="shared" si="5"/>
        <v>1</v>
      </c>
    </row>
    <row r="15" spans="1:29" ht="67.5">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8"/>
      <c r="M15" s="2349"/>
      <c r="N15" s="2349"/>
      <c r="O15" s="2357"/>
      <c r="P15" s="3670" t="s">
        <v>407</v>
      </c>
      <c r="Q15" s="1322" t="str">
        <f t="shared" si="6"/>
        <v>产业集聚程度</v>
      </c>
      <c r="R15" s="1323" t="s">
        <v>65</v>
      </c>
      <c r="S15" s="1324">
        <f t="shared" si="0"/>
        <v>100</v>
      </c>
      <c r="T15" s="1323" t="s">
        <v>65</v>
      </c>
      <c r="U15" s="1324">
        <f t="shared" si="1"/>
        <v>100</v>
      </c>
      <c r="V15" s="1323" t="s">
        <v>65</v>
      </c>
      <c r="W15" s="1324">
        <f t="shared" si="2"/>
        <v>100</v>
      </c>
      <c r="X15" s="1317"/>
      <c r="Y15" s="3670"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8"/>
      <c r="M16" s="2349"/>
      <c r="N16" s="2349"/>
      <c r="O16" s="2357"/>
      <c r="P16" s="3671"/>
      <c r="Q16" s="1322"/>
      <c r="R16" s="1323"/>
      <c r="S16" s="1324"/>
      <c r="T16" s="1323"/>
      <c r="U16" s="1324"/>
      <c r="V16" s="1323"/>
      <c r="W16" s="1324"/>
      <c r="X16" s="1317"/>
      <c r="Y16" s="3671"/>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8"/>
      <c r="M17" s="2349"/>
      <c r="N17" s="2349"/>
      <c r="O17" s="2357"/>
      <c r="P17" s="3671"/>
      <c r="Q17" s="1322" t="str">
        <f>B17</f>
        <v>交通便捷度</v>
      </c>
      <c r="R17" s="1323" t="s">
        <v>65</v>
      </c>
      <c r="S17" s="1324">
        <f>F17</f>
        <v>100</v>
      </c>
      <c r="T17" s="1323" t="s">
        <v>65</v>
      </c>
      <c r="U17" s="1324">
        <f>H17</f>
        <v>100</v>
      </c>
      <c r="V17" s="1323" t="s">
        <v>65</v>
      </c>
      <c r="W17" s="1324">
        <f>J17</f>
        <v>100</v>
      </c>
      <c r="X17" s="1317"/>
      <c r="Y17" s="3671"/>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8"/>
      <c r="M18" s="2349"/>
      <c r="N18" s="2349"/>
      <c r="O18" s="2357"/>
      <c r="P18" s="3671"/>
      <c r="Q18" s="1322"/>
      <c r="R18" s="1323"/>
      <c r="S18" s="1324"/>
      <c r="T18" s="1323"/>
      <c r="U18" s="1324"/>
      <c r="V18" s="1323"/>
      <c r="W18" s="1324"/>
      <c r="X18" s="1317"/>
      <c r="Y18" s="3671"/>
      <c r="Z18" s="1325"/>
      <c r="AA18" s="1326">
        <v>1</v>
      </c>
      <c r="AB18" s="1326">
        <v>1</v>
      </c>
      <c r="AC18" s="1326">
        <v>1</v>
      </c>
    </row>
    <row r="19" spans="1:29" ht="27">
      <c r="A19" s="770"/>
      <c r="B19" s="973" t="s">
        <v>1853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8"/>
      <c r="M19" s="2349"/>
      <c r="N19" s="2349"/>
      <c r="O19" s="2357"/>
      <c r="P19" s="3671"/>
      <c r="Q19" s="1322" t="str">
        <f t="shared" ref="Q19:Q33" si="8">B19</f>
        <v>区域土地利用方向</v>
      </c>
      <c r="R19" s="1323" t="s">
        <v>65</v>
      </c>
      <c r="S19" s="1324">
        <f>F19</f>
        <v>100</v>
      </c>
      <c r="T19" s="1323" t="s">
        <v>65</v>
      </c>
      <c r="U19" s="1324">
        <f>H19</f>
        <v>100</v>
      </c>
      <c r="V19" s="1323" t="s">
        <v>65</v>
      </c>
      <c r="W19" s="1324">
        <f>J19</f>
        <v>100</v>
      </c>
      <c r="X19" s="1317"/>
      <c r="Y19" s="3671"/>
      <c r="Z19" s="1325" t="str">
        <f>Q19</f>
        <v>区域土地利用方向</v>
      </c>
      <c r="AA19" s="1326">
        <f t="shared" si="3"/>
        <v>1</v>
      </c>
      <c r="AB19" s="1326">
        <f t="shared" si="4"/>
        <v>1</v>
      </c>
      <c r="AC19" s="1326">
        <f t="shared" si="5"/>
        <v>1</v>
      </c>
    </row>
    <row r="20" spans="1:29" ht="15">
      <c r="A20" s="747"/>
      <c r="B20" s="974"/>
      <c r="C20" s="97"/>
      <c r="D20" s="790"/>
      <c r="E20" s="98"/>
      <c r="F20" s="790"/>
      <c r="G20" s="98"/>
      <c r="H20" s="790"/>
      <c r="I20" s="98"/>
      <c r="J20" s="790"/>
      <c r="K20" s="1485"/>
      <c r="L20" s="2358"/>
      <c r="M20" s="2349"/>
      <c r="N20" s="2349"/>
      <c r="O20" s="2357"/>
      <c r="P20" s="3671"/>
      <c r="Q20" s="1469"/>
      <c r="R20" s="1323"/>
      <c r="S20" s="1324"/>
      <c r="T20" s="1323"/>
      <c r="U20" s="1324"/>
      <c r="V20" s="1323"/>
      <c r="W20" s="1324"/>
      <c r="X20" s="1468"/>
      <c r="Y20" s="3671"/>
      <c r="Z20" s="1470"/>
      <c r="AA20" s="1326"/>
      <c r="AB20" s="1326"/>
      <c r="AC20" s="1326"/>
    </row>
    <row r="21" spans="1:29" ht="81">
      <c r="A21" s="747"/>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8"/>
      <c r="M21" s="2349"/>
      <c r="N21" s="2349"/>
      <c r="O21" s="2357"/>
      <c r="P21" s="3671"/>
      <c r="Q21" s="1322" t="str">
        <f t="shared" si="8"/>
        <v>环境状况</v>
      </c>
      <c r="R21" s="1323" t="s">
        <v>65</v>
      </c>
      <c r="S21" s="1324">
        <f>F21</f>
        <v>100</v>
      </c>
      <c r="T21" s="1323" t="s">
        <v>65</v>
      </c>
      <c r="U21" s="1324">
        <f>H21</f>
        <v>100</v>
      </c>
      <c r="V21" s="1323" t="s">
        <v>65</v>
      </c>
      <c r="W21" s="1324">
        <f>J21</f>
        <v>100</v>
      </c>
      <c r="X21" s="1317"/>
      <c r="Y21" s="3671"/>
      <c r="Z21" s="1325" t="str">
        <f>Q21</f>
        <v>环境状况</v>
      </c>
      <c r="AA21" s="1326">
        <f t="shared" si="3"/>
        <v>1</v>
      </c>
      <c r="AB21" s="1326">
        <f t="shared" si="4"/>
        <v>1</v>
      </c>
      <c r="AC21" s="1326">
        <f t="shared" si="5"/>
        <v>1</v>
      </c>
    </row>
    <row r="22" spans="1:29" ht="15">
      <c r="A22" s="747"/>
      <c r="B22" s="974"/>
      <c r="C22" s="97"/>
      <c r="D22" s="790"/>
      <c r="E22" s="192"/>
      <c r="F22" s="790"/>
      <c r="G22" s="192"/>
      <c r="H22" s="790"/>
      <c r="I22" s="97"/>
      <c r="J22" s="790"/>
      <c r="K22" s="1080"/>
      <c r="L22" s="2358"/>
      <c r="M22" s="2349"/>
      <c r="N22" s="2349"/>
      <c r="O22" s="2357"/>
      <c r="P22" s="3671"/>
      <c r="Q22" s="1322"/>
      <c r="R22" s="1323"/>
      <c r="S22" s="1324"/>
      <c r="T22" s="1323"/>
      <c r="U22" s="1324"/>
      <c r="V22" s="1323"/>
      <c r="W22" s="1324"/>
      <c r="X22" s="1317"/>
      <c r="Y22" s="3671"/>
      <c r="Z22" s="1325"/>
      <c r="AA22" s="1326">
        <v>1</v>
      </c>
      <c r="AB22" s="1326">
        <v>1</v>
      </c>
      <c r="AC22" s="1326">
        <v>1</v>
      </c>
    </row>
    <row r="23" spans="1:29" s="407" customFormat="1" ht="40.5">
      <c r="A23" s="991"/>
      <c r="B23" s="1035" t="s">
        <v>2673</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50"/>
      <c r="M23" s="2351"/>
      <c r="N23" s="2351"/>
      <c r="O23" s="2352"/>
      <c r="P23" s="3671"/>
      <c r="Q23" s="296" t="str">
        <f t="shared" si="8"/>
        <v>公共配套设施</v>
      </c>
      <c r="R23" s="1318" t="s">
        <v>65</v>
      </c>
      <c r="S23" s="1319">
        <f>F23</f>
        <v>100</v>
      </c>
      <c r="T23" s="1318" t="s">
        <v>65</v>
      </c>
      <c r="U23" s="1319">
        <f>H23</f>
        <v>100</v>
      </c>
      <c r="V23" s="1318" t="s">
        <v>65</v>
      </c>
      <c r="W23" s="1319">
        <f>J23</f>
        <v>100</v>
      </c>
      <c r="X23" s="1320"/>
      <c r="Y23" s="3671"/>
      <c r="Z23" s="344" t="str">
        <f>Q23</f>
        <v>公共配套设施</v>
      </c>
      <c r="AA23" s="1326">
        <f>D23/F23</f>
        <v>1</v>
      </c>
      <c r="AB23" s="1326">
        <f>D23/H23</f>
        <v>1</v>
      </c>
      <c r="AC23" s="1326">
        <f>D23/J23</f>
        <v>1</v>
      </c>
    </row>
    <row r="24" spans="1:29" s="407" customFormat="1" ht="15">
      <c r="A24" s="991"/>
      <c r="B24" s="974"/>
      <c r="C24" s="2775"/>
      <c r="D24" s="790"/>
      <c r="E24" s="192"/>
      <c r="F24" s="790"/>
      <c r="G24" s="192"/>
      <c r="H24" s="790"/>
      <c r="I24" s="97"/>
      <c r="J24" s="790"/>
      <c r="K24" s="1080"/>
      <c r="L24" s="2350"/>
      <c r="M24" s="2351"/>
      <c r="N24" s="2351"/>
      <c r="O24" s="2352"/>
      <c r="P24" s="3671"/>
      <c r="Q24" s="296"/>
      <c r="R24" s="1318"/>
      <c r="S24" s="1319"/>
      <c r="T24" s="1318"/>
      <c r="U24" s="1319"/>
      <c r="V24" s="1318"/>
      <c r="W24" s="1319"/>
      <c r="X24" s="1320"/>
      <c r="Y24" s="3671"/>
      <c r="Z24" s="344"/>
      <c r="AA24" s="1321">
        <v>1</v>
      </c>
      <c r="AB24" s="1321">
        <v>1</v>
      </c>
      <c r="AC24" s="1321">
        <v>1</v>
      </c>
    </row>
    <row r="25" spans="1:29" s="407" customFormat="1" ht="40.5">
      <c r="A25" s="991"/>
      <c r="B25" s="1035" t="s">
        <v>2674</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50"/>
      <c r="M25" s="2351"/>
      <c r="N25" s="2351"/>
      <c r="O25" s="2352"/>
      <c r="P25" s="3671"/>
      <c r="Q25" s="2744" t="str">
        <f t="shared" ref="Q25" si="9">B25</f>
        <v>基础设施水平</v>
      </c>
      <c r="R25" s="1318" t="s">
        <v>65</v>
      </c>
      <c r="S25" s="1319">
        <f>F25</f>
        <v>100</v>
      </c>
      <c r="T25" s="1318" t="s">
        <v>65</v>
      </c>
      <c r="U25" s="1319">
        <f>H25</f>
        <v>100</v>
      </c>
      <c r="V25" s="1318" t="s">
        <v>65</v>
      </c>
      <c r="W25" s="1319">
        <f>J25</f>
        <v>100</v>
      </c>
      <c r="X25" s="1320"/>
      <c r="Y25" s="3671"/>
      <c r="Z25" s="344" t="str">
        <f>Q25</f>
        <v>基础设施水平</v>
      </c>
      <c r="AA25" s="1326">
        <f>D25/F25</f>
        <v>1</v>
      </c>
      <c r="AB25" s="1326">
        <f>D25/H25</f>
        <v>1</v>
      </c>
      <c r="AC25" s="1326">
        <f>D25/J25</f>
        <v>1</v>
      </c>
    </row>
    <row r="26" spans="1:29" s="407" customFormat="1" ht="15">
      <c r="A26" s="991"/>
      <c r="B26" s="974"/>
      <c r="C26" s="2775"/>
      <c r="D26" s="790"/>
      <c r="E26" s="1036"/>
      <c r="F26" s="790"/>
      <c r="G26" s="1036"/>
      <c r="H26" s="790"/>
      <c r="I26" s="1036"/>
      <c r="J26" s="790"/>
      <c r="K26" s="1080"/>
      <c r="L26" s="2350"/>
      <c r="M26" s="2351"/>
      <c r="N26" s="2351"/>
      <c r="O26" s="2352"/>
      <c r="P26" s="3671"/>
      <c r="Q26" s="2744"/>
      <c r="R26" s="1318"/>
      <c r="S26" s="1319"/>
      <c r="T26" s="1318"/>
      <c r="U26" s="1319"/>
      <c r="V26" s="1318"/>
      <c r="W26" s="1319"/>
      <c r="X26" s="1320"/>
      <c r="Y26" s="3671"/>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8"/>
      <c r="M27" s="2349"/>
      <c r="N27" s="2349"/>
      <c r="O27" s="2357"/>
      <c r="P27" s="3671"/>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71"/>
      <c r="Z27" s="1325" t="str">
        <f t="shared" ref="Z27:Z40" si="13">Q27</f>
        <v>临街状况</v>
      </c>
      <c r="AA27" s="1326">
        <f t="shared" si="3"/>
        <v>1</v>
      </c>
      <c r="AB27" s="1326">
        <f t="shared" si="4"/>
        <v>1</v>
      </c>
      <c r="AC27" s="1326">
        <f t="shared" si="5"/>
        <v>1</v>
      </c>
    </row>
    <row r="28" spans="1:29" ht="27">
      <c r="A28" s="770"/>
      <c r="B28" s="975" t="s">
        <v>442</v>
      </c>
      <c r="C28" s="2776">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8"/>
      <c r="M28" s="2349"/>
      <c r="N28" s="2349"/>
      <c r="O28" s="2357"/>
      <c r="P28" s="3671"/>
      <c r="Q28" s="1322" t="str">
        <f t="shared" si="8"/>
        <v>毗邻道路的类型与等级</v>
      </c>
      <c r="R28" s="1323" t="s">
        <v>65</v>
      </c>
      <c r="S28" s="1324">
        <f t="shared" si="10"/>
        <v>100</v>
      </c>
      <c r="T28" s="1323" t="s">
        <v>65</v>
      </c>
      <c r="U28" s="1324">
        <f t="shared" si="11"/>
        <v>100</v>
      </c>
      <c r="V28" s="1323" t="s">
        <v>65</v>
      </c>
      <c r="W28" s="1324">
        <f t="shared" si="12"/>
        <v>100</v>
      </c>
      <c r="X28" s="1317"/>
      <c r="Y28" s="3671"/>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8"/>
      <c r="M29" s="2349"/>
      <c r="N29" s="2349"/>
      <c r="O29" s="2357"/>
      <c r="P29" s="3671"/>
      <c r="Q29" s="1322"/>
      <c r="R29" s="1323"/>
      <c r="S29" s="1324"/>
      <c r="T29" s="1323"/>
      <c r="U29" s="1324"/>
      <c r="V29" s="1323"/>
      <c r="W29" s="1324"/>
      <c r="X29" s="1317"/>
      <c r="Y29" s="3671"/>
      <c r="Z29" s="1325"/>
      <c r="AA29" s="1326">
        <v>1</v>
      </c>
      <c r="AB29" s="1326">
        <v>1</v>
      </c>
      <c r="AC29" s="1326">
        <v>1</v>
      </c>
    </row>
    <row r="30" spans="1:29" ht="15">
      <c r="A30" s="770"/>
      <c r="B30" s="996" t="s">
        <v>485</v>
      </c>
      <c r="C30" s="2777">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8"/>
      <c r="M30" s="2349"/>
      <c r="N30" s="2349"/>
      <c r="O30" s="2357"/>
      <c r="P30" s="3671"/>
      <c r="Q30" s="1322" t="str">
        <f t="shared" si="8"/>
        <v>土地级别</v>
      </c>
      <c r="R30" s="1323" t="s">
        <v>65</v>
      </c>
      <c r="S30" s="1324">
        <f t="shared" si="10"/>
        <v>100</v>
      </c>
      <c r="T30" s="1323" t="s">
        <v>65</v>
      </c>
      <c r="U30" s="1324">
        <f t="shared" si="11"/>
        <v>100</v>
      </c>
      <c r="V30" s="1323" t="s">
        <v>65</v>
      </c>
      <c r="W30" s="1324">
        <f t="shared" si="12"/>
        <v>100</v>
      </c>
      <c r="X30" s="1317"/>
      <c r="Y30" s="3671"/>
      <c r="Z30" s="1325" t="str">
        <f t="shared" si="13"/>
        <v>土地级别</v>
      </c>
      <c r="AA30" s="1326">
        <f t="shared" si="3"/>
        <v>1</v>
      </c>
      <c r="AB30" s="1326">
        <f t="shared" si="4"/>
        <v>1</v>
      </c>
      <c r="AC30" s="1326">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8"/>
      <c r="M31" s="2349"/>
      <c r="N31" s="2349"/>
      <c r="O31" s="2357"/>
      <c r="P31" s="3671"/>
      <c r="Q31" s="1322">
        <f t="shared" si="8"/>
        <v>111</v>
      </c>
      <c r="R31" s="1323" t="s">
        <v>65</v>
      </c>
      <c r="S31" s="1324">
        <f t="shared" si="10"/>
        <v>100</v>
      </c>
      <c r="T31" s="1323" t="s">
        <v>65</v>
      </c>
      <c r="U31" s="1324">
        <f t="shared" si="11"/>
        <v>100</v>
      </c>
      <c r="V31" s="1323" t="s">
        <v>65</v>
      </c>
      <c r="W31" s="1324">
        <f t="shared" si="12"/>
        <v>100</v>
      </c>
      <c r="X31" s="1317"/>
      <c r="Y31" s="3671"/>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8"/>
      <c r="M32" s="2349"/>
      <c r="N32" s="2349"/>
      <c r="O32" s="2357"/>
      <c r="P32" s="3672" t="s">
        <v>409</v>
      </c>
      <c r="Q32" s="1322">
        <f t="shared" si="8"/>
        <v>111</v>
      </c>
      <c r="R32" s="1323" t="s">
        <v>65</v>
      </c>
      <c r="S32" s="1324">
        <f t="shared" si="10"/>
        <v>100</v>
      </c>
      <c r="T32" s="1323" t="s">
        <v>65</v>
      </c>
      <c r="U32" s="1324">
        <f t="shared" si="11"/>
        <v>100</v>
      </c>
      <c r="V32" s="1323" t="s">
        <v>65</v>
      </c>
      <c r="W32" s="1324">
        <f t="shared" si="12"/>
        <v>100</v>
      </c>
      <c r="X32" s="1317"/>
      <c r="Y32" s="3673" t="s">
        <v>409</v>
      </c>
      <c r="Z32" s="1325">
        <f t="shared" si="13"/>
        <v>111</v>
      </c>
      <c r="AA32" s="1326">
        <f t="shared" si="3"/>
        <v>1</v>
      </c>
      <c r="AB32" s="1326">
        <f t="shared" si="4"/>
        <v>1</v>
      </c>
      <c r="AC32" s="1326">
        <f t="shared" si="5"/>
        <v>1</v>
      </c>
    </row>
    <row r="33" spans="1:29" s="813" customFormat="1" ht="15.75" thickBot="1">
      <c r="A33" s="1084"/>
      <c r="B33" s="3304">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6"/>
      <c r="M33" s="2359"/>
      <c r="N33" s="2359"/>
      <c r="O33" s="2360"/>
      <c r="P33" s="3673"/>
      <c r="Q33" s="1322">
        <f t="shared" si="8"/>
        <v>111</v>
      </c>
      <c r="R33" s="1328" t="s">
        <v>65</v>
      </c>
      <c r="S33" s="1329">
        <f t="shared" si="10"/>
        <v>100</v>
      </c>
      <c r="T33" s="1328" t="s">
        <v>65</v>
      </c>
      <c r="U33" s="1329">
        <f t="shared" si="11"/>
        <v>100</v>
      </c>
      <c r="V33" s="1328" t="s">
        <v>65</v>
      </c>
      <c r="W33" s="1329">
        <f t="shared" si="12"/>
        <v>100</v>
      </c>
      <c r="X33" s="1330"/>
      <c r="Y33" s="3673"/>
      <c r="Z33" s="1331">
        <f t="shared" si="13"/>
        <v>111</v>
      </c>
      <c r="AA33" s="1326">
        <f t="shared" si="3"/>
        <v>1</v>
      </c>
      <c r="AB33" s="1326">
        <f t="shared" si="4"/>
        <v>1</v>
      </c>
      <c r="AC33" s="1326">
        <f t="shared" si="5"/>
        <v>1</v>
      </c>
    </row>
    <row r="34" spans="1:29" ht="15">
      <c r="A34" s="782" t="s">
        <v>2799</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8"/>
      <c r="M34" s="2349"/>
      <c r="N34" s="2349"/>
      <c r="O34" s="2357"/>
      <c r="P34" s="3673"/>
      <c r="Q34" s="1322" t="str">
        <f>B34</f>
        <v>宗地面积</v>
      </c>
      <c r="R34" s="1323" t="s">
        <v>65</v>
      </c>
      <c r="S34" s="1324" t="e">
        <f t="shared" si="10"/>
        <v>#N/A</v>
      </c>
      <c r="T34" s="1323" t="s">
        <v>65</v>
      </c>
      <c r="U34" s="1324" t="e">
        <f t="shared" si="11"/>
        <v>#N/A</v>
      </c>
      <c r="V34" s="1323" t="s">
        <v>65</v>
      </c>
      <c r="W34" s="1324" t="e">
        <f t="shared" si="12"/>
        <v>#N/A</v>
      </c>
      <c r="X34" s="1317"/>
      <c r="Y34" s="3673"/>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8"/>
      <c r="M35" s="2349"/>
      <c r="N35" s="2349"/>
      <c r="O35" s="2357"/>
      <c r="P35" s="3673"/>
      <c r="Q35" s="1322" t="str">
        <f t="shared" ref="Q35:Q40" si="14">B35</f>
        <v>宗地形状</v>
      </c>
      <c r="R35" s="1323" t="s">
        <v>65</v>
      </c>
      <c r="S35" s="1324">
        <f t="shared" si="10"/>
        <v>100</v>
      </c>
      <c r="T35" s="1323" t="s">
        <v>65</v>
      </c>
      <c r="U35" s="1324">
        <f t="shared" si="11"/>
        <v>100</v>
      </c>
      <c r="V35" s="1323" t="s">
        <v>65</v>
      </c>
      <c r="W35" s="1324">
        <f t="shared" si="12"/>
        <v>100</v>
      </c>
      <c r="X35" s="1317"/>
      <c r="Y35" s="3673"/>
      <c r="Z35" s="1325" t="str">
        <f t="shared" si="13"/>
        <v>宗地形状</v>
      </c>
      <c r="AA35" s="1326">
        <f t="shared" si="3"/>
        <v>1</v>
      </c>
      <c r="AB35" s="1326">
        <f t="shared" si="4"/>
        <v>1</v>
      </c>
      <c r="AC35" s="1326">
        <f t="shared" si="5"/>
        <v>1</v>
      </c>
    </row>
    <row r="36" spans="1:29" s="407" customFormat="1" ht="15">
      <c r="A36" s="815"/>
      <c r="B36" s="2610" t="s">
        <v>2506</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50"/>
      <c r="M36" s="2351"/>
      <c r="N36" s="2351"/>
      <c r="O36" s="2352"/>
      <c r="P36" s="3673"/>
      <c r="Q36" s="1322" t="str">
        <f t="shared" si="14"/>
        <v>宗地开发程度</v>
      </c>
      <c r="R36" s="1318" t="s">
        <v>65</v>
      </c>
      <c r="S36" s="1319">
        <f t="shared" si="10"/>
        <v>100</v>
      </c>
      <c r="T36" s="1318" t="s">
        <v>65</v>
      </c>
      <c r="U36" s="1319">
        <f t="shared" si="11"/>
        <v>100</v>
      </c>
      <c r="V36" s="1318" t="s">
        <v>65</v>
      </c>
      <c r="W36" s="1319">
        <f t="shared" si="12"/>
        <v>100</v>
      </c>
      <c r="X36" s="1320"/>
      <c r="Y36" s="3673"/>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8"/>
      <c r="M37" s="2349"/>
      <c r="N37" s="2349"/>
      <c r="O37" s="2357"/>
      <c r="P37" s="3673" t="s">
        <v>520</v>
      </c>
      <c r="Q37" s="1322" t="str">
        <f t="shared" si="14"/>
        <v>工程地质条件</v>
      </c>
      <c r="R37" s="1323" t="s">
        <v>65</v>
      </c>
      <c r="S37" s="1324">
        <f t="shared" si="10"/>
        <v>100</v>
      </c>
      <c r="T37" s="1323" t="s">
        <v>65</v>
      </c>
      <c r="U37" s="1324">
        <f t="shared" si="11"/>
        <v>100</v>
      </c>
      <c r="V37" s="1323" t="s">
        <v>65</v>
      </c>
      <c r="W37" s="1324">
        <f t="shared" si="12"/>
        <v>100</v>
      </c>
      <c r="X37" s="1317"/>
      <c r="Y37" s="3673"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8"/>
      <c r="M38" s="2349"/>
      <c r="N38" s="2349"/>
      <c r="O38" s="2357"/>
      <c r="P38" s="3673"/>
      <c r="Q38" s="1322">
        <f t="shared" si="14"/>
        <v>111</v>
      </c>
      <c r="R38" s="1323" t="s">
        <v>65</v>
      </c>
      <c r="S38" s="1324">
        <f t="shared" si="10"/>
        <v>100</v>
      </c>
      <c r="T38" s="1323" t="s">
        <v>65</v>
      </c>
      <c r="U38" s="1324">
        <f t="shared" si="11"/>
        <v>100</v>
      </c>
      <c r="V38" s="1323" t="s">
        <v>65</v>
      </c>
      <c r="W38" s="1324">
        <f t="shared" si="12"/>
        <v>100</v>
      </c>
      <c r="X38" s="1317"/>
      <c r="Y38" s="3673"/>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8"/>
      <c r="M39" s="2349"/>
      <c r="N39" s="2349"/>
      <c r="O39" s="2357"/>
      <c r="P39" s="3673"/>
      <c r="Q39" s="1322">
        <f t="shared" si="14"/>
        <v>111</v>
      </c>
      <c r="R39" s="1323" t="s">
        <v>65</v>
      </c>
      <c r="S39" s="1324">
        <f t="shared" si="10"/>
        <v>100</v>
      </c>
      <c r="T39" s="1323" t="s">
        <v>65</v>
      </c>
      <c r="U39" s="1324">
        <f t="shared" si="11"/>
        <v>100</v>
      </c>
      <c r="V39" s="1323" t="s">
        <v>65</v>
      </c>
      <c r="W39" s="1324">
        <f t="shared" si="12"/>
        <v>100</v>
      </c>
      <c r="X39" s="1317"/>
      <c r="Y39" s="3673"/>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6"/>
      <c r="M40" s="2359"/>
      <c r="N40" s="2359"/>
      <c r="O40" s="2360"/>
      <c r="P40" s="3673"/>
      <c r="Q40" s="1322">
        <f t="shared" si="14"/>
        <v>111</v>
      </c>
      <c r="R40" s="1328" t="s">
        <v>65</v>
      </c>
      <c r="S40" s="1329">
        <f t="shared" si="10"/>
        <v>100</v>
      </c>
      <c r="T40" s="1328" t="s">
        <v>65</v>
      </c>
      <c r="U40" s="1329">
        <f t="shared" si="11"/>
        <v>100</v>
      </c>
      <c r="V40" s="1328" t="s">
        <v>65</v>
      </c>
      <c r="W40" s="1329">
        <f t="shared" si="12"/>
        <v>100</v>
      </c>
      <c r="X40" s="1330"/>
      <c r="Y40" s="3673"/>
      <c r="Z40" s="1331">
        <f t="shared" si="13"/>
        <v>111</v>
      </c>
      <c r="AA40" s="1326">
        <f t="shared" si="3"/>
        <v>1</v>
      </c>
      <c r="AB40" s="1326">
        <f t="shared" si="4"/>
        <v>1</v>
      </c>
      <c r="AC40" s="1326">
        <f t="shared" si="5"/>
        <v>1</v>
      </c>
    </row>
    <row r="41" spans="1:29" ht="15">
      <c r="A41" s="821" t="s">
        <v>490</v>
      </c>
      <c r="B41" s="207" t="s">
        <v>3028</v>
      </c>
      <c r="C41" s="1090" t="s">
        <v>23</v>
      </c>
      <c r="D41" s="823"/>
      <c r="E41" s="824"/>
      <c r="F41" s="825"/>
      <c r="G41" s="826"/>
      <c r="H41" s="827"/>
      <c r="I41" s="824"/>
      <c r="J41" s="827"/>
      <c r="K41" s="1399"/>
      <c r="L41" s="2361"/>
      <c r="M41" s="2349"/>
      <c r="N41" s="2349"/>
      <c r="O41" s="2362"/>
      <c r="P41" s="3665" t="str">
        <f>A41</f>
        <v>成交单价</v>
      </c>
      <c r="Q41" s="3665"/>
      <c r="R41" s="3693">
        <f>E41</f>
        <v>0</v>
      </c>
      <c r="S41" s="3693"/>
      <c r="T41" s="3693">
        <f>G41</f>
        <v>0</v>
      </c>
      <c r="U41" s="3693"/>
      <c r="V41" s="3693">
        <f>I41</f>
        <v>0</v>
      </c>
      <c r="W41" s="3693"/>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61"/>
      <c r="M42" s="2349"/>
      <c r="N42" s="2349"/>
      <c r="O42" s="2362"/>
      <c r="P42" s="3665" t="str">
        <f>A42</f>
        <v>比较价值（元/平方米）</v>
      </c>
      <c r="Q42" s="3665"/>
      <c r="R42" s="3715" t="e">
        <f>ROUND(PRODUCT(R41,AA7:AA40),0)</f>
        <v>#DIV/0!</v>
      </c>
      <c r="S42" s="3715"/>
      <c r="T42" s="3715" t="e">
        <f>ROUND(PRODUCT(T41,AB7:AB40),0)</f>
        <v>#DIV/0!</v>
      </c>
      <c r="U42" s="3715"/>
      <c r="V42" s="3715" t="e">
        <f>ROUND(PRODUCT(V41,AC7:AC40),0)</f>
        <v>#DIV/0!</v>
      </c>
      <c r="W42" s="3715"/>
      <c r="X42" s="1306"/>
      <c r="Y42" s="1306"/>
      <c r="Z42" s="1306"/>
      <c r="AA42" s="1306"/>
      <c r="AB42" s="1306"/>
      <c r="AC42" s="1306"/>
    </row>
    <row r="43" spans="1:29" ht="15.75" thickBot="1">
      <c r="A43" s="115" t="s">
        <v>3021</v>
      </c>
      <c r="B43" s="835"/>
      <c r="C43" s="836" t="e">
        <f>R43</f>
        <v>#DIV/0!</v>
      </c>
      <c r="D43" s="836"/>
      <c r="E43" s="836"/>
      <c r="F43" s="836"/>
      <c r="G43" s="836"/>
      <c r="H43" s="836"/>
      <c r="I43" s="836"/>
      <c r="J43" s="836"/>
      <c r="K43" s="1401"/>
      <c r="L43" s="2361"/>
      <c r="M43" s="2349"/>
      <c r="N43" s="2349"/>
      <c r="O43" s="2362"/>
      <c r="P43" s="3667" t="str">
        <f>A43</f>
        <v>估价对象XX用房的比较价值（楼面单价，元/平方米）</v>
      </c>
      <c r="Q43" s="3668"/>
      <c r="R43" s="3714" t="e">
        <f>ROUND(AVERAGE(R42:V42),0)</f>
        <v>#DIV/0!</v>
      </c>
      <c r="S43" s="3714"/>
      <c r="T43" s="3714"/>
      <c r="U43" s="3714"/>
      <c r="V43" s="3714"/>
      <c r="W43" s="3714"/>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8"/>
      <c r="L46" s="2189"/>
      <c r="M46" s="2349"/>
      <c r="N46" s="2349"/>
      <c r="O46" s="2362"/>
    </row>
    <row r="47" spans="1:29" ht="13.5" customHeight="1">
      <c r="A47" s="2362"/>
      <c r="B47" s="2362"/>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8"/>
      <c r="L47" s="2189"/>
      <c r="M47" s="2362"/>
      <c r="N47" s="2362"/>
      <c r="O47" s="2362"/>
    </row>
    <row r="48" spans="1:29" s="844" customFormat="1" ht="13.5" customHeight="1">
      <c r="A48" s="2363"/>
      <c r="B48" s="2363"/>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6"/>
      <c r="L48" s="2367"/>
      <c r="M48" s="2363"/>
      <c r="N48" s="2363"/>
      <c r="O48" s="2363"/>
    </row>
    <row r="49" spans="1:17" s="844" customFormat="1" ht="15" thickBot="1">
      <c r="A49" s="2363"/>
      <c r="B49" s="2364"/>
      <c r="C49" s="1309"/>
      <c r="D49" s="1307"/>
      <c r="E49" s="1307"/>
      <c r="F49" s="1307"/>
      <c r="G49" s="1307"/>
      <c r="H49" s="1307"/>
      <c r="I49" s="1307"/>
      <c r="J49" s="1307"/>
      <c r="K49" s="2366"/>
      <c r="L49" s="2367"/>
      <c r="M49" s="2363"/>
      <c r="N49" s="2363"/>
      <c r="O49" s="2363"/>
    </row>
    <row r="50" spans="1:17" ht="27">
      <c r="A50" s="1092" t="s">
        <v>491</v>
      </c>
      <c r="B50" s="1093" t="s">
        <v>492</v>
      </c>
      <c r="C50" s="1777" t="s">
        <v>1892</v>
      </c>
      <c r="D50" s="2393" t="s">
        <v>2330</v>
      </c>
      <c r="E50" s="1094" t="s">
        <v>493</v>
      </c>
      <c r="F50" s="1095" t="s">
        <v>494</v>
      </c>
      <c r="G50" s="3705" t="s">
        <v>2323</v>
      </c>
      <c r="H50" s="3706"/>
      <c r="I50" s="2183" t="s">
        <v>1891</v>
      </c>
      <c r="J50" s="1767">
        <f>项目基本情况!F35</f>
        <v>0</v>
      </c>
      <c r="K50" s="2376" t="s">
        <v>1893</v>
      </c>
      <c r="L50" s="2189"/>
      <c r="M50" s="2362"/>
      <c r="N50" s="2362"/>
      <c r="O50" s="2362"/>
    </row>
    <row r="51" spans="1:17" s="1100" customFormat="1">
      <c r="A51" s="1096" t="s">
        <v>495</v>
      </c>
      <c r="B51" s="1097" t="e">
        <f>C43</f>
        <v>#DIV/0!</v>
      </c>
      <c r="C51" s="1098">
        <v>1</v>
      </c>
      <c r="D51" s="2394">
        <v>1</v>
      </c>
      <c r="E51" s="1098">
        <f>'数据-汇总表'!E8+'数据-汇总表'!E9</f>
        <v>49.46</v>
      </c>
      <c r="F51" s="1099" t="e">
        <f t="shared" ref="F51:F60" si="15">ROUND(B51*E51/10000,0)</f>
        <v>#DIV/0!</v>
      </c>
      <c r="G51" s="3707"/>
      <c r="H51" s="3708"/>
      <c r="I51" s="1775">
        <v>1</v>
      </c>
      <c r="J51" s="1775">
        <v>1</v>
      </c>
      <c r="K51" s="2363"/>
      <c r="L51" s="1774"/>
      <c r="M51" s="1774"/>
      <c r="N51" s="1774"/>
      <c r="O51" s="1774"/>
    </row>
    <row r="52" spans="1:17" s="1100" customFormat="1">
      <c r="A52" s="1101" t="s">
        <v>496</v>
      </c>
      <c r="B52" s="594" t="e">
        <f>ROUND($C$43*C52*D52,0)</f>
        <v>#DIV/0!</v>
      </c>
      <c r="C52" s="532">
        <f t="shared" ref="C52:C60" si="16">IF($C$50="北京市系数",I52,J52)</f>
        <v>0.8</v>
      </c>
      <c r="D52" s="2395">
        <v>0.25</v>
      </c>
      <c r="E52" s="1102"/>
      <c r="F52" s="1099" t="e">
        <f t="shared" si="15"/>
        <v>#DIV/0!</v>
      </c>
      <c r="G52" s="3709" t="s">
        <v>2324</v>
      </c>
      <c r="H52" s="2187" t="str">
        <f>项目基本情况!B37</f>
        <v>二级</v>
      </c>
      <c r="I52" s="1775">
        <f>SUMIF(修正!A45:A56,H52,修正!B45:B56)</f>
        <v>0.8</v>
      </c>
      <c r="J52" s="1776"/>
      <c r="K52" s="2362"/>
      <c r="L52" s="1774"/>
      <c r="M52" s="1774"/>
      <c r="N52" s="1774"/>
      <c r="O52" s="1774"/>
    </row>
    <row r="53" spans="1:17" s="1100" customFormat="1">
      <c r="A53" s="1101" t="s">
        <v>497</v>
      </c>
      <c r="B53" s="594" t="e">
        <f t="shared" ref="B53:B60" si="17">ROUND($C$43*C53*D53,0)</f>
        <v>#DIV/0!</v>
      </c>
      <c r="C53" s="532">
        <f t="shared" si="16"/>
        <v>0.5</v>
      </c>
      <c r="D53" s="2395">
        <v>0.25</v>
      </c>
      <c r="E53" s="1102"/>
      <c r="F53" s="1099" t="e">
        <f t="shared" si="15"/>
        <v>#DIV/0!</v>
      </c>
      <c r="G53" s="3709"/>
      <c r="H53" s="2187" t="str">
        <f>项目基本情况!B37</f>
        <v>二级</v>
      </c>
      <c r="I53" s="1775">
        <f>SUMIF(修正!A45:A56,H53,修正!C45:C56)</f>
        <v>0.5</v>
      </c>
      <c r="J53" s="1776"/>
      <c r="K53" s="2363"/>
      <c r="L53" s="1774"/>
      <c r="M53" s="1774"/>
      <c r="N53" s="1774"/>
      <c r="O53" s="1774"/>
    </row>
    <row r="54" spans="1:17" s="1100" customFormat="1">
      <c r="A54" s="1101" t="s">
        <v>498</v>
      </c>
      <c r="B54" s="594" t="e">
        <f t="shared" si="17"/>
        <v>#DIV/0!</v>
      </c>
      <c r="C54" s="532">
        <f t="shared" si="16"/>
        <v>0.36</v>
      </c>
      <c r="D54" s="2395">
        <v>0.25</v>
      </c>
      <c r="E54" s="1102"/>
      <c r="F54" s="1099" t="e">
        <f t="shared" si="15"/>
        <v>#DIV/0!</v>
      </c>
      <c r="G54" s="3709"/>
      <c r="H54" s="2187" t="str">
        <f>项目基本情况!B37</f>
        <v>二级</v>
      </c>
      <c r="I54" s="1775">
        <f>SUMIF(修正!A45:A56,H54,修正!D45:D56)</f>
        <v>0.36</v>
      </c>
      <c r="J54" s="1776"/>
      <c r="K54" s="2362"/>
      <c r="L54" s="1774"/>
      <c r="M54" s="1774"/>
      <c r="N54" s="1774"/>
      <c r="O54" s="1774"/>
    </row>
    <row r="55" spans="1:17" s="1100" customFormat="1">
      <c r="A55" s="1101" t="s">
        <v>499</v>
      </c>
      <c r="B55" s="594" t="e">
        <f t="shared" si="17"/>
        <v>#DIV/0!</v>
      </c>
      <c r="C55" s="532">
        <f t="shared" si="16"/>
        <v>0.3</v>
      </c>
      <c r="D55" s="2395">
        <v>0.25</v>
      </c>
      <c r="E55" s="1102"/>
      <c r="F55" s="1099" t="e">
        <f t="shared" si="15"/>
        <v>#DIV/0!</v>
      </c>
      <c r="G55" s="3709"/>
      <c r="H55" s="2187" t="str">
        <f>项目基本情况!B37</f>
        <v>二级</v>
      </c>
      <c r="I55" s="1775">
        <f>SUMIF(修正!A45:A56,H55,修正!E45:E56)</f>
        <v>0.3</v>
      </c>
      <c r="J55" s="1776"/>
      <c r="K55" s="2363"/>
      <c r="L55" s="1774"/>
      <c r="M55" s="1774"/>
      <c r="N55" s="1774"/>
      <c r="O55" s="1774"/>
    </row>
    <row r="56" spans="1:17" s="1100" customFormat="1">
      <c r="A56" s="2515" t="s">
        <v>2406</v>
      </c>
      <c r="B56" s="594" t="e">
        <f t="shared" si="17"/>
        <v>#DIV/0!</v>
      </c>
      <c r="C56" s="532">
        <f t="shared" si="16"/>
        <v>0</v>
      </c>
      <c r="D56" s="2395">
        <v>0.25</v>
      </c>
      <c r="E56" s="593">
        <f>'数据-汇总表'!E11</f>
        <v>0</v>
      </c>
      <c r="F56" s="1099" t="e">
        <f t="shared" si="15"/>
        <v>#DIV/0!</v>
      </c>
      <c r="G56" s="2199" t="s">
        <v>2325</v>
      </c>
      <c r="H56" s="2187">
        <f>项目基本情况!C37</f>
        <v>0</v>
      </c>
      <c r="I56" s="1775">
        <f>SUMIF(修正!A45:A56,H56,修正!F45:F56)</f>
        <v>0</v>
      </c>
      <c r="J56" s="1776"/>
      <c r="K56" s="2362"/>
      <c r="L56" s="1774"/>
      <c r="M56" s="1774"/>
      <c r="N56" s="1774"/>
      <c r="O56" s="1774"/>
    </row>
    <row r="57" spans="1:17" s="1100" customFormat="1">
      <c r="A57" s="1101" t="s">
        <v>500</v>
      </c>
      <c r="B57" s="594" t="e">
        <f t="shared" si="17"/>
        <v>#DIV/0!</v>
      </c>
      <c r="C57" s="532">
        <f t="shared" si="16"/>
        <v>0</v>
      </c>
      <c r="D57" s="2395">
        <v>0.25</v>
      </c>
      <c r="E57" s="593">
        <f>'数据-汇总表'!E12</f>
        <v>2530.29</v>
      </c>
      <c r="F57" s="1099" t="e">
        <f t="shared" si="15"/>
        <v>#DIV/0!</v>
      </c>
      <c r="G57" s="2193" t="s">
        <v>141</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0" customFormat="1">
      <c r="A58" s="1101" t="s">
        <v>501</v>
      </c>
      <c r="B58" s="594" t="e">
        <f t="shared" si="17"/>
        <v>#DIV/0!</v>
      </c>
      <c r="C58" s="532">
        <f t="shared" si="16"/>
        <v>0.25</v>
      </c>
      <c r="D58" s="2395">
        <v>0.25</v>
      </c>
      <c r="E58" s="593">
        <f>'数据-汇总表'!E13</f>
        <v>0</v>
      </c>
      <c r="F58" s="1099" t="e">
        <f t="shared" si="15"/>
        <v>#DIV/0!</v>
      </c>
      <c r="G58" s="2193" t="s">
        <v>40</v>
      </c>
      <c r="H58" s="2187" t="str">
        <f>IF(G58="商业",项目基本情况!B37,IF(G58="办公",项目基本情况!C37,IF(G58="住宅",项目基本情况!D37,项目基本情况!E37)))</f>
        <v>二级</v>
      </c>
      <c r="I58" s="1775">
        <f>SUMIF(修正!A45:A56,H58,修正!H45:H56)</f>
        <v>0.25</v>
      </c>
      <c r="J58" s="1776"/>
      <c r="K58" s="2362"/>
      <c r="L58" s="1774"/>
      <c r="M58" s="1774"/>
      <c r="N58" s="1774"/>
      <c r="O58" s="1774"/>
    </row>
    <row r="59" spans="1:17" s="1100" customFormat="1">
      <c r="A59" s="1101" t="s">
        <v>502</v>
      </c>
      <c r="B59" s="594" t="e">
        <f t="shared" si="17"/>
        <v>#DIV/0!</v>
      </c>
      <c r="C59" s="532">
        <f t="shared" si="16"/>
        <v>0.25</v>
      </c>
      <c r="D59" s="2395">
        <v>0.25</v>
      </c>
      <c r="E59" s="593">
        <f>'数据-汇总表'!E14</f>
        <v>0</v>
      </c>
      <c r="F59" s="1099" t="e">
        <f t="shared" si="15"/>
        <v>#DIV/0!</v>
      </c>
      <c r="G59" s="2199" t="s">
        <v>2326</v>
      </c>
      <c r="H59" s="2187" t="str">
        <f>项目基本情况!B37</f>
        <v>二级</v>
      </c>
      <c r="I59" s="1775">
        <f>SUMIF(修正!A45:A56,H59,修正!H45:H56)</f>
        <v>0.25</v>
      </c>
      <c r="J59" s="1776"/>
      <c r="K59" s="2363"/>
      <c r="L59" s="1774"/>
      <c r="M59" s="1774"/>
      <c r="N59" s="1774"/>
      <c r="O59" s="1774"/>
    </row>
    <row r="60" spans="1:17" s="1100" customFormat="1" ht="15" thickBot="1">
      <c r="A60" s="1101" t="s">
        <v>503</v>
      </c>
      <c r="B60" s="594" t="e">
        <f t="shared" si="17"/>
        <v>#DIV/0!</v>
      </c>
      <c r="C60" s="532">
        <f t="shared" si="16"/>
        <v>0</v>
      </c>
      <c r="D60" s="2395">
        <v>0.25</v>
      </c>
      <c r="E60" s="593">
        <f>'数据-汇总表'!E15</f>
        <v>0</v>
      </c>
      <c r="F60" s="1099" t="e">
        <f t="shared" si="15"/>
        <v>#DIV/0!</v>
      </c>
      <c r="G60" s="2200" t="s">
        <v>2325</v>
      </c>
      <c r="H60" s="2201">
        <f>项目基本情况!C37</f>
        <v>0</v>
      </c>
      <c r="I60" s="1775">
        <f>SUMIF(修正!A45:A56,H60,修正!H45:H56)</f>
        <v>0</v>
      </c>
      <c r="J60" s="1776"/>
      <c r="K60" s="2362"/>
      <c r="L60" s="1774"/>
      <c r="M60" s="1774"/>
      <c r="N60" s="1774"/>
      <c r="O60" s="1774"/>
    </row>
    <row r="61" spans="1:17" s="1100" customFormat="1" ht="15" thickBot="1">
      <c r="A61" s="1103" t="s">
        <v>504</v>
      </c>
      <c r="B61" s="1104" t="s">
        <v>156</v>
      </c>
      <c r="C61" s="1104" t="s">
        <v>157</v>
      </c>
      <c r="D61" s="1104" t="s">
        <v>2331</v>
      </c>
      <c r="E61" s="1104">
        <f>IF(B41="楼面地价",SUM(E51:E60),'数据-汇总表'!D3)</f>
        <v>0</v>
      </c>
      <c r="F61" s="1105"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2017-11-1</v>
      </c>
      <c r="D63" s="1308">
        <f>EDATE(C63,-3)</f>
        <v>42948</v>
      </c>
      <c r="E63" s="1308">
        <f>EDATE(D63,-3)</f>
        <v>42856</v>
      </c>
      <c r="F63" s="1308">
        <f t="shared" ref="F63:O63" si="18">EDATE(E63,-3)</f>
        <v>42767</v>
      </c>
      <c r="G63" s="1308">
        <f t="shared" si="18"/>
        <v>42675</v>
      </c>
      <c r="H63" s="1308">
        <f t="shared" si="18"/>
        <v>42583</v>
      </c>
      <c r="I63" s="1308">
        <f t="shared" si="18"/>
        <v>42491</v>
      </c>
      <c r="J63" s="1308">
        <f t="shared" si="18"/>
        <v>42401</v>
      </c>
      <c r="K63" s="1308">
        <f t="shared" si="18"/>
        <v>42309</v>
      </c>
      <c r="L63" s="1308">
        <f t="shared" si="18"/>
        <v>42217</v>
      </c>
      <c r="M63" s="1308">
        <f t="shared" si="18"/>
        <v>42125</v>
      </c>
      <c r="N63" s="1308">
        <f t="shared" si="18"/>
        <v>42036</v>
      </c>
      <c r="O63" s="1308">
        <f t="shared" si="18"/>
        <v>41944</v>
      </c>
    </row>
    <row r="64" spans="1:17" ht="21.75" thickBot="1">
      <c r="A64" s="1310" t="s">
        <v>415</v>
      </c>
      <c r="B64" s="1306"/>
      <c r="C64" s="1311"/>
      <c r="D64" s="1311"/>
      <c r="E64" s="1311"/>
      <c r="F64" s="1312"/>
      <c r="G64" s="1312"/>
      <c r="H64" s="1311"/>
      <c r="I64" s="1311"/>
      <c r="J64" s="1311"/>
      <c r="K64" s="1313"/>
      <c r="L64" s="1314"/>
      <c r="M64" s="1311"/>
      <c r="N64" s="1311"/>
      <c r="O64" s="2378"/>
      <c r="P64" s="845"/>
      <c r="Q64" s="846"/>
    </row>
    <row r="65" spans="1:17" s="850" customFormat="1" ht="15">
      <c r="A65" s="2706" t="s">
        <v>2796</v>
      </c>
      <c r="B65" s="2707"/>
      <c r="C65" s="3041" t="str">
        <f>YEAR(C63)&amp;"-"&amp;ROUNDUP(MONTH(C63)/3,0)</f>
        <v>2017-4</v>
      </c>
      <c r="D65" s="3041" t="str">
        <f t="shared" ref="D65:O65" si="19">YEAR(D63)&amp;"-"&amp;ROUNDUP(MONTH(D63)/3,0)</f>
        <v>2017-3</v>
      </c>
      <c r="E65" s="3041" t="str">
        <f t="shared" si="19"/>
        <v>2017-2</v>
      </c>
      <c r="F65" s="3041" t="str">
        <f t="shared" si="19"/>
        <v>2017-1</v>
      </c>
      <c r="G65" s="3041" t="str">
        <f t="shared" si="19"/>
        <v>2016-4</v>
      </c>
      <c r="H65" s="3041" t="str">
        <f t="shared" si="19"/>
        <v>2016-3</v>
      </c>
      <c r="I65" s="3041" t="str">
        <f t="shared" si="19"/>
        <v>2016-2</v>
      </c>
      <c r="J65" s="3041" t="str">
        <f t="shared" si="19"/>
        <v>2016-1</v>
      </c>
      <c r="K65" s="3041" t="str">
        <f t="shared" si="19"/>
        <v>2015-4</v>
      </c>
      <c r="L65" s="3041" t="str">
        <f t="shared" si="19"/>
        <v>2015-3</v>
      </c>
      <c r="M65" s="3041" t="str">
        <f t="shared" si="19"/>
        <v>2015-2</v>
      </c>
      <c r="N65" s="3041" t="str">
        <f t="shared" si="19"/>
        <v>2015-1</v>
      </c>
      <c r="O65" s="3041" t="str">
        <f t="shared" si="19"/>
        <v>2014-4</v>
      </c>
      <c r="P65" s="849"/>
    </row>
    <row r="66" spans="1:17" s="407" customFormat="1" ht="30.75" customHeight="1">
      <c r="A66" s="3037" t="s">
        <v>2795</v>
      </c>
      <c r="B66" s="664" t="str">
        <f>"北京市平均增长率"&amp;TEXT(基准地价修正!P24,"0.00%")</f>
        <v>北京市平均增长率1.34%</v>
      </c>
      <c r="C66" s="945">
        <v>100</v>
      </c>
      <c r="D66" s="937"/>
      <c r="E66" s="937"/>
      <c r="F66" s="937"/>
      <c r="G66" s="937"/>
      <c r="H66" s="937"/>
      <c r="I66" s="937"/>
      <c r="J66" s="937"/>
      <c r="K66" s="937"/>
      <c r="L66" s="937"/>
      <c r="M66" s="3035"/>
      <c r="N66" s="3035"/>
      <c r="O66" s="3038"/>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9"/>
      <c r="O68" s="2369"/>
      <c r="P68" s="868"/>
      <c r="Q68" s="846"/>
    </row>
    <row r="69" spans="1:17" s="407" customFormat="1" ht="15.75" thickBot="1">
      <c r="A69" s="863"/>
      <c r="B69" s="852"/>
      <c r="C69" s="981">
        <v>100</v>
      </c>
      <c r="D69" s="854"/>
      <c r="E69" s="854"/>
      <c r="F69" s="854"/>
      <c r="G69" s="854"/>
      <c r="H69" s="854"/>
      <c r="I69" s="854"/>
      <c r="J69" s="854"/>
      <c r="K69" s="854"/>
      <c r="L69" s="854"/>
      <c r="M69" s="856"/>
      <c r="N69" s="2369"/>
      <c r="O69" s="2369"/>
      <c r="P69" s="846"/>
      <c r="Q69" s="846"/>
    </row>
    <row r="70" spans="1:17">
      <c r="A70" s="869" t="s">
        <v>418</v>
      </c>
      <c r="B70" s="870" t="s">
        <v>419</v>
      </c>
      <c r="C70" s="122"/>
      <c r="D70" s="122"/>
      <c r="E70" s="122"/>
      <c r="F70" s="122"/>
      <c r="G70" s="122"/>
      <c r="H70" s="122"/>
      <c r="I70" s="122"/>
      <c r="J70" s="122"/>
      <c r="K70" s="123"/>
      <c r="L70" s="124"/>
      <c r="M70" s="125"/>
      <c r="N70" s="2370"/>
      <c r="O70" s="2370"/>
      <c r="P70" s="334"/>
      <c r="Q70" s="846"/>
    </row>
    <row r="71" spans="1:17" ht="15.75" thickBot="1">
      <c r="A71" s="876"/>
      <c r="B71" s="877"/>
      <c r="C71" s="878"/>
      <c r="D71" s="878"/>
      <c r="E71" s="878"/>
      <c r="F71" s="878"/>
      <c r="G71" s="878"/>
      <c r="H71" s="878"/>
      <c r="I71" s="878"/>
      <c r="J71" s="878"/>
      <c r="K71" s="878"/>
      <c r="L71" s="878"/>
      <c r="M71" s="879"/>
      <c r="N71" s="2371"/>
      <c r="O71" s="2371"/>
      <c r="P71" s="334"/>
      <c r="Q71" s="846"/>
    </row>
    <row r="72" spans="1:17" ht="27.75" thickTop="1">
      <c r="A72" s="876"/>
      <c r="B72" s="880" t="s">
        <v>404</v>
      </c>
      <c r="C72" s="881"/>
      <c r="D72" s="881"/>
      <c r="E72" s="881"/>
      <c r="F72" s="881"/>
      <c r="G72" s="881"/>
      <c r="H72" s="881"/>
      <c r="I72" s="881"/>
      <c r="J72" s="881"/>
      <c r="K72" s="882"/>
      <c r="L72" s="883"/>
      <c r="M72" s="884"/>
      <c r="N72" s="2370"/>
      <c r="O72" s="2370"/>
      <c r="P72" s="334"/>
      <c r="Q72" s="846"/>
    </row>
    <row r="73" spans="1:17" ht="15.75" thickBot="1">
      <c r="A73" s="876"/>
      <c r="B73" s="885"/>
      <c r="C73" s="886"/>
      <c r="D73" s="886"/>
      <c r="E73" s="886"/>
      <c r="F73" s="886"/>
      <c r="G73" s="886"/>
      <c r="H73" s="886"/>
      <c r="I73" s="886"/>
      <c r="J73" s="886"/>
      <c r="K73" s="886"/>
      <c r="L73" s="886"/>
      <c r="M73" s="887"/>
      <c r="N73" s="2371"/>
      <c r="O73" s="2371"/>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1"/>
      <c r="O74" s="2371"/>
      <c r="P74" s="334"/>
      <c r="Q74" s="846"/>
    </row>
    <row r="75" spans="1:17" ht="15">
      <c r="A75" s="876"/>
      <c r="B75" s="1056"/>
      <c r="C75" s="891"/>
      <c r="D75" s="891"/>
      <c r="E75" s="891"/>
      <c r="F75" s="891"/>
      <c r="G75" s="891"/>
      <c r="H75" s="891"/>
      <c r="I75" s="891"/>
      <c r="J75" s="891"/>
      <c r="K75" s="892"/>
      <c r="L75" s="893"/>
      <c r="M75" s="894"/>
      <c r="N75" s="2370"/>
      <c r="O75" s="2370"/>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1"/>
      <c r="O76" s="2371"/>
      <c r="P76" s="334"/>
      <c r="Q76" s="846"/>
    </row>
    <row r="77" spans="1:17" s="813" customFormat="1" ht="15.75" thickTop="1">
      <c r="A77" s="895"/>
      <c r="B77" s="1053">
        <f>B12</f>
        <v>111</v>
      </c>
      <c r="C77" s="139"/>
      <c r="D77" s="139"/>
      <c r="E77" s="139"/>
      <c r="F77" s="139"/>
      <c r="G77" s="139"/>
      <c r="H77" s="1058"/>
      <c r="I77" s="1058"/>
      <c r="J77" s="1058"/>
      <c r="K77" s="1058"/>
      <c r="L77" s="1059"/>
      <c r="M77" s="1060"/>
      <c r="N77" s="2372"/>
      <c r="O77" s="2372"/>
      <c r="P77" s="900"/>
      <c r="Q77" s="901"/>
    </row>
    <row r="78" spans="1:17" s="813" customFormat="1" ht="15.75" thickBot="1">
      <c r="A78" s="895"/>
      <c r="B78" s="1054"/>
      <c r="C78" s="902"/>
      <c r="D78" s="878"/>
      <c r="E78" s="878"/>
      <c r="F78" s="878"/>
      <c r="G78" s="878"/>
      <c r="H78" s="878"/>
      <c r="I78" s="878"/>
      <c r="J78" s="878"/>
      <c r="K78" s="878"/>
      <c r="L78" s="878"/>
      <c r="M78" s="879"/>
      <c r="N78" s="2371"/>
      <c r="O78" s="2371"/>
      <c r="P78" s="900"/>
      <c r="Q78" s="901"/>
    </row>
    <row r="79" spans="1:17" s="813" customFormat="1" ht="15.75" thickTop="1">
      <c r="A79" s="895"/>
      <c r="B79" s="1053">
        <f>B13</f>
        <v>111</v>
      </c>
      <c r="C79" s="139"/>
      <c r="D79" s="139"/>
      <c r="E79" s="139"/>
      <c r="F79" s="139"/>
      <c r="G79" s="139"/>
      <c r="H79" s="1058"/>
      <c r="I79" s="1058"/>
      <c r="J79" s="1058"/>
      <c r="K79" s="1058"/>
      <c r="L79" s="1059"/>
      <c r="M79" s="1060"/>
      <c r="N79" s="2372"/>
      <c r="O79" s="2372"/>
      <c r="P79" s="812"/>
      <c r="Q79" s="903"/>
    </row>
    <row r="80" spans="1:17" s="813" customFormat="1" ht="15.75" thickBot="1">
      <c r="A80" s="895"/>
      <c r="B80" s="1054"/>
      <c r="C80" s="902"/>
      <c r="D80" s="902"/>
      <c r="E80" s="902"/>
      <c r="F80" s="902"/>
      <c r="G80" s="902"/>
      <c r="H80" s="904"/>
      <c r="I80" s="904"/>
      <c r="J80" s="904"/>
      <c r="K80" s="904"/>
      <c r="L80" s="904"/>
      <c r="M80" s="905"/>
      <c r="N80" s="2372"/>
      <c r="O80" s="2372"/>
      <c r="P80" s="900"/>
      <c r="Q80" s="901"/>
    </row>
    <row r="81" spans="1:17" s="813" customFormat="1" ht="15.75" thickTop="1">
      <c r="A81" s="895"/>
      <c r="B81" s="1055">
        <f>B14</f>
        <v>111</v>
      </c>
      <c r="C81" s="140"/>
      <c r="D81" s="140"/>
      <c r="E81" s="140"/>
      <c r="F81" s="140"/>
      <c r="G81" s="140"/>
      <c r="H81" s="1065"/>
      <c r="I81" s="1065"/>
      <c r="J81" s="1065"/>
      <c r="K81" s="1065"/>
      <c r="L81" s="1066"/>
      <c r="M81" s="1067"/>
      <c r="N81" s="2372"/>
      <c r="O81" s="2372"/>
      <c r="P81" s="909"/>
      <c r="Q81" s="901"/>
    </row>
    <row r="82" spans="1:17" s="813" customFormat="1" ht="15.75" thickBot="1">
      <c r="A82" s="910"/>
      <c r="B82" s="1070"/>
      <c r="C82" s="912"/>
      <c r="D82" s="912"/>
      <c r="E82" s="912"/>
      <c r="F82" s="912"/>
      <c r="G82" s="912"/>
      <c r="H82" s="913"/>
      <c r="I82" s="913"/>
      <c r="J82" s="913"/>
      <c r="K82" s="913"/>
      <c r="L82" s="913"/>
      <c r="M82" s="914"/>
      <c r="N82" s="2372"/>
      <c r="O82" s="2372"/>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70"/>
      <c r="O83" s="2370"/>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1"/>
      <c r="O84" s="2371"/>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70"/>
      <c r="O85" s="2370"/>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1"/>
      <c r="O86" s="2371"/>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9"/>
      <c r="O87" s="2369"/>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1"/>
      <c r="O88" s="2371"/>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9"/>
      <c r="O89" s="2369"/>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1"/>
      <c r="O90" s="2371"/>
      <c r="P90" s="334"/>
      <c r="Q90" s="846"/>
    </row>
    <row r="91" spans="1:17" s="813" customFormat="1" ht="15.75" thickTop="1">
      <c r="A91" s="895"/>
      <c r="B91" s="1053" t="s">
        <v>2673</v>
      </c>
      <c r="C91" s="915" t="s">
        <v>425</v>
      </c>
      <c r="D91" s="915" t="s">
        <v>426</v>
      </c>
      <c r="E91" s="915" t="s">
        <v>427</v>
      </c>
      <c r="F91" s="915" t="s">
        <v>428</v>
      </c>
      <c r="G91" s="915" t="s">
        <v>429</v>
      </c>
      <c r="H91" s="942"/>
      <c r="I91" s="942"/>
      <c r="J91" s="942"/>
      <c r="K91" s="942"/>
      <c r="L91" s="943"/>
      <c r="M91" s="944"/>
      <c r="N91" s="2372"/>
      <c r="O91" s="2372"/>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2"/>
      <c r="O92" s="2372"/>
      <c r="P92" s="900"/>
      <c r="Q92" s="901"/>
    </row>
    <row r="93" spans="1:17" s="813" customFormat="1" ht="15.75" thickTop="1">
      <c r="A93" s="895"/>
      <c r="B93" s="1055" t="s">
        <v>2675</v>
      </c>
      <c r="C93" s="213" t="s">
        <v>2661</v>
      </c>
      <c r="D93" s="213" t="s">
        <v>2662</v>
      </c>
      <c r="E93" s="213" t="s">
        <v>2663</v>
      </c>
      <c r="F93" s="213" t="s">
        <v>2664</v>
      </c>
      <c r="G93" s="213" t="s">
        <v>2665</v>
      </c>
      <c r="H93" s="942"/>
      <c r="I93" s="942"/>
      <c r="J93" s="942"/>
      <c r="K93" s="942"/>
      <c r="L93" s="942"/>
      <c r="M93" s="944"/>
      <c r="N93" s="2372"/>
      <c r="O93" s="2372"/>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0"/>
      <c r="N94" s="2372"/>
      <c r="O94" s="2372"/>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70"/>
      <c r="O95" s="2370"/>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1"/>
      <c r="O96" s="2371"/>
      <c r="P96" s="334"/>
      <c r="Q96" s="846"/>
    </row>
    <row r="97" spans="1:17" ht="27.75" thickTop="1">
      <c r="A97" s="876"/>
      <c r="B97" s="1053" t="s">
        <v>144</v>
      </c>
      <c r="C97" s="139"/>
      <c r="D97" s="139"/>
      <c r="E97" s="139"/>
      <c r="F97" s="139"/>
      <c r="G97" s="139"/>
      <c r="H97" s="131"/>
      <c r="I97" s="131"/>
      <c r="J97" s="131"/>
      <c r="K97" s="132"/>
      <c r="L97" s="133"/>
      <c r="M97" s="134"/>
      <c r="N97" s="2370"/>
      <c r="O97" s="2370"/>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1"/>
      <c r="O98" s="2371"/>
      <c r="P98" s="334"/>
      <c r="Q98" s="846"/>
    </row>
    <row r="99" spans="1:17" ht="15.75" thickTop="1">
      <c r="A99" s="876"/>
      <c r="B99" s="1053" t="s">
        <v>153</v>
      </c>
      <c r="C99" s="925"/>
      <c r="D99" s="925"/>
      <c r="E99" s="925"/>
      <c r="F99" s="925"/>
      <c r="G99" s="925"/>
      <c r="H99" s="925"/>
      <c r="I99" s="925"/>
      <c r="J99" s="925"/>
      <c r="K99" s="926"/>
      <c r="L99" s="927"/>
      <c r="M99" s="928"/>
      <c r="N99" s="2370"/>
      <c r="O99" s="2370"/>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1"/>
      <c r="O100" s="2371"/>
      <c r="P100" s="334"/>
      <c r="Q100" s="846"/>
    </row>
    <row r="101" spans="1:17" ht="15.75" thickTop="1">
      <c r="A101" s="876"/>
      <c r="B101" s="1055">
        <f>B31</f>
        <v>111</v>
      </c>
      <c r="C101" s="139"/>
      <c r="D101" s="139"/>
      <c r="E101" s="139"/>
      <c r="F101" s="139"/>
      <c r="G101" s="135"/>
      <c r="H101" s="135"/>
      <c r="I101" s="135"/>
      <c r="J101" s="135"/>
      <c r="K101" s="136"/>
      <c r="L101" s="137"/>
      <c r="M101" s="138"/>
      <c r="N101" s="2370"/>
      <c r="O101" s="2370"/>
      <c r="P101" s="334"/>
      <c r="Q101" s="846"/>
    </row>
    <row r="102" spans="1:17" ht="15.75" thickBot="1">
      <c r="A102" s="876"/>
      <c r="B102" s="1070"/>
      <c r="C102" s="902"/>
      <c r="D102" s="878"/>
      <c r="E102" s="878"/>
      <c r="F102" s="878"/>
      <c r="G102" s="933"/>
      <c r="H102" s="933"/>
      <c r="I102" s="933"/>
      <c r="J102" s="933"/>
      <c r="K102" s="933"/>
      <c r="L102" s="933"/>
      <c r="M102" s="934"/>
      <c r="N102" s="2371"/>
      <c r="O102" s="2371"/>
      <c r="P102" s="334"/>
      <c r="Q102" s="846"/>
    </row>
    <row r="103" spans="1:17" ht="15" thickTop="1">
      <c r="A103" s="1083"/>
      <c r="B103" s="1053">
        <f>B32</f>
        <v>111</v>
      </c>
      <c r="C103" s="139"/>
      <c r="D103" s="139"/>
      <c r="E103" s="139"/>
      <c r="F103" s="139"/>
      <c r="G103" s="131"/>
      <c r="H103" s="131"/>
      <c r="I103" s="131"/>
      <c r="J103" s="131"/>
      <c r="K103" s="132"/>
      <c r="L103" s="133"/>
      <c r="M103" s="134"/>
      <c r="N103" s="2370"/>
      <c r="O103" s="2370"/>
      <c r="P103" s="334"/>
      <c r="Q103" s="846"/>
    </row>
    <row r="104" spans="1:17" ht="15.75" thickBot="1">
      <c r="A104" s="876"/>
      <c r="B104" s="1054"/>
      <c r="C104" s="902"/>
      <c r="D104" s="902"/>
      <c r="E104" s="902"/>
      <c r="F104" s="902"/>
      <c r="G104" s="878"/>
      <c r="H104" s="878"/>
      <c r="I104" s="878"/>
      <c r="J104" s="878"/>
      <c r="K104" s="878"/>
      <c r="L104" s="878"/>
      <c r="M104" s="879"/>
      <c r="N104" s="2371"/>
      <c r="O104" s="2371"/>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2"/>
      <c r="O105" s="2372"/>
      <c r="P105" s="900"/>
      <c r="Q105" s="901"/>
    </row>
    <row r="106" spans="1:17" s="813" customFormat="1" ht="15.75" thickBot="1">
      <c r="A106" s="895"/>
      <c r="B106" s="1055"/>
      <c r="C106" s="912"/>
      <c r="D106" s="912"/>
      <c r="E106" s="912"/>
      <c r="F106" s="912"/>
      <c r="G106" s="1085"/>
      <c r="H106" s="1085"/>
      <c r="I106" s="1085"/>
      <c r="J106" s="1085"/>
      <c r="K106" s="1085"/>
      <c r="L106" s="1085"/>
      <c r="M106" s="1107"/>
      <c r="N106" s="2371"/>
      <c r="O106" s="2371"/>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5" t="str">
        <f t="shared" si="25"/>
        <v>(含)-</v>
      </c>
      <c r="L107" s="3305" t="str">
        <f t="shared" si="25"/>
        <v>(含)-</v>
      </c>
      <c r="M107" s="3306" t="str">
        <f>M108&amp;"(含)"&amp;"-"&amp;P108</f>
        <v>(含)-</v>
      </c>
      <c r="N107" s="2370"/>
      <c r="O107" s="2370"/>
      <c r="P107" s="334"/>
      <c r="Q107" s="846"/>
    </row>
    <row r="108" spans="1:17" ht="15">
      <c r="A108" s="876"/>
      <c r="B108" s="1055"/>
      <c r="C108" s="937"/>
      <c r="D108" s="937"/>
      <c r="E108" s="937"/>
      <c r="F108" s="937"/>
      <c r="G108" s="937"/>
      <c r="H108" s="937"/>
      <c r="I108" s="937"/>
      <c r="J108" s="938"/>
      <c r="K108" s="938"/>
      <c r="L108" s="939"/>
      <c r="M108" s="940"/>
      <c r="N108" s="2370"/>
      <c r="O108" s="2370"/>
      <c r="P108" s="334"/>
      <c r="Q108" s="846"/>
    </row>
    <row r="109" spans="1:17" ht="15.75" thickBot="1">
      <c r="A109" s="876"/>
      <c r="B109" s="1054"/>
      <c r="C109" s="912"/>
      <c r="D109" s="933"/>
      <c r="E109" s="933"/>
      <c r="F109" s="933"/>
      <c r="G109" s="933"/>
      <c r="H109" s="933"/>
      <c r="I109" s="933"/>
      <c r="J109" s="933"/>
      <c r="K109" s="933"/>
      <c r="L109" s="933"/>
      <c r="M109" s="934"/>
      <c r="N109" s="2371"/>
      <c r="O109" s="2371"/>
      <c r="P109" s="334"/>
      <c r="Q109" s="846"/>
    </row>
    <row r="110" spans="1:17" ht="15" thickTop="1">
      <c r="A110" s="941"/>
      <c r="B110" s="1053" t="s">
        <v>86</v>
      </c>
      <c r="C110" s="131"/>
      <c r="D110" s="131"/>
      <c r="E110" s="131"/>
      <c r="F110" s="131"/>
      <c r="G110" s="131"/>
      <c r="H110" s="131"/>
      <c r="I110" s="131"/>
      <c r="J110" s="131"/>
      <c r="K110" s="132"/>
      <c r="L110" s="133"/>
      <c r="M110" s="134"/>
      <c r="N110" s="2370"/>
      <c r="O110" s="2370"/>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1"/>
      <c r="O111" s="2371"/>
      <c r="P111" s="334"/>
      <c r="Q111" s="846"/>
    </row>
    <row r="112" spans="1:17" s="813" customFormat="1" ht="15" thickTop="1">
      <c r="A112" s="935"/>
      <c r="B112" s="1053" t="s">
        <v>2507</v>
      </c>
      <c r="C112" s="139"/>
      <c r="D112" s="139"/>
      <c r="E112" s="139"/>
      <c r="F112" s="139"/>
      <c r="G112" s="139"/>
      <c r="H112" s="131"/>
      <c r="I112" s="131"/>
      <c r="J112" s="131"/>
      <c r="K112" s="132"/>
      <c r="L112" s="133"/>
      <c r="M112" s="134"/>
      <c r="N112" s="2372"/>
      <c r="O112" s="2372"/>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2"/>
      <c r="O113" s="2372"/>
      <c r="P113" s="900"/>
      <c r="Q113" s="901"/>
    </row>
    <row r="114" spans="1:17" ht="15" thickTop="1">
      <c r="A114" s="941"/>
      <c r="B114" s="1053" t="s">
        <v>85</v>
      </c>
      <c r="C114" s="139"/>
      <c r="D114" s="139"/>
      <c r="E114" s="131"/>
      <c r="F114" s="131"/>
      <c r="G114" s="131"/>
      <c r="H114" s="131"/>
      <c r="I114" s="131"/>
      <c r="J114" s="131"/>
      <c r="K114" s="132"/>
      <c r="L114" s="133"/>
      <c r="M114" s="134"/>
      <c r="N114" s="2370"/>
      <c r="O114" s="2370"/>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1"/>
      <c r="O115" s="2371"/>
      <c r="P115" s="334"/>
      <c r="Q115" s="846"/>
    </row>
    <row r="116" spans="1:17" ht="15" thickTop="1">
      <c r="A116" s="941"/>
      <c r="B116" s="1053">
        <f>B38</f>
        <v>111</v>
      </c>
      <c r="C116" s="139"/>
      <c r="D116" s="139"/>
      <c r="E116" s="139"/>
      <c r="F116" s="139"/>
      <c r="G116" s="139"/>
      <c r="H116" s="131"/>
      <c r="I116" s="131"/>
      <c r="J116" s="131"/>
      <c r="K116" s="132"/>
      <c r="L116" s="133"/>
      <c r="M116" s="134"/>
      <c r="N116" s="2370"/>
      <c r="O116" s="2370"/>
      <c r="P116" s="334"/>
      <c r="Q116" s="846"/>
    </row>
    <row r="117" spans="1:17" ht="15.75" thickBot="1">
      <c r="A117" s="876"/>
      <c r="B117" s="1054"/>
      <c r="C117" s="902"/>
      <c r="D117" s="878"/>
      <c r="E117" s="878"/>
      <c r="F117" s="878"/>
      <c r="G117" s="878"/>
      <c r="H117" s="878"/>
      <c r="I117" s="878"/>
      <c r="J117" s="878"/>
      <c r="K117" s="878"/>
      <c r="L117" s="878"/>
      <c r="M117" s="879"/>
      <c r="N117" s="2371"/>
      <c r="O117" s="2371"/>
      <c r="P117" s="334"/>
      <c r="Q117" s="846"/>
    </row>
    <row r="118" spans="1:17" ht="15" thickTop="1">
      <c r="A118" s="941"/>
      <c r="B118" s="1053">
        <f>B39</f>
        <v>111</v>
      </c>
      <c r="C118" s="139"/>
      <c r="D118" s="139"/>
      <c r="E118" s="139"/>
      <c r="F118" s="139"/>
      <c r="G118" s="131"/>
      <c r="H118" s="131"/>
      <c r="I118" s="131"/>
      <c r="J118" s="131"/>
      <c r="K118" s="132"/>
      <c r="L118" s="133"/>
      <c r="M118" s="134"/>
      <c r="N118" s="2370"/>
      <c r="O118" s="2370"/>
      <c r="P118" s="334"/>
      <c r="Q118" s="846"/>
    </row>
    <row r="119" spans="1:17" ht="15.75" thickBot="1">
      <c r="A119" s="876"/>
      <c r="B119" s="1054"/>
      <c r="C119" s="902"/>
      <c r="D119" s="902"/>
      <c r="E119" s="902"/>
      <c r="F119" s="902"/>
      <c r="G119" s="878"/>
      <c r="H119" s="878"/>
      <c r="I119" s="878"/>
      <c r="J119" s="878"/>
      <c r="K119" s="878"/>
      <c r="L119" s="878"/>
      <c r="M119" s="879"/>
      <c r="N119" s="2371"/>
      <c r="O119" s="2371"/>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2"/>
      <c r="O120" s="2372"/>
      <c r="P120" s="900"/>
      <c r="Q120" s="901"/>
    </row>
    <row r="121" spans="1:17" s="813" customFormat="1" ht="15.75" thickBot="1">
      <c r="A121" s="910"/>
      <c r="B121" s="1078"/>
      <c r="C121" s="912"/>
      <c r="D121" s="912"/>
      <c r="E121" s="912"/>
      <c r="F121" s="912"/>
      <c r="G121" s="933"/>
      <c r="H121" s="933"/>
      <c r="I121" s="933"/>
      <c r="J121" s="933"/>
      <c r="K121" s="933"/>
      <c r="L121" s="933"/>
      <c r="M121" s="934"/>
      <c r="N121" s="2372"/>
      <c r="O121" s="2372"/>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1564</v>
      </c>
      <c r="B1" s="1521" t="s">
        <v>1175</v>
      </c>
      <c r="C1" s="1521" t="s">
        <v>1176</v>
      </c>
      <c r="D1" s="1521" t="s">
        <v>1177</v>
      </c>
      <c r="E1" s="1521" t="s">
        <v>1178</v>
      </c>
      <c r="F1" s="1521" t="s">
        <v>1179</v>
      </c>
      <c r="G1" s="1521" t="s">
        <v>1180</v>
      </c>
      <c r="H1" s="1521" t="s">
        <v>1181</v>
      </c>
      <c r="I1" s="1521" t="s">
        <v>1182</v>
      </c>
      <c r="J1" s="1521" t="s">
        <v>1183</v>
      </c>
      <c r="K1" s="1521" t="s">
        <v>1184</v>
      </c>
      <c r="L1" s="1521" t="s">
        <v>1185</v>
      </c>
      <c r="M1" s="1522" t="s">
        <v>1186</v>
      </c>
    </row>
    <row r="2" spans="1:13" ht="19.5" customHeight="1">
      <c r="A2" s="1547" t="s">
        <v>1201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1202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1851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1570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1571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1572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1574</v>
      </c>
      <c r="B16" s="1566"/>
      <c r="C16" s="1567"/>
      <c r="D16" s="1567"/>
      <c r="E16" s="1566"/>
      <c r="F16" s="1567"/>
      <c r="G16" s="1567"/>
    </row>
    <row r="17" spans="1:9" ht="19.5" customHeight="1">
      <c r="A17" s="1498" t="s">
        <v>1575</v>
      </c>
      <c r="B17" s="1569" t="s">
        <v>1576</v>
      </c>
      <c r="C17" s="1751" t="s">
        <v>1874</v>
      </c>
      <c r="D17" s="1570"/>
      <c r="E17" s="1498" t="s">
        <v>1577</v>
      </c>
      <c r="F17" s="1571"/>
      <c r="G17" s="1571"/>
    </row>
    <row r="18" spans="1:9" s="1577" customFormat="1" ht="19.5" customHeight="1">
      <c r="A18" s="3716" t="s">
        <v>1201</v>
      </c>
      <c r="B18" s="1572" t="s">
        <v>1578</v>
      </c>
      <c r="C18" s="1573" t="s">
        <v>1579</v>
      </c>
      <c r="D18" s="1574"/>
      <c r="E18" s="1572">
        <v>1</v>
      </c>
      <c r="F18" s="1575" t="s">
        <v>1580</v>
      </c>
      <c r="G18" s="1576"/>
      <c r="H18" s="1568"/>
      <c r="I18" s="1568"/>
    </row>
    <row r="19" spans="1:9" s="1577" customFormat="1" ht="19.5" customHeight="1">
      <c r="A19" s="3716"/>
      <c r="B19" s="3716" t="s">
        <v>1581</v>
      </c>
      <c r="C19" s="1573" t="s">
        <v>1582</v>
      </c>
      <c r="D19" s="1574"/>
      <c r="E19" s="1572">
        <v>0.9</v>
      </c>
      <c r="F19" s="1575" t="s">
        <v>1583</v>
      </c>
      <c r="G19" s="1576"/>
      <c r="H19" s="1568"/>
      <c r="I19" s="1568"/>
    </row>
    <row r="20" spans="1:9" s="1577" customFormat="1" ht="19.5" customHeight="1">
      <c r="A20" s="3716"/>
      <c r="B20" s="3716"/>
      <c r="C20" s="1573" t="s">
        <v>1584</v>
      </c>
      <c r="D20" s="1574"/>
      <c r="E20" s="1572">
        <v>1.1000000000000001</v>
      </c>
      <c r="F20" s="1575" t="s">
        <v>1585</v>
      </c>
      <c r="G20" s="1576"/>
      <c r="H20" s="1568"/>
      <c r="I20" s="1568"/>
    </row>
    <row r="21" spans="1:9" s="1577" customFormat="1" ht="19.5" customHeight="1">
      <c r="A21" s="3716"/>
      <c r="B21" s="3716"/>
      <c r="C21" s="1573" t="s">
        <v>1586</v>
      </c>
      <c r="D21" s="1574"/>
      <c r="E21" s="1572">
        <v>0.8</v>
      </c>
      <c r="F21" s="1575" t="s">
        <v>1587</v>
      </c>
      <c r="G21" s="1576"/>
      <c r="H21" s="1568"/>
      <c r="I21" s="1568"/>
    </row>
    <row r="22" spans="1:9" s="1577" customFormat="1" ht="19.5" customHeight="1">
      <c r="A22" s="3716"/>
      <c r="B22" s="3716"/>
      <c r="C22" s="1573" t="s">
        <v>1588</v>
      </c>
      <c r="D22" s="1574"/>
      <c r="E22" s="1572">
        <v>0.5</v>
      </c>
      <c r="F22" s="1575"/>
      <c r="G22" s="1576"/>
      <c r="H22" s="1568"/>
      <c r="I22" s="1568"/>
    </row>
    <row r="23" spans="1:9" s="1577" customFormat="1" ht="19.5" customHeight="1">
      <c r="A23" s="3716" t="s">
        <v>1202</v>
      </c>
      <c r="B23" s="1572" t="s">
        <v>1578</v>
      </c>
      <c r="C23" s="1573" t="s">
        <v>1589</v>
      </c>
      <c r="D23" s="1574"/>
      <c r="E23" s="1572">
        <v>1</v>
      </c>
      <c r="F23" s="1575" t="s">
        <v>1590</v>
      </c>
      <c r="G23" s="1576"/>
      <c r="H23" s="1568"/>
      <c r="I23" s="1568"/>
    </row>
    <row r="24" spans="1:9" s="1577" customFormat="1" ht="19.5" customHeight="1">
      <c r="A24" s="3716"/>
      <c r="B24" s="3716" t="s">
        <v>1581</v>
      </c>
      <c r="C24" s="1573" t="s">
        <v>1591</v>
      </c>
      <c r="D24" s="1574"/>
      <c r="E24" s="1572">
        <v>0.5</v>
      </c>
      <c r="F24" s="1575"/>
      <c r="G24" s="1576"/>
      <c r="H24" s="1568"/>
      <c r="I24" s="1568"/>
    </row>
    <row r="25" spans="1:9" s="1577" customFormat="1" ht="19.5" customHeight="1">
      <c r="A25" s="3716"/>
      <c r="B25" s="3716"/>
      <c r="C25" s="1573" t="s">
        <v>1592</v>
      </c>
      <c r="D25" s="1574"/>
      <c r="E25" s="1572">
        <v>1.1000000000000001</v>
      </c>
      <c r="F25" s="1575"/>
      <c r="G25" s="1576"/>
      <c r="H25" s="1568"/>
      <c r="I25" s="1568"/>
    </row>
    <row r="26" spans="1:9" s="1577" customFormat="1" ht="19.5" customHeight="1">
      <c r="A26" s="3716"/>
      <c r="B26" s="3716"/>
      <c r="C26" s="1573" t="s">
        <v>1593</v>
      </c>
      <c r="D26" s="1574"/>
      <c r="E26" s="1572">
        <v>1.1000000000000001</v>
      </c>
      <c r="F26" s="1575"/>
      <c r="G26" s="1576"/>
      <c r="H26" s="1568"/>
      <c r="I26" s="1568"/>
    </row>
    <row r="27" spans="1:9" s="1577" customFormat="1" ht="19.5" customHeight="1">
      <c r="A27" s="3716"/>
      <c r="B27" s="3716"/>
      <c r="C27" s="1573" t="s">
        <v>1594</v>
      </c>
      <c r="D27" s="1574"/>
      <c r="E27" s="1572">
        <v>0.9</v>
      </c>
      <c r="F27" s="1575" t="s">
        <v>1595</v>
      </c>
      <c r="G27" s="1576"/>
      <c r="H27" s="1568"/>
      <c r="I27" s="1568"/>
    </row>
    <row r="28" spans="1:9" s="1577" customFormat="1" ht="19.5" customHeight="1">
      <c r="A28" s="3716"/>
      <c r="B28" s="3716"/>
      <c r="C28" s="1573" t="s">
        <v>1596</v>
      </c>
      <c r="D28" s="1574"/>
      <c r="E28" s="1572">
        <v>0.9</v>
      </c>
      <c r="F28" s="1575" t="s">
        <v>1597</v>
      </c>
      <c r="G28" s="1576"/>
      <c r="H28" s="1568"/>
      <c r="I28" s="1568"/>
    </row>
    <row r="29" spans="1:9" s="1577" customFormat="1" ht="19.5" customHeight="1">
      <c r="A29" s="3716"/>
      <c r="B29" s="3716"/>
      <c r="C29" s="1573" t="s">
        <v>1598</v>
      </c>
      <c r="D29" s="1574"/>
      <c r="E29" s="1572">
        <v>0.9</v>
      </c>
      <c r="F29" s="1575" t="s">
        <v>1599</v>
      </c>
      <c r="G29" s="1576"/>
      <c r="H29" s="1568"/>
      <c r="I29" s="1568"/>
    </row>
    <row r="30" spans="1:9" s="1577" customFormat="1" ht="19.5" customHeight="1">
      <c r="A30" s="3716"/>
      <c r="B30" s="3716"/>
      <c r="C30" s="1573" t="s">
        <v>1600</v>
      </c>
      <c r="D30" s="1574"/>
      <c r="E30" s="1572">
        <v>0.9</v>
      </c>
      <c r="F30" s="1575" t="s">
        <v>1601</v>
      </c>
      <c r="G30" s="1576"/>
      <c r="H30" s="1568"/>
      <c r="I30" s="1568"/>
    </row>
    <row r="31" spans="1:9" s="1577" customFormat="1" ht="19.5" customHeight="1">
      <c r="A31" s="3716"/>
      <c r="B31" s="3716"/>
      <c r="C31" s="1573" t="s">
        <v>1602</v>
      </c>
      <c r="D31" s="1574"/>
      <c r="E31" s="1572">
        <v>0.8</v>
      </c>
      <c r="F31" s="1575" t="s">
        <v>1603</v>
      </c>
      <c r="G31" s="1576"/>
      <c r="H31" s="1568"/>
      <c r="I31" s="1568"/>
    </row>
    <row r="32" spans="1:9" s="1577" customFormat="1" ht="19.5" customHeight="1">
      <c r="A32" s="3716"/>
      <c r="B32" s="3716"/>
      <c r="C32" s="1573" t="s">
        <v>1604</v>
      </c>
      <c r="D32" s="1574"/>
      <c r="E32" s="1572">
        <v>0.8</v>
      </c>
      <c r="F32" s="1575" t="s">
        <v>1605</v>
      </c>
      <c r="G32" s="1576"/>
      <c r="H32" s="1568"/>
      <c r="I32" s="1568"/>
    </row>
    <row r="33" spans="1:9" s="1577" customFormat="1" ht="19.5" customHeight="1">
      <c r="A33" s="3716" t="s">
        <v>1203</v>
      </c>
      <c r="B33" s="1572" t="s">
        <v>1578</v>
      </c>
      <c r="C33" s="1573" t="s">
        <v>1606</v>
      </c>
      <c r="D33" s="1574"/>
      <c r="E33" s="1572">
        <v>1</v>
      </c>
      <c r="F33" s="1575" t="s">
        <v>1607</v>
      </c>
      <c r="G33" s="1576"/>
      <c r="H33" s="1568"/>
      <c r="I33" s="1568"/>
    </row>
    <row r="34" spans="1:9" s="1577" customFormat="1" ht="19.5" customHeight="1">
      <c r="A34" s="3716"/>
      <c r="B34" s="1572" t="s">
        <v>1581</v>
      </c>
      <c r="C34" s="1573" t="s">
        <v>1608</v>
      </c>
      <c r="D34" s="1574"/>
      <c r="E34" s="1572">
        <v>1.5</v>
      </c>
      <c r="F34" s="1575" t="s">
        <v>1609</v>
      </c>
      <c r="G34" s="1576"/>
      <c r="H34" s="1568"/>
      <c r="I34" s="1568"/>
    </row>
    <row r="35" spans="1:9" s="1577" customFormat="1" ht="19.5" customHeight="1">
      <c r="A35" s="3716" t="s">
        <v>1204</v>
      </c>
      <c r="B35" s="1572" t="s">
        <v>1578</v>
      </c>
      <c r="C35" s="1573" t="s">
        <v>1610</v>
      </c>
      <c r="D35" s="1574"/>
      <c r="E35" s="1572">
        <v>1</v>
      </c>
      <c r="F35" s="1575" t="s">
        <v>1611</v>
      </c>
      <c r="G35" s="1576"/>
      <c r="H35" s="1568"/>
      <c r="I35" s="1568"/>
    </row>
    <row r="36" spans="1:9" s="1577" customFormat="1" ht="19.5" customHeight="1">
      <c r="A36" s="3716"/>
      <c r="B36" s="3716" t="s">
        <v>1581</v>
      </c>
      <c r="C36" s="1573" t="s">
        <v>1612</v>
      </c>
      <c r="D36" s="1574"/>
      <c r="E36" s="1572">
        <v>1</v>
      </c>
      <c r="F36" s="1575" t="s">
        <v>1613</v>
      </c>
      <c r="G36" s="1576"/>
      <c r="H36" s="1568"/>
      <c r="I36" s="1568"/>
    </row>
    <row r="37" spans="1:9" s="1577" customFormat="1" ht="19.5" customHeight="1">
      <c r="A37" s="3716"/>
      <c r="B37" s="3716"/>
      <c r="C37" s="1573" t="s">
        <v>1614</v>
      </c>
      <c r="D37" s="1574"/>
      <c r="E37" s="1572">
        <v>1.5</v>
      </c>
      <c r="F37" s="1575" t="s">
        <v>1615</v>
      </c>
      <c r="G37" s="1576"/>
      <c r="H37" s="1568"/>
      <c r="I37" s="1568"/>
    </row>
    <row r="38" spans="1:9" s="1577" customFormat="1" ht="19.5" customHeight="1">
      <c r="A38" s="3716"/>
      <c r="B38" s="3716"/>
      <c r="C38" s="1573" t="s">
        <v>1616</v>
      </c>
      <c r="D38" s="1574"/>
      <c r="E38" s="1572">
        <v>1</v>
      </c>
      <c r="F38" s="1575" t="s">
        <v>1617</v>
      </c>
      <c r="G38" s="1576"/>
      <c r="H38" s="1568"/>
      <c r="I38" s="1568"/>
    </row>
    <row r="39" spans="1:9" s="1577" customFormat="1" ht="19.5" customHeight="1">
      <c r="A39" s="3716"/>
      <c r="B39" s="3716"/>
      <c r="C39" s="1573" t="s">
        <v>1618</v>
      </c>
      <c r="D39" s="1574"/>
      <c r="E39" s="1572">
        <v>1</v>
      </c>
      <c r="F39" s="1575" t="s">
        <v>1619</v>
      </c>
      <c r="G39" s="1576"/>
      <c r="H39" s="1568"/>
      <c r="I39" s="1568"/>
    </row>
    <row r="40" spans="1:9" s="1577" customFormat="1" ht="19.5" customHeight="1">
      <c r="A40" s="1578" t="s">
        <v>1620</v>
      </c>
      <c r="B40" s="1578"/>
      <c r="C40" s="1578"/>
      <c r="D40" s="1578"/>
      <c r="E40" s="1578"/>
      <c r="F40" s="1579"/>
      <c r="G40" s="1579"/>
      <c r="H40" s="1568"/>
      <c r="I40" s="1568"/>
    </row>
    <row r="42" spans="1:9" ht="19.5" customHeight="1">
      <c r="A42" s="1580"/>
      <c r="B42" s="1498" t="s">
        <v>1621</v>
      </c>
      <c r="C42" s="1498" t="s">
        <v>1621</v>
      </c>
      <c r="D42" s="1498" t="s">
        <v>1621</v>
      </c>
      <c r="E42" s="1509" t="s">
        <v>1621</v>
      </c>
      <c r="F42" s="1509" t="s">
        <v>1621</v>
      </c>
      <c r="G42" s="1509" t="s">
        <v>1622</v>
      </c>
      <c r="H42" s="1509" t="s">
        <v>1621</v>
      </c>
    </row>
    <row r="43" spans="1:9" ht="19.5" customHeight="1">
      <c r="A43" s="1581"/>
      <c r="B43" s="1509" t="s">
        <v>1201</v>
      </c>
      <c r="C43" s="1509" t="s">
        <v>1201</v>
      </c>
      <c r="D43" s="1509" t="s">
        <v>1201</v>
      </c>
      <c r="E43" s="1509" t="s">
        <v>1201</v>
      </c>
      <c r="F43" s="1498" t="s">
        <v>1202</v>
      </c>
      <c r="G43" s="1498" t="s">
        <v>1204</v>
      </c>
      <c r="H43" s="1498" t="s">
        <v>1623</v>
      </c>
    </row>
    <row r="44" spans="1:9" ht="19.5" customHeight="1">
      <c r="A44" s="1582"/>
      <c r="B44" s="1498">
        <v>1</v>
      </c>
      <c r="C44" s="1498">
        <v>2</v>
      </c>
      <c r="D44" s="1498">
        <v>3</v>
      </c>
      <c r="E44" s="1509">
        <v>4</v>
      </c>
      <c r="F44" s="1570" t="s">
        <v>1624</v>
      </c>
      <c r="G44" s="1570" t="s">
        <v>1624</v>
      </c>
      <c r="H44" s="1570" t="s">
        <v>1624</v>
      </c>
    </row>
    <row r="45" spans="1:9" ht="19.5" customHeight="1">
      <c r="A45" s="1583" t="s">
        <v>1175</v>
      </c>
      <c r="B45" s="1498">
        <v>0.8</v>
      </c>
      <c r="C45" s="1498">
        <v>0.5</v>
      </c>
      <c r="D45" s="1498">
        <v>0.36</v>
      </c>
      <c r="E45" s="1498">
        <v>0.3</v>
      </c>
      <c r="F45" s="1570">
        <v>0.3</v>
      </c>
      <c r="G45" s="1498">
        <v>0.3</v>
      </c>
      <c r="H45" s="1498">
        <v>0.25</v>
      </c>
    </row>
    <row r="46" spans="1:9" ht="19.5" customHeight="1">
      <c r="A46" s="1583" t="s">
        <v>1176</v>
      </c>
      <c r="B46" s="1498">
        <v>0.8</v>
      </c>
      <c r="C46" s="1498">
        <v>0.5</v>
      </c>
      <c r="D46" s="1498">
        <v>0.36</v>
      </c>
      <c r="E46" s="1498">
        <v>0.3</v>
      </c>
      <c r="F46" s="1498">
        <v>0.3</v>
      </c>
      <c r="G46" s="1498">
        <v>0.3</v>
      </c>
      <c r="H46" s="1498">
        <v>0.25</v>
      </c>
    </row>
    <row r="47" spans="1:9" ht="19.5" customHeight="1">
      <c r="A47" s="1583" t="s">
        <v>1177</v>
      </c>
      <c r="B47" s="1498">
        <v>0.7</v>
      </c>
      <c r="C47" s="1498">
        <v>0.4</v>
      </c>
      <c r="D47" s="1498">
        <v>0.28000000000000003</v>
      </c>
      <c r="E47" s="1498">
        <v>0.25</v>
      </c>
      <c r="F47" s="1498">
        <v>0.25</v>
      </c>
      <c r="G47" s="1498">
        <v>0.25</v>
      </c>
      <c r="H47" s="1498">
        <v>0.2</v>
      </c>
    </row>
    <row r="48" spans="1:9" ht="19.5" customHeight="1">
      <c r="A48" s="1583" t="s">
        <v>1178</v>
      </c>
      <c r="B48" s="1498">
        <v>0.7</v>
      </c>
      <c r="C48" s="1498">
        <v>0.4</v>
      </c>
      <c r="D48" s="1498">
        <v>0.28000000000000003</v>
      </c>
      <c r="E48" s="1498">
        <v>0.25</v>
      </c>
      <c r="F48" s="1498">
        <v>0.25</v>
      </c>
      <c r="G48" s="1498">
        <v>0.25</v>
      </c>
      <c r="H48" s="1498">
        <v>0.2</v>
      </c>
    </row>
    <row r="49" spans="1:8" s="1568" customFormat="1" ht="19.5" customHeight="1">
      <c r="A49" s="1583" t="s">
        <v>1179</v>
      </c>
      <c r="B49" s="1498">
        <v>0.7</v>
      </c>
      <c r="C49" s="1498">
        <v>0.4</v>
      </c>
      <c r="D49" s="1498">
        <v>0.28000000000000003</v>
      </c>
      <c r="E49" s="1498">
        <v>0.25</v>
      </c>
      <c r="F49" s="1498">
        <v>0.25</v>
      </c>
      <c r="G49" s="1498">
        <v>0.25</v>
      </c>
      <c r="H49" s="1498">
        <v>0.2</v>
      </c>
    </row>
    <row r="50" spans="1:8" s="1568" customFormat="1" ht="19.5" customHeight="1">
      <c r="A50" s="1583" t="s">
        <v>1180</v>
      </c>
      <c r="B50" s="1498">
        <v>0.7</v>
      </c>
      <c r="C50" s="1498">
        <v>0.4</v>
      </c>
      <c r="D50" s="1498">
        <v>0.28000000000000003</v>
      </c>
      <c r="E50" s="1498">
        <v>0.25</v>
      </c>
      <c r="F50" s="1498">
        <v>0.25</v>
      </c>
      <c r="G50" s="1498">
        <v>0.25</v>
      </c>
      <c r="H50" s="1498">
        <v>0.2</v>
      </c>
    </row>
    <row r="51" spans="1:8" s="1568" customFormat="1" ht="19.5" customHeight="1">
      <c r="A51" s="1583" t="s">
        <v>1181</v>
      </c>
      <c r="B51" s="1498">
        <v>0.7</v>
      </c>
      <c r="C51" s="1498">
        <v>0.4</v>
      </c>
      <c r="D51" s="1498">
        <v>0.28000000000000003</v>
      </c>
      <c r="E51" s="1498">
        <v>0.25</v>
      </c>
      <c r="F51" s="1498">
        <v>0.25</v>
      </c>
      <c r="G51" s="1498">
        <v>0.25</v>
      </c>
      <c r="H51" s="1498">
        <v>0.2</v>
      </c>
    </row>
    <row r="52" spans="1:8" s="1568" customFormat="1" ht="19.5" customHeight="1">
      <c r="A52" s="1583" t="s">
        <v>1182</v>
      </c>
      <c r="B52" s="1498">
        <v>0.6</v>
      </c>
      <c r="C52" s="1498">
        <v>0.3</v>
      </c>
      <c r="D52" s="1498">
        <v>0.2</v>
      </c>
      <c r="E52" s="1498">
        <v>0.2</v>
      </c>
      <c r="F52" s="1498">
        <v>0.2</v>
      </c>
      <c r="G52" s="1498">
        <v>0.2</v>
      </c>
      <c r="H52" s="1498">
        <v>0.15</v>
      </c>
    </row>
    <row r="53" spans="1:8" s="1568" customFormat="1" ht="19.5" customHeight="1">
      <c r="A53" s="1583" t="s">
        <v>1183</v>
      </c>
      <c r="B53" s="1498">
        <v>0.6</v>
      </c>
      <c r="C53" s="1498">
        <v>0.3</v>
      </c>
      <c r="D53" s="1498">
        <v>0.2</v>
      </c>
      <c r="E53" s="1498">
        <v>0.2</v>
      </c>
      <c r="F53" s="1498">
        <v>0.2</v>
      </c>
      <c r="G53" s="1498">
        <v>0.2</v>
      </c>
      <c r="H53" s="1498">
        <v>0.15</v>
      </c>
    </row>
    <row r="54" spans="1:8" s="1568" customFormat="1" ht="19.5" customHeight="1">
      <c r="A54" s="1583" t="s">
        <v>1184</v>
      </c>
      <c r="B54" s="1498">
        <v>0.6</v>
      </c>
      <c r="C54" s="1498">
        <v>0.3</v>
      </c>
      <c r="D54" s="1498">
        <v>0.2</v>
      </c>
      <c r="E54" s="1498">
        <v>0.2</v>
      </c>
      <c r="F54" s="1498">
        <v>0.2</v>
      </c>
      <c r="G54" s="1498">
        <v>0.2</v>
      </c>
      <c r="H54" s="1498">
        <v>0.15</v>
      </c>
    </row>
    <row r="55" spans="1:8" s="1568" customFormat="1" ht="19.5" customHeight="1">
      <c r="A55" s="1583" t="s">
        <v>1185</v>
      </c>
      <c r="B55" s="1498">
        <v>0.6</v>
      </c>
      <c r="C55" s="1498">
        <v>0.3</v>
      </c>
      <c r="D55" s="1498">
        <v>0.2</v>
      </c>
      <c r="E55" s="1498">
        <v>0.2</v>
      </c>
      <c r="F55" s="1498">
        <v>0.2</v>
      </c>
      <c r="G55" s="1498">
        <v>0.2</v>
      </c>
      <c r="H55" s="1498">
        <v>0.15</v>
      </c>
    </row>
    <row r="56" spans="1:8" s="1568" customFormat="1" ht="19.5" customHeight="1">
      <c r="A56" s="1583" t="s">
        <v>1186</v>
      </c>
      <c r="B56" s="1498">
        <v>0.6</v>
      </c>
      <c r="C56" s="1498">
        <v>0.3</v>
      </c>
      <c r="D56" s="1498">
        <v>0.2</v>
      </c>
      <c r="E56" s="1498">
        <v>0.2</v>
      </c>
      <c r="F56" s="1498">
        <v>0.2</v>
      </c>
      <c r="G56" s="1498">
        <v>0.2</v>
      </c>
      <c r="H56" s="1498">
        <v>0.15</v>
      </c>
    </row>
    <row r="58" spans="1:8" s="1568" customFormat="1" ht="19.5" customHeight="1">
      <c r="A58" s="1584"/>
      <c r="B58" s="1566"/>
      <c r="C58" s="1566"/>
      <c r="D58" s="1566" t="s">
        <v>1625</v>
      </c>
      <c r="E58" s="1566"/>
      <c r="F58" s="1566"/>
    </row>
    <row r="59" spans="1:8" s="1568" customFormat="1" ht="19.5" customHeight="1">
      <c r="A59" s="1572" t="s">
        <v>1626</v>
      </c>
      <c r="B59" s="1572" t="s">
        <v>1627</v>
      </c>
      <c r="C59" s="1572" t="s">
        <v>1628</v>
      </c>
      <c r="D59" s="1572" t="s">
        <v>1629</v>
      </c>
      <c r="E59" s="1572" t="s">
        <v>1630</v>
      </c>
      <c r="F59" s="1572" t="s">
        <v>1631</v>
      </c>
    </row>
    <row r="60" spans="1:8" ht="13.5">
      <c r="A60" s="1768"/>
      <c r="B60" s="1768"/>
      <c r="C60" s="1768" t="s">
        <v>1763</v>
      </c>
      <c r="D60" s="1768"/>
      <c r="E60" s="1585" t="s">
        <v>23</v>
      </c>
      <c r="F60" s="1768" t="s">
        <v>23</v>
      </c>
    </row>
    <row r="61" spans="1:8" s="1568" customFormat="1" ht="24">
      <c r="A61" s="1572">
        <v>1</v>
      </c>
      <c r="B61" s="3716" t="s">
        <v>1632</v>
      </c>
      <c r="C61" s="1498" t="s">
        <v>1633</v>
      </c>
      <c r="D61" s="1498" t="s">
        <v>1634</v>
      </c>
      <c r="E61" s="1585">
        <v>0.5</v>
      </c>
      <c r="F61" s="1572">
        <v>80</v>
      </c>
    </row>
    <row r="62" spans="1:8" s="1568" customFormat="1" ht="24">
      <c r="A62" s="1572">
        <v>2</v>
      </c>
      <c r="B62" s="3716"/>
      <c r="C62" s="1498" t="s">
        <v>1635</v>
      </c>
      <c r="D62" s="1498" t="s">
        <v>1636</v>
      </c>
      <c r="E62" s="1585">
        <v>0.5</v>
      </c>
      <c r="F62" s="1572">
        <v>80</v>
      </c>
    </row>
    <row r="63" spans="1:8" s="1568" customFormat="1" ht="36">
      <c r="A63" s="1572">
        <v>3</v>
      </c>
      <c r="B63" s="3716"/>
      <c r="C63" s="1498" t="s">
        <v>1637</v>
      </c>
      <c r="D63" s="1498" t="s">
        <v>1638</v>
      </c>
      <c r="E63" s="1585">
        <v>0.5</v>
      </c>
      <c r="F63" s="1572">
        <v>80</v>
      </c>
    </row>
    <row r="64" spans="1:8" s="1568" customFormat="1" ht="36">
      <c r="A64" s="1572">
        <v>4</v>
      </c>
      <c r="B64" s="3716"/>
      <c r="C64" s="1498" t="s">
        <v>1639</v>
      </c>
      <c r="D64" s="1498" t="s">
        <v>1640</v>
      </c>
      <c r="E64" s="1585">
        <v>0.4</v>
      </c>
      <c r="F64" s="1572">
        <v>60</v>
      </c>
    </row>
    <row r="65" spans="1:6" s="1568" customFormat="1" ht="36">
      <c r="A65" s="1572">
        <v>5</v>
      </c>
      <c r="B65" s="3716"/>
      <c r="C65" s="1498" t="s">
        <v>1641</v>
      </c>
      <c r="D65" s="1498" t="s">
        <v>1642</v>
      </c>
      <c r="E65" s="1585">
        <v>0.2</v>
      </c>
      <c r="F65" s="1572">
        <v>30</v>
      </c>
    </row>
    <row r="66" spans="1:6" s="1568" customFormat="1" ht="36">
      <c r="A66" s="1572">
        <v>6</v>
      </c>
      <c r="B66" s="3716"/>
      <c r="C66" s="1498" t="s">
        <v>1643</v>
      </c>
      <c r="D66" s="1498" t="s">
        <v>1644</v>
      </c>
      <c r="E66" s="1585">
        <v>0.3</v>
      </c>
      <c r="F66" s="1572">
        <v>50</v>
      </c>
    </row>
    <row r="67" spans="1:6" s="1568" customFormat="1" ht="36">
      <c r="A67" s="1572">
        <v>7</v>
      </c>
      <c r="B67" s="3716"/>
      <c r="C67" s="1498" t="s">
        <v>1645</v>
      </c>
      <c r="D67" s="1498" t="s">
        <v>1646</v>
      </c>
      <c r="E67" s="1585">
        <v>0.2</v>
      </c>
      <c r="F67" s="1572">
        <v>30</v>
      </c>
    </row>
    <row r="68" spans="1:6" s="1568" customFormat="1" ht="36">
      <c r="A68" s="1572">
        <v>8</v>
      </c>
      <c r="B68" s="3716"/>
      <c r="C68" s="1498" t="s">
        <v>1647</v>
      </c>
      <c r="D68" s="1498" t="s">
        <v>1648</v>
      </c>
      <c r="E68" s="1585">
        <v>0.2</v>
      </c>
      <c r="F68" s="1572">
        <v>30</v>
      </c>
    </row>
    <row r="69" spans="1:6" s="1568" customFormat="1" ht="36">
      <c r="A69" s="1572">
        <v>9</v>
      </c>
      <c r="B69" s="3716"/>
      <c r="C69" s="1498" t="s">
        <v>1649</v>
      </c>
      <c r="D69" s="1498" t="s">
        <v>1650</v>
      </c>
      <c r="E69" s="1585">
        <v>0.2</v>
      </c>
      <c r="F69" s="1572">
        <v>30</v>
      </c>
    </row>
    <row r="70" spans="1:6" s="1568" customFormat="1" ht="48">
      <c r="A70" s="1572">
        <v>10</v>
      </c>
      <c r="B70" s="3716"/>
      <c r="C70" s="1498" t="s">
        <v>1651</v>
      </c>
      <c r="D70" s="1498" t="s">
        <v>1652</v>
      </c>
      <c r="E70" s="1585">
        <v>0.2</v>
      </c>
      <c r="F70" s="1572">
        <v>30</v>
      </c>
    </row>
    <row r="71" spans="1:6" s="1568" customFormat="1" ht="48">
      <c r="A71" s="1572">
        <v>11</v>
      </c>
      <c r="B71" s="3716"/>
      <c r="C71" s="1498" t="s">
        <v>1653</v>
      </c>
      <c r="D71" s="1498" t="s">
        <v>1654</v>
      </c>
      <c r="E71" s="1585">
        <v>0.2</v>
      </c>
      <c r="F71" s="1572">
        <v>30</v>
      </c>
    </row>
    <row r="72" spans="1:6" s="1568" customFormat="1" ht="36">
      <c r="A72" s="1572">
        <v>12</v>
      </c>
      <c r="B72" s="3716"/>
      <c r="C72" s="1498" t="s">
        <v>1655</v>
      </c>
      <c r="D72" s="1498" t="s">
        <v>1656</v>
      </c>
      <c r="E72" s="1585">
        <v>0.5</v>
      </c>
      <c r="F72" s="1572">
        <v>80</v>
      </c>
    </row>
    <row r="73" spans="1:6" s="1568" customFormat="1" ht="24">
      <c r="A73" s="1572">
        <v>13</v>
      </c>
      <c r="B73" s="3716"/>
      <c r="C73" s="1498" t="s">
        <v>1657</v>
      </c>
      <c r="D73" s="1498" t="s">
        <v>1658</v>
      </c>
      <c r="E73" s="1585">
        <v>0.4</v>
      </c>
      <c r="F73" s="1572">
        <v>60</v>
      </c>
    </row>
    <row r="74" spans="1:6" s="1568" customFormat="1" ht="24">
      <c r="A74" s="1572">
        <v>14</v>
      </c>
      <c r="B74" s="3716"/>
      <c r="C74" s="1498" t="s">
        <v>1659</v>
      </c>
      <c r="D74" s="1498" t="s">
        <v>1660</v>
      </c>
      <c r="E74" s="1585">
        <v>0.2</v>
      </c>
      <c r="F74" s="1572">
        <v>30</v>
      </c>
    </row>
    <row r="75" spans="1:6" s="1568" customFormat="1" ht="24">
      <c r="A75" s="1572">
        <v>15</v>
      </c>
      <c r="B75" s="3716"/>
      <c r="C75" s="1498" t="s">
        <v>1661</v>
      </c>
      <c r="D75" s="1498" t="s">
        <v>1662</v>
      </c>
      <c r="E75" s="1585">
        <v>0.2</v>
      </c>
      <c r="F75" s="1572">
        <v>30</v>
      </c>
    </row>
    <row r="76" spans="1:6" s="1568" customFormat="1" ht="24">
      <c r="A76" s="1572">
        <v>16</v>
      </c>
      <c r="B76" s="3716" t="s">
        <v>1663</v>
      </c>
      <c r="C76" s="1498" t="s">
        <v>1664</v>
      </c>
      <c r="D76" s="1498" t="s">
        <v>1665</v>
      </c>
      <c r="E76" s="1585">
        <v>0.5</v>
      </c>
      <c r="F76" s="1572">
        <v>80</v>
      </c>
    </row>
    <row r="77" spans="1:6" s="1568" customFormat="1" ht="24">
      <c r="A77" s="1572">
        <v>17</v>
      </c>
      <c r="B77" s="3716"/>
      <c r="C77" s="1498" t="s">
        <v>1666</v>
      </c>
      <c r="D77" s="1498" t="s">
        <v>1667</v>
      </c>
      <c r="E77" s="1585">
        <v>0.5</v>
      </c>
      <c r="F77" s="1572">
        <v>80</v>
      </c>
    </row>
    <row r="78" spans="1:6" s="1568" customFormat="1" ht="24">
      <c r="A78" s="1572">
        <v>18</v>
      </c>
      <c r="B78" s="3716"/>
      <c r="C78" s="1498" t="s">
        <v>1668</v>
      </c>
      <c r="D78" s="1498" t="s">
        <v>1669</v>
      </c>
      <c r="E78" s="1585">
        <v>0.2</v>
      </c>
      <c r="F78" s="1572">
        <v>30</v>
      </c>
    </row>
    <row r="79" spans="1:6" s="1568" customFormat="1" ht="24">
      <c r="A79" s="1572">
        <v>19</v>
      </c>
      <c r="B79" s="3716"/>
      <c r="C79" s="1498" t="s">
        <v>1670</v>
      </c>
      <c r="D79" s="1498" t="s">
        <v>1671</v>
      </c>
      <c r="E79" s="1585">
        <v>0.5</v>
      </c>
      <c r="F79" s="1572">
        <v>80</v>
      </c>
    </row>
    <row r="80" spans="1:6" s="1568" customFormat="1" ht="36">
      <c r="A80" s="1572">
        <v>20</v>
      </c>
      <c r="B80" s="3716"/>
      <c r="C80" s="1498" t="s">
        <v>1672</v>
      </c>
      <c r="D80" s="1498" t="s">
        <v>1673</v>
      </c>
      <c r="E80" s="1585">
        <v>0.2</v>
      </c>
      <c r="F80" s="1572">
        <v>30</v>
      </c>
    </row>
    <row r="81" spans="1:6" s="1568" customFormat="1" ht="36">
      <c r="A81" s="1572">
        <v>21</v>
      </c>
      <c r="B81" s="3716"/>
      <c r="C81" s="1498" t="s">
        <v>1674</v>
      </c>
      <c r="D81" s="1498" t="s">
        <v>1675</v>
      </c>
      <c r="E81" s="1585">
        <v>0.2</v>
      </c>
      <c r="F81" s="1572">
        <v>30</v>
      </c>
    </row>
    <row r="82" spans="1:6" s="1568" customFormat="1" ht="48">
      <c r="A82" s="1572">
        <v>22</v>
      </c>
      <c r="B82" s="3716"/>
      <c r="C82" s="1498" t="s">
        <v>1676</v>
      </c>
      <c r="D82" s="1498" t="s">
        <v>1677</v>
      </c>
      <c r="E82" s="1585">
        <v>0.2</v>
      </c>
      <c r="F82" s="1572">
        <v>30</v>
      </c>
    </row>
    <row r="83" spans="1:6" s="1568" customFormat="1" ht="48">
      <c r="A83" s="1572">
        <v>23</v>
      </c>
      <c r="B83" s="3716"/>
      <c r="C83" s="1498" t="s">
        <v>1678</v>
      </c>
      <c r="D83" s="1498" t="s">
        <v>1679</v>
      </c>
      <c r="E83" s="1585">
        <v>0.2</v>
      </c>
      <c r="F83" s="1572">
        <v>30</v>
      </c>
    </row>
    <row r="84" spans="1:6" s="1568" customFormat="1" ht="36">
      <c r="A84" s="1572">
        <v>24</v>
      </c>
      <c r="B84" s="3716"/>
      <c r="C84" s="1498" t="s">
        <v>1680</v>
      </c>
      <c r="D84" s="1498" t="s">
        <v>1681</v>
      </c>
      <c r="E84" s="1585">
        <v>0.2</v>
      </c>
      <c r="F84" s="1572">
        <v>30</v>
      </c>
    </row>
    <row r="85" spans="1:6" s="1568" customFormat="1" ht="36">
      <c r="A85" s="1572">
        <v>25</v>
      </c>
      <c r="B85" s="3716"/>
      <c r="C85" s="1498" t="s">
        <v>1682</v>
      </c>
      <c r="D85" s="1498" t="s">
        <v>1683</v>
      </c>
      <c r="E85" s="1585">
        <v>0.5</v>
      </c>
      <c r="F85" s="1572">
        <v>80</v>
      </c>
    </row>
    <row r="86" spans="1:6" s="1568" customFormat="1" ht="36">
      <c r="A86" s="1572">
        <v>26</v>
      </c>
      <c r="B86" s="3716"/>
      <c r="C86" s="1498" t="s">
        <v>1684</v>
      </c>
      <c r="D86" s="1498" t="s">
        <v>1685</v>
      </c>
      <c r="E86" s="1585">
        <v>0.2</v>
      </c>
      <c r="F86" s="1572">
        <v>30</v>
      </c>
    </row>
    <row r="87" spans="1:6" s="1568" customFormat="1" ht="36">
      <c r="A87" s="1572">
        <v>27</v>
      </c>
      <c r="B87" s="3716"/>
      <c r="C87" s="1498" t="s">
        <v>1686</v>
      </c>
      <c r="D87" s="1498" t="s">
        <v>1687</v>
      </c>
      <c r="E87" s="1585">
        <v>0.2</v>
      </c>
      <c r="F87" s="1572">
        <v>30</v>
      </c>
    </row>
    <row r="88" spans="1:6" s="1568" customFormat="1" ht="36">
      <c r="A88" s="1572">
        <v>28</v>
      </c>
      <c r="B88" s="3716"/>
      <c r="C88" s="1498" t="s">
        <v>1688</v>
      </c>
      <c r="D88" s="1498" t="s">
        <v>1689</v>
      </c>
      <c r="E88" s="1585">
        <v>0.2</v>
      </c>
      <c r="F88" s="1572">
        <v>30</v>
      </c>
    </row>
    <row r="89" spans="1:6" s="1568" customFormat="1" ht="24">
      <c r="A89" s="1572">
        <v>29</v>
      </c>
      <c r="B89" s="3716"/>
      <c r="C89" s="1498" t="s">
        <v>1690</v>
      </c>
      <c r="D89" s="1498" t="s">
        <v>1691</v>
      </c>
      <c r="E89" s="1585">
        <v>0.2</v>
      </c>
      <c r="F89" s="1572">
        <v>30</v>
      </c>
    </row>
    <row r="90" spans="1:6" s="1568" customFormat="1" ht="24">
      <c r="A90" s="1572">
        <v>30</v>
      </c>
      <c r="B90" s="3716"/>
      <c r="C90" s="1498" t="s">
        <v>1692</v>
      </c>
      <c r="D90" s="1498" t="s">
        <v>1693</v>
      </c>
      <c r="E90" s="1585">
        <v>0.2</v>
      </c>
      <c r="F90" s="1572">
        <v>30</v>
      </c>
    </row>
    <row r="91" spans="1:6" s="1568" customFormat="1" ht="36">
      <c r="A91" s="1572">
        <v>31</v>
      </c>
      <c r="B91" s="3716"/>
      <c r="C91" s="1498" t="s">
        <v>1694</v>
      </c>
      <c r="D91" s="1498" t="s">
        <v>1695</v>
      </c>
      <c r="E91" s="1585">
        <v>0.2</v>
      </c>
      <c r="F91" s="1572">
        <v>30</v>
      </c>
    </row>
    <row r="92" spans="1:6" s="1568" customFormat="1" ht="24">
      <c r="A92" s="1572">
        <v>32</v>
      </c>
      <c r="B92" s="3716" t="s">
        <v>1696</v>
      </c>
      <c r="C92" s="1572" t="s">
        <v>1697</v>
      </c>
      <c r="D92" s="1498" t="s">
        <v>1698</v>
      </c>
      <c r="E92" s="1585">
        <v>0.2</v>
      </c>
      <c r="F92" s="1572">
        <v>30</v>
      </c>
    </row>
    <row r="93" spans="1:6" s="1568" customFormat="1" ht="36">
      <c r="A93" s="1572">
        <v>33</v>
      </c>
      <c r="B93" s="3716"/>
      <c r="C93" s="1572" t="s">
        <v>1699</v>
      </c>
      <c r="D93" s="1498" t="s">
        <v>1700</v>
      </c>
      <c r="E93" s="1585">
        <v>0.2</v>
      </c>
      <c r="F93" s="1572">
        <v>30</v>
      </c>
    </row>
    <row r="94" spans="1:6" s="1568" customFormat="1" ht="48">
      <c r="A94" s="1572">
        <v>34</v>
      </c>
      <c r="B94" s="3716"/>
      <c r="C94" s="1572" t="s">
        <v>1701</v>
      </c>
      <c r="D94" s="1498" t="s">
        <v>1702</v>
      </c>
      <c r="E94" s="1585">
        <v>0.2</v>
      </c>
      <c r="F94" s="1572">
        <v>30</v>
      </c>
    </row>
    <row r="95" spans="1:6" s="1568" customFormat="1" ht="36">
      <c r="A95" s="1572">
        <v>35</v>
      </c>
      <c r="B95" s="3716"/>
      <c r="C95" s="1572" t="s">
        <v>1703</v>
      </c>
      <c r="D95" s="1498" t="s">
        <v>1704</v>
      </c>
      <c r="E95" s="1585">
        <v>0.2</v>
      </c>
      <c r="F95" s="1572">
        <v>30</v>
      </c>
    </row>
    <row r="96" spans="1:6" s="1568" customFormat="1" ht="48">
      <c r="A96" s="1572">
        <v>36</v>
      </c>
      <c r="B96" s="3716"/>
      <c r="C96" s="1498" t="s">
        <v>1705</v>
      </c>
      <c r="D96" s="1498" t="s">
        <v>1706</v>
      </c>
      <c r="E96" s="1585">
        <v>0.2</v>
      </c>
      <c r="F96" s="1572">
        <v>30</v>
      </c>
    </row>
    <row r="97" spans="1:6" s="1568" customFormat="1" ht="36">
      <c r="A97" s="1572">
        <v>37</v>
      </c>
      <c r="B97" s="3716"/>
      <c r="C97" s="1572" t="s">
        <v>1707</v>
      </c>
      <c r="D97" s="1498" t="s">
        <v>1708</v>
      </c>
      <c r="E97" s="1585">
        <v>0.2</v>
      </c>
      <c r="F97" s="1572">
        <v>30</v>
      </c>
    </row>
    <row r="98" spans="1:6" s="1568" customFormat="1" ht="36">
      <c r="A98" s="1572">
        <v>38</v>
      </c>
      <c r="B98" s="3716"/>
      <c r="C98" s="1572" t="s">
        <v>1709</v>
      </c>
      <c r="D98" s="1498" t="s">
        <v>1710</v>
      </c>
      <c r="E98" s="1585">
        <v>0.2</v>
      </c>
      <c r="F98" s="1572">
        <v>30</v>
      </c>
    </row>
    <row r="99" spans="1:6" s="1568" customFormat="1" ht="36">
      <c r="A99" s="1572">
        <v>39</v>
      </c>
      <c r="B99" s="3716" t="s">
        <v>1711</v>
      </c>
      <c r="C99" s="1572" t="s">
        <v>1712</v>
      </c>
      <c r="D99" s="1498" t="s">
        <v>1713</v>
      </c>
      <c r="E99" s="1585">
        <v>0.3</v>
      </c>
      <c r="F99" s="1572">
        <v>50</v>
      </c>
    </row>
    <row r="100" spans="1:6" s="1568" customFormat="1" ht="24">
      <c r="A100" s="1572">
        <v>40</v>
      </c>
      <c r="B100" s="3716"/>
      <c r="C100" s="1572" t="s">
        <v>1714</v>
      </c>
      <c r="D100" s="1498" t="s">
        <v>1715</v>
      </c>
      <c r="E100" s="1585">
        <v>0.2</v>
      </c>
      <c r="F100" s="1572">
        <v>30</v>
      </c>
    </row>
    <row r="101" spans="1:6" s="1568" customFormat="1" ht="36">
      <c r="A101" s="1572">
        <v>41</v>
      </c>
      <c r="B101" s="3716"/>
      <c r="C101" s="1572" t="s">
        <v>1716</v>
      </c>
      <c r="D101" s="1498" t="s">
        <v>1713</v>
      </c>
      <c r="E101" s="1585">
        <v>0.2</v>
      </c>
      <c r="F101" s="1572">
        <v>30</v>
      </c>
    </row>
    <row r="102" spans="1:6" s="1568" customFormat="1" ht="48">
      <c r="A102" s="1572">
        <v>42</v>
      </c>
      <c r="B102" s="1572" t="s">
        <v>1717</v>
      </c>
      <c r="C102" s="1498" t="s">
        <v>1718</v>
      </c>
      <c r="D102" s="1498" t="s">
        <v>1719</v>
      </c>
      <c r="E102" s="1585">
        <v>0.2</v>
      </c>
      <c r="F102" s="1572">
        <v>30</v>
      </c>
    </row>
    <row r="103" spans="1:6" s="1568" customFormat="1" ht="24">
      <c r="A103" s="1572">
        <v>43</v>
      </c>
      <c r="B103" s="1572" t="s">
        <v>1720</v>
      </c>
      <c r="C103" s="1572" t="s">
        <v>1721</v>
      </c>
      <c r="D103" s="1498" t="s">
        <v>1722</v>
      </c>
      <c r="E103" s="1585">
        <v>0.2</v>
      </c>
      <c r="F103" s="1572">
        <v>30</v>
      </c>
    </row>
    <row r="104" spans="1:6" s="1568" customFormat="1" ht="36">
      <c r="A104" s="1572">
        <v>44</v>
      </c>
      <c r="B104" s="1572" t="s">
        <v>1723</v>
      </c>
      <c r="C104" s="1572" t="s">
        <v>1724</v>
      </c>
      <c r="D104" s="1498" t="s">
        <v>1725</v>
      </c>
      <c r="E104" s="1585">
        <v>0.2</v>
      </c>
      <c r="F104" s="1572">
        <v>30</v>
      </c>
    </row>
    <row r="105" spans="1:6" s="1568" customFormat="1" ht="36">
      <c r="A105" s="1572">
        <v>45</v>
      </c>
      <c r="B105" s="3716" t="s">
        <v>1726</v>
      </c>
      <c r="C105" s="1572" t="s">
        <v>1727</v>
      </c>
      <c r="D105" s="1498" t="s">
        <v>1728</v>
      </c>
      <c r="E105" s="1585">
        <v>0.2</v>
      </c>
      <c r="F105" s="1572">
        <v>30</v>
      </c>
    </row>
    <row r="106" spans="1:6" s="1568" customFormat="1" ht="36">
      <c r="A106" s="1572">
        <v>46</v>
      </c>
      <c r="B106" s="3716"/>
      <c r="C106" s="1572" t="s">
        <v>1729</v>
      </c>
      <c r="D106" s="1498" t="s">
        <v>1730</v>
      </c>
      <c r="E106" s="1585">
        <v>0.2</v>
      </c>
      <c r="F106" s="1572">
        <v>30</v>
      </c>
    </row>
    <row r="107" spans="1:6" s="1568" customFormat="1" ht="36">
      <c r="A107" s="1572">
        <v>47</v>
      </c>
      <c r="B107" s="3716" t="s">
        <v>1731</v>
      </c>
      <c r="C107" s="1572" t="s">
        <v>1732</v>
      </c>
      <c r="D107" s="1498" t="s">
        <v>1733</v>
      </c>
      <c r="E107" s="1585">
        <v>0.3</v>
      </c>
      <c r="F107" s="1572">
        <v>50</v>
      </c>
    </row>
    <row r="108" spans="1:6" s="1568" customFormat="1" ht="36">
      <c r="A108" s="1572">
        <v>48</v>
      </c>
      <c r="B108" s="3716"/>
      <c r="C108" s="1572" t="s">
        <v>1734</v>
      </c>
      <c r="D108" s="1498" t="s">
        <v>1735</v>
      </c>
      <c r="E108" s="1585">
        <v>0.2</v>
      </c>
      <c r="F108" s="1572">
        <v>30</v>
      </c>
    </row>
    <row r="109" spans="1:6" s="1568" customFormat="1" ht="36">
      <c r="A109" s="1572">
        <v>49</v>
      </c>
      <c r="B109" s="1572" t="s">
        <v>1736</v>
      </c>
      <c r="C109" s="1572" t="s">
        <v>1737</v>
      </c>
      <c r="D109" s="1498" t="s">
        <v>1738</v>
      </c>
      <c r="E109" s="1585">
        <v>0.2</v>
      </c>
      <c r="F109" s="1572">
        <v>30</v>
      </c>
    </row>
    <row r="110" spans="1:6" s="1568" customFormat="1" ht="36">
      <c r="A110" s="1572">
        <v>50</v>
      </c>
      <c r="B110" s="1572" t="s">
        <v>1739</v>
      </c>
      <c r="C110" s="1572" t="s">
        <v>1740</v>
      </c>
      <c r="D110" s="1498" t="s">
        <v>1741</v>
      </c>
      <c r="E110" s="1585">
        <v>0.2</v>
      </c>
      <c r="F110" s="1572">
        <v>30</v>
      </c>
    </row>
    <row r="111" spans="1:6" s="1568" customFormat="1" ht="36">
      <c r="A111" s="1572">
        <v>51</v>
      </c>
      <c r="B111" s="3716" t="s">
        <v>1742</v>
      </c>
      <c r="C111" s="1572" t="s">
        <v>1743</v>
      </c>
      <c r="D111" s="1498" t="s">
        <v>1744</v>
      </c>
      <c r="E111" s="1585">
        <v>0.2</v>
      </c>
      <c r="F111" s="1572">
        <v>30</v>
      </c>
    </row>
    <row r="112" spans="1:6" s="1568" customFormat="1" ht="24">
      <c r="A112" s="1572">
        <v>52</v>
      </c>
      <c r="B112" s="3716"/>
      <c r="C112" s="1572" t="s">
        <v>1745</v>
      </c>
      <c r="D112" s="1498" t="s">
        <v>1746</v>
      </c>
      <c r="E112" s="1585">
        <v>0.2</v>
      </c>
      <c r="F112" s="1572">
        <v>30</v>
      </c>
    </row>
    <row r="113" spans="1:6" s="1568" customFormat="1" ht="24">
      <c r="A113" s="1572">
        <v>53</v>
      </c>
      <c r="B113" s="3716"/>
      <c r="C113" s="1572" t="s">
        <v>1747</v>
      </c>
      <c r="D113" s="1498" t="s">
        <v>1748</v>
      </c>
      <c r="E113" s="1585">
        <v>0.2</v>
      </c>
      <c r="F113" s="1572">
        <v>30</v>
      </c>
    </row>
    <row r="114" spans="1:6" ht="36">
      <c r="A114" s="1572">
        <v>54</v>
      </c>
      <c r="B114" s="1572" t="s">
        <v>1749</v>
      </c>
      <c r="C114" s="1572" t="s">
        <v>1750</v>
      </c>
      <c r="D114" s="1498" t="s">
        <v>1751</v>
      </c>
      <c r="E114" s="1585">
        <v>0.2</v>
      </c>
      <c r="F114" s="1572">
        <v>30</v>
      </c>
    </row>
    <row r="115" spans="1:6" ht="24">
      <c r="A115" s="1572">
        <v>55</v>
      </c>
      <c r="B115" s="1572" t="s">
        <v>1752</v>
      </c>
      <c r="C115" s="1572" t="s">
        <v>1753</v>
      </c>
      <c r="D115" s="1498" t="s">
        <v>1754</v>
      </c>
      <c r="E115" s="1585">
        <v>0.2</v>
      </c>
      <c r="F115" s="1572">
        <v>30</v>
      </c>
    </row>
    <row r="116" spans="1:6" ht="24">
      <c r="A116" s="1572">
        <v>56</v>
      </c>
      <c r="B116" s="3716" t="s">
        <v>1755</v>
      </c>
      <c r="C116" s="1572" t="s">
        <v>1756</v>
      </c>
      <c r="D116" s="1498" t="s">
        <v>1757</v>
      </c>
      <c r="E116" s="1585">
        <v>0.2</v>
      </c>
      <c r="F116" s="1572">
        <v>30</v>
      </c>
    </row>
    <row r="117" spans="1:6" ht="36">
      <c r="A117" s="1572">
        <v>57</v>
      </c>
      <c r="B117" s="3716"/>
      <c r="C117" s="1572" t="s">
        <v>1758</v>
      </c>
      <c r="D117" s="1498" t="s">
        <v>1759</v>
      </c>
      <c r="E117" s="1585">
        <v>0.2</v>
      </c>
      <c r="F117" s="1572">
        <v>30</v>
      </c>
    </row>
    <row r="118" spans="1:6" ht="36">
      <c r="A118" s="1572">
        <v>58</v>
      </c>
      <c r="B118" s="1572" t="s">
        <v>1760</v>
      </c>
      <c r="C118" s="1572" t="s">
        <v>1761</v>
      </c>
      <c r="D118" s="1498" t="s">
        <v>1762</v>
      </c>
      <c r="E118" s="1585">
        <v>0.2</v>
      </c>
      <c r="F118" s="1572">
        <v>30</v>
      </c>
    </row>
    <row r="119" spans="1:6" ht="13.5">
      <c r="A119" s="1572"/>
      <c r="B119" s="1572"/>
      <c r="C119" s="1572" t="s">
        <v>1763</v>
      </c>
      <c r="D119" s="1572"/>
      <c r="E119" s="1585" t="s">
        <v>1573</v>
      </c>
      <c r="F119" s="1572"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58" workbookViewId="0">
      <selection activeCell="V30" sqref="V30"/>
    </sheetView>
  </sheetViews>
  <sheetFormatPr defaultRowHeight="13.5"/>
  <cols>
    <col min="1" max="1" width="9" style="1622"/>
    <col min="2" max="16384" width="9" style="1597"/>
  </cols>
  <sheetData>
    <row r="1" spans="1:14" ht="14.25">
      <c r="A1" s="1595" t="s">
        <v>1773</v>
      </c>
      <c r="B1" s="1596"/>
      <c r="C1" s="1596"/>
      <c r="D1" s="1596"/>
      <c r="E1" s="1596"/>
      <c r="F1" s="1596"/>
      <c r="G1" s="1596"/>
      <c r="H1" s="1596"/>
      <c r="I1" s="1596"/>
      <c r="J1" s="1596"/>
      <c r="K1" s="1596"/>
      <c r="L1" s="1596"/>
      <c r="M1" s="1596"/>
      <c r="N1" s="1596"/>
    </row>
    <row r="2" spans="1:14">
      <c r="A2" s="1598" t="s">
        <v>1770</v>
      </c>
      <c r="B2" s="1599" t="s">
        <v>1175</v>
      </c>
      <c r="C2" s="1599" t="s">
        <v>1176</v>
      </c>
      <c r="D2" s="1599" t="s">
        <v>1177</v>
      </c>
      <c r="E2" s="1599" t="s">
        <v>1178</v>
      </c>
      <c r="F2" s="1599" t="s">
        <v>1179</v>
      </c>
      <c r="G2" s="1599" t="s">
        <v>1180</v>
      </c>
      <c r="H2" s="1600" t="s">
        <v>1181</v>
      </c>
      <c r="I2" s="1600" t="s">
        <v>1182</v>
      </c>
      <c r="J2" s="1601" t="s">
        <v>1183</v>
      </c>
      <c r="K2" s="1601" t="s">
        <v>1184</v>
      </c>
      <c r="L2" s="1601" t="s">
        <v>1185</v>
      </c>
      <c r="M2" s="1601" t="s">
        <v>1186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1779</v>
      </c>
      <c r="B103" s="1596"/>
      <c r="C103" s="1596"/>
      <c r="D103" s="1596"/>
      <c r="E103" s="1596"/>
      <c r="F103" s="1596"/>
      <c r="G103" s="1596"/>
      <c r="H103" s="1596"/>
      <c r="I103" s="1596"/>
      <c r="J103" s="1596"/>
      <c r="K103" s="1596"/>
      <c r="L103" s="1596"/>
      <c r="M103" s="1596"/>
      <c r="N103" s="1596"/>
    </row>
    <row r="104" spans="1:14" ht="14.25">
      <c r="A104" s="1598" t="s">
        <v>1770</v>
      </c>
      <c r="B104" s="1599" t="s">
        <v>1175</v>
      </c>
      <c r="C104" s="1599" t="s">
        <v>1176</v>
      </c>
      <c r="D104" s="1599" t="s">
        <v>1177</v>
      </c>
      <c r="E104" s="1599" t="s">
        <v>1178</v>
      </c>
      <c r="F104" s="1599" t="s">
        <v>1179</v>
      </c>
      <c r="G104" s="1599" t="s">
        <v>1180</v>
      </c>
      <c r="H104" s="1600" t="s">
        <v>1181</v>
      </c>
      <c r="I104" s="1600" t="s">
        <v>1182</v>
      </c>
      <c r="J104" s="1601" t="s">
        <v>1183</v>
      </c>
      <c r="K104" s="1601" t="s">
        <v>1184</v>
      </c>
      <c r="L104" s="1601" t="s">
        <v>1185</v>
      </c>
      <c r="M104" s="1601" t="s">
        <v>1186</v>
      </c>
      <c r="N104" s="1596">
        <f>SUMPRODUCT((A105:A204=ROUNDDOWN(基准地价修正!G3,1))*(B104:M104=基准地价修正!G2)*(B105:M204))</f>
        <v>1.1020000000000001</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1780</v>
      </c>
      <c r="B205" s="1596"/>
      <c r="C205" s="1596"/>
      <c r="D205" s="1596"/>
      <c r="E205" s="1596"/>
      <c r="F205" s="1596"/>
      <c r="G205" s="1596"/>
      <c r="H205" s="1596"/>
      <c r="I205" s="1596"/>
      <c r="J205" s="1596"/>
      <c r="K205" s="1596"/>
      <c r="L205" s="1596"/>
      <c r="M205" s="1596"/>
    </row>
    <row r="206" spans="1:13">
      <c r="A206" s="1598" t="s">
        <v>1770</v>
      </c>
      <c r="B206" s="1599" t="s">
        <v>1175</v>
      </c>
      <c r="C206" s="1599" t="s">
        <v>1176</v>
      </c>
      <c r="D206" s="1599" t="s">
        <v>1177</v>
      </c>
      <c r="E206" s="1599" t="s">
        <v>1178</v>
      </c>
      <c r="F206" s="1599" t="s">
        <v>1179</v>
      </c>
      <c r="G206" s="1599" t="s">
        <v>1180</v>
      </c>
      <c r="H206" s="1600" t="s">
        <v>1181</v>
      </c>
      <c r="I206" s="1600" t="s">
        <v>1182</v>
      </c>
      <c r="J206" s="1601" t="s">
        <v>1183</v>
      </c>
      <c r="K206" s="1601" t="s">
        <v>1184</v>
      </c>
      <c r="L206" s="1601" t="s">
        <v>1185</v>
      </c>
      <c r="M206" s="1601" t="s">
        <v>1186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1781</v>
      </c>
      <c r="B307" s="1596"/>
      <c r="C307" s="1596"/>
      <c r="D307" s="1596"/>
      <c r="E307" s="1596"/>
      <c r="F307" s="1596"/>
      <c r="G307" s="1596"/>
      <c r="H307" s="1596"/>
      <c r="I307" s="1596"/>
      <c r="J307" s="1596"/>
      <c r="K307" s="1596"/>
      <c r="L307" s="1596"/>
      <c r="M307" s="1596"/>
    </row>
    <row r="308" spans="1:13">
      <c r="A308" s="1598" t="s">
        <v>1770</v>
      </c>
      <c r="B308" s="1599" t="s">
        <v>1175</v>
      </c>
      <c r="C308" s="1599" t="s">
        <v>1176</v>
      </c>
      <c r="D308" s="1599" t="s">
        <v>1177</v>
      </c>
      <c r="E308" s="1599" t="s">
        <v>1178</v>
      </c>
      <c r="F308" s="1599" t="s">
        <v>1179</v>
      </c>
      <c r="G308" s="1599" t="s">
        <v>1180</v>
      </c>
      <c r="H308" s="1600" t="s">
        <v>1181</v>
      </c>
      <c r="I308" s="1600" t="s">
        <v>1182</v>
      </c>
      <c r="J308" s="1601" t="s">
        <v>1183</v>
      </c>
      <c r="K308" s="1601" t="s">
        <v>1184</v>
      </c>
      <c r="L308" s="1601" t="s">
        <v>1185</v>
      </c>
      <c r="M308" s="1601" t="s">
        <v>1186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4" zoomScale="89" zoomScaleNormal="89" workbookViewId="0">
      <selection activeCell="K28" sqref="K28"/>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36" t="s">
        <v>3062</v>
      </c>
      <c r="C1" s="3126" t="s">
        <v>444</v>
      </c>
      <c r="D1" s="3107" t="s">
        <v>3062</v>
      </c>
      <c r="E1" s="3137"/>
      <c r="F1" s="3109" t="s">
        <v>3102</v>
      </c>
      <c r="G1" s="3138" t="s">
        <v>445</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446</v>
      </c>
      <c r="B2" s="2847">
        <f>IF(C2="——",ROUND(C37*D3/10000,0),ROUND(C37*D3/10000,0)-D2)</f>
        <v>1</v>
      </c>
      <c r="C2" s="3101" t="s">
        <v>530</v>
      </c>
      <c r="D2" s="2342">
        <f ca="1">SUMIF(INDIRECT("'"&amp;F2&amp;"'"&amp;"!A:A"),"承租人权益价值",INDIRECT("'"&amp;F2&amp;"'"&amp;"!c:c"))</f>
        <v>0</v>
      </c>
      <c r="E2" s="3102" t="s">
        <v>869</v>
      </c>
      <c r="F2" s="3103" t="s">
        <v>3084</v>
      </c>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447</v>
      </c>
      <c r="B3" s="951">
        <f>IF(C2="——",C37,ROUND(B2*10000/D3,0))</f>
        <v>3</v>
      </c>
      <c r="C3" s="743" t="s">
        <v>448</v>
      </c>
      <c r="D3" s="742">
        <f>SUMIF('数据-汇总表'!$C19:$C33,D1,'数据-汇总表'!$E19:$E33)</f>
        <v>2530.29</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449</v>
      </c>
      <c r="B4" s="745"/>
      <c r="C4" s="3677" t="s">
        <v>450</v>
      </c>
      <c r="D4" s="3678"/>
      <c r="E4" s="3679" t="s">
        <v>451</v>
      </c>
      <c r="F4" s="3680"/>
      <c r="G4" s="3677" t="s">
        <v>452</v>
      </c>
      <c r="H4" s="3678"/>
      <c r="I4" s="3677" t="s">
        <v>453</v>
      </c>
      <c r="J4" s="3678"/>
      <c r="K4" s="952" t="s">
        <v>454</v>
      </c>
      <c r="L4" s="2348"/>
      <c r="M4" s="2349"/>
      <c r="N4" s="2349"/>
      <c r="O4" s="2349"/>
      <c r="P4" s="3681" t="s">
        <v>455</v>
      </c>
      <c r="Q4" s="3682"/>
      <c r="R4" s="3687" t="s">
        <v>451</v>
      </c>
      <c r="S4" s="3688"/>
      <c r="T4" s="3687" t="s">
        <v>452</v>
      </c>
      <c r="U4" s="3688"/>
      <c r="V4" s="3693" t="s">
        <v>453</v>
      </c>
      <c r="W4" s="3693"/>
      <c r="X4" s="1317"/>
      <c r="Y4" s="3687" t="s">
        <v>455</v>
      </c>
      <c r="Z4" s="3688"/>
      <c r="AA4" s="3674" t="s">
        <v>451</v>
      </c>
      <c r="AB4" s="3675" t="s">
        <v>452</v>
      </c>
      <c r="AC4" s="3674" t="s">
        <v>453</v>
      </c>
    </row>
    <row r="5" spans="1:29" ht="15">
      <c r="A5" s="747"/>
      <c r="B5" s="748"/>
      <c r="C5" s="3607" t="s">
        <v>1131</v>
      </c>
      <c r="D5" s="3608"/>
      <c r="E5" s="3614" t="s">
        <v>3103</v>
      </c>
      <c r="F5" s="3615"/>
      <c r="G5" s="3607" t="s">
        <v>3104</v>
      </c>
      <c r="H5" s="3608"/>
      <c r="I5" s="3607" t="s">
        <v>3105</v>
      </c>
      <c r="J5" s="3608"/>
      <c r="K5" s="952"/>
      <c r="L5" s="2348"/>
      <c r="M5" s="2349"/>
      <c r="N5" s="2349"/>
      <c r="O5" s="2349"/>
      <c r="P5" s="3683"/>
      <c r="Q5" s="3684"/>
      <c r="R5" s="3689"/>
      <c r="S5" s="3690"/>
      <c r="T5" s="3689"/>
      <c r="U5" s="3690"/>
      <c r="V5" s="3693"/>
      <c r="W5" s="3693"/>
      <c r="X5" s="1317"/>
      <c r="Y5" s="3689"/>
      <c r="Z5" s="3690"/>
      <c r="AA5" s="3675"/>
      <c r="AB5" s="3675"/>
      <c r="AC5" s="3675"/>
    </row>
    <row r="6" spans="1:29" ht="15.75" thickBot="1">
      <c r="A6" s="749"/>
      <c r="B6" s="750"/>
      <c r="C6" s="3605" t="s">
        <v>1134</v>
      </c>
      <c r="D6" s="3606"/>
      <c r="E6" s="3612" t="s">
        <v>1134</v>
      </c>
      <c r="F6" s="3613"/>
      <c r="G6" s="3605" t="s">
        <v>1134</v>
      </c>
      <c r="H6" s="3606"/>
      <c r="I6" s="3605" t="s">
        <v>1134</v>
      </c>
      <c r="J6" s="3606"/>
      <c r="K6" s="952" t="s">
        <v>397</v>
      </c>
      <c r="L6" s="2348"/>
      <c r="M6" s="2349"/>
      <c r="N6" s="2349"/>
      <c r="O6" s="2349"/>
      <c r="P6" s="3685"/>
      <c r="Q6" s="3686"/>
      <c r="R6" s="3689"/>
      <c r="S6" s="3690"/>
      <c r="T6" s="3691"/>
      <c r="U6" s="3692"/>
      <c r="V6" s="3693"/>
      <c r="W6" s="3693"/>
      <c r="X6" s="1317"/>
      <c r="Y6" s="3691"/>
      <c r="Z6" s="3692"/>
      <c r="AA6" s="3676"/>
      <c r="AB6" s="3676"/>
      <c r="AC6" s="3676"/>
    </row>
    <row r="7" spans="1:29" s="407" customFormat="1" ht="15.75" thickBot="1">
      <c r="A7" s="751" t="s">
        <v>398</v>
      </c>
      <c r="B7" s="752"/>
      <c r="C7" s="753">
        <f>'数据-取费表'!B2</f>
        <v>43040</v>
      </c>
      <c r="D7" s="754">
        <v>100</v>
      </c>
      <c r="E7" s="1016">
        <v>43040</v>
      </c>
      <c r="F7" s="756">
        <f>SUMIF(46:46,YEAR(E7)&amp;"-"&amp;MONTH(E7),47:47)</f>
        <v>100</v>
      </c>
      <c r="G7" s="1017">
        <v>43040</v>
      </c>
      <c r="H7" s="754">
        <f>SUMIF(46:46,YEAR(G7)&amp;"-"&amp;MONTH(G7),47:47)</f>
        <v>100</v>
      </c>
      <c r="I7" s="1016">
        <v>43040</v>
      </c>
      <c r="J7" s="754">
        <f>SUMIF(46:46,YEAR(I7)&amp;"-"&amp;MONTH(I7),47:47)</f>
        <v>100</v>
      </c>
      <c r="K7" s="953"/>
      <c r="L7" s="2350"/>
      <c r="M7" s="2351"/>
      <c r="N7" s="2351"/>
      <c r="O7" s="2351"/>
      <c r="P7" s="3698" t="s">
        <v>399</v>
      </c>
      <c r="Q7" s="3700"/>
      <c r="R7" s="1318" t="s">
        <v>65</v>
      </c>
      <c r="S7" s="1319">
        <f t="shared" ref="S7:S14" si="0">F7</f>
        <v>100</v>
      </c>
      <c r="T7" s="1318" t="s">
        <v>65</v>
      </c>
      <c r="U7" s="1319">
        <f t="shared" ref="U7:U14" si="1">H7</f>
        <v>100</v>
      </c>
      <c r="V7" s="1318" t="s">
        <v>65</v>
      </c>
      <c r="W7" s="1319">
        <f t="shared" ref="W7:W14" si="2">J7</f>
        <v>100</v>
      </c>
      <c r="X7" s="1320"/>
      <c r="Y7" s="3698" t="s">
        <v>399</v>
      </c>
      <c r="Z7" s="3699"/>
      <c r="AA7" s="1321">
        <f>D7/F7</f>
        <v>1</v>
      </c>
      <c r="AB7" s="1321">
        <f>D7/H7</f>
        <v>1</v>
      </c>
      <c r="AC7" s="1321">
        <f>D7/J7</f>
        <v>1</v>
      </c>
    </row>
    <row r="8" spans="1:29" s="407" customFormat="1" ht="15.75" thickBot="1">
      <c r="A8" s="751" t="s">
        <v>400</v>
      </c>
      <c r="B8" s="752"/>
      <c r="C8" s="757" t="s">
        <v>417</v>
      </c>
      <c r="D8" s="754">
        <v>100</v>
      </c>
      <c r="E8" s="757" t="s">
        <v>155</v>
      </c>
      <c r="F8" s="756">
        <f>SUMIF(49:49,E8,50:50)-SUMIF(49:49,C8,50:50)+100</f>
        <v>100</v>
      </c>
      <c r="G8" s="757" t="s">
        <v>155</v>
      </c>
      <c r="H8" s="754">
        <f>SUMIF(49:49,G8,50:50)-SUMIF(49:49,C8,50:50)+100</f>
        <v>100</v>
      </c>
      <c r="I8" s="757" t="s">
        <v>155</v>
      </c>
      <c r="J8" s="754">
        <f>SUMIF(49:49,I8,50:50)-SUMIF(49:49,C8,50:50)+100</f>
        <v>100</v>
      </c>
      <c r="K8" s="953"/>
      <c r="L8" s="2350"/>
      <c r="M8" s="2351"/>
      <c r="N8" s="2351"/>
      <c r="O8" s="2351"/>
      <c r="P8" s="3698" t="s">
        <v>435</v>
      </c>
      <c r="Q8" s="3699"/>
      <c r="R8" s="1318" t="s">
        <v>65</v>
      </c>
      <c r="S8" s="1319">
        <f t="shared" si="0"/>
        <v>100</v>
      </c>
      <c r="T8" s="1318" t="s">
        <v>65</v>
      </c>
      <c r="U8" s="1319">
        <f t="shared" si="1"/>
        <v>100</v>
      </c>
      <c r="V8" s="1318" t="s">
        <v>65</v>
      </c>
      <c r="W8" s="1319">
        <f t="shared" si="2"/>
        <v>100</v>
      </c>
      <c r="X8" s="1320"/>
      <c r="Y8" s="3698" t="s">
        <v>435</v>
      </c>
      <c r="Z8" s="3699"/>
      <c r="AA8" s="1321">
        <f t="shared" ref="AA8:AA34" si="3">D8/F8</f>
        <v>1</v>
      </c>
      <c r="AB8" s="1321">
        <f t="shared" ref="AB8:AB34" si="4">D8/H8</f>
        <v>1</v>
      </c>
      <c r="AC8" s="1321">
        <f t="shared" ref="AC8:AC34" si="5">D8/J8</f>
        <v>1</v>
      </c>
    </row>
    <row r="9" spans="1:29" s="407" customFormat="1">
      <c r="A9" s="758" t="s">
        <v>401</v>
      </c>
      <c r="B9" s="361" t="s">
        <v>419</v>
      </c>
      <c r="C9" s="1345" t="s">
        <v>3106</v>
      </c>
      <c r="D9" s="425">
        <v>100</v>
      </c>
      <c r="E9" s="762" t="s">
        <v>3062</v>
      </c>
      <c r="F9" s="761">
        <f>SUMIF(51:51,E9,52:52)-SUMIF(51:51,C9,52:52)+100</f>
        <v>100</v>
      </c>
      <c r="G9" s="762" t="s">
        <v>3062</v>
      </c>
      <c r="H9" s="425">
        <f>SUMIF(51:51,G9,52:52)-SUMIF(51:51,C9,52:52)+100</f>
        <v>100</v>
      </c>
      <c r="I9" s="762" t="s">
        <v>3062</v>
      </c>
      <c r="J9" s="425">
        <f>SUMIF(51:51,I9,52:52)-SUMIF(51:51,C9,52:52)+100</f>
        <v>100</v>
      </c>
      <c r="K9" s="953"/>
      <c r="L9" s="2350"/>
      <c r="M9" s="2351"/>
      <c r="N9" s="2351"/>
      <c r="O9" s="2352"/>
      <c r="P9" s="3665" t="s">
        <v>402</v>
      </c>
      <c r="Q9" s="296" t="str">
        <f t="shared" ref="Q9:Q14" si="6">B9</f>
        <v>用途</v>
      </c>
      <c r="R9" s="1318" t="s">
        <v>65</v>
      </c>
      <c r="S9" s="1319">
        <f t="shared" si="0"/>
        <v>100</v>
      </c>
      <c r="T9" s="1318" t="s">
        <v>65</v>
      </c>
      <c r="U9" s="1319">
        <f t="shared" si="1"/>
        <v>100</v>
      </c>
      <c r="V9" s="1318" t="s">
        <v>65</v>
      </c>
      <c r="W9" s="1319">
        <f t="shared" si="2"/>
        <v>100</v>
      </c>
      <c r="X9" s="1320"/>
      <c r="Y9" s="3469" t="s">
        <v>403</v>
      </c>
      <c r="Z9" s="344" t="str">
        <f t="shared" ref="Z9:Z14" si="7">Q9</f>
        <v>用途</v>
      </c>
      <c r="AA9" s="1321">
        <f t="shared" si="3"/>
        <v>1</v>
      </c>
      <c r="AB9" s="1321">
        <f t="shared" si="4"/>
        <v>1</v>
      </c>
      <c r="AC9" s="1321">
        <f t="shared" si="5"/>
        <v>1</v>
      </c>
    </row>
    <row r="10" spans="1:29" s="769" customFormat="1" ht="27">
      <c r="A10" s="763"/>
      <c r="B10" s="764" t="s">
        <v>404</v>
      </c>
      <c r="C10" s="765" t="s">
        <v>3107</v>
      </c>
      <c r="D10" s="426">
        <v>100</v>
      </c>
      <c r="E10" s="765" t="s">
        <v>3107</v>
      </c>
      <c r="F10" s="767">
        <f>SUMIF(53:53,E10,54:54)-SUMIF(53:53,C10,54:54)+100</f>
        <v>100</v>
      </c>
      <c r="G10" s="765" t="s">
        <v>3107</v>
      </c>
      <c r="H10" s="426">
        <f>SUMIF(53:53,G10,54:54)-SUMIF(53:53,C10,54:54)+100</f>
        <v>100</v>
      </c>
      <c r="I10" s="765" t="s">
        <v>3107</v>
      </c>
      <c r="J10" s="426">
        <f>SUMIF(53:53,I10,54:54)-SUMIF(53:53,C10,54:54)+100</f>
        <v>100</v>
      </c>
      <c r="K10" s="954">
        <v>1</v>
      </c>
      <c r="L10" s="2353"/>
      <c r="M10" s="2354"/>
      <c r="N10" s="2354"/>
      <c r="O10" s="2355"/>
      <c r="P10" s="3665"/>
      <c r="Q10" s="296" t="str">
        <f t="shared" si="6"/>
        <v>土地使用年限（年）</v>
      </c>
      <c r="R10" s="1318" t="s">
        <v>65</v>
      </c>
      <c r="S10" s="1319">
        <f t="shared" si="0"/>
        <v>100</v>
      </c>
      <c r="T10" s="1318" t="s">
        <v>65</v>
      </c>
      <c r="U10" s="1319">
        <f t="shared" si="1"/>
        <v>100</v>
      </c>
      <c r="V10" s="1318" t="s">
        <v>65</v>
      </c>
      <c r="W10" s="1319">
        <f t="shared" si="2"/>
        <v>100</v>
      </c>
      <c r="X10" s="1320"/>
      <c r="Y10" s="3469"/>
      <c r="Z10" s="344" t="str">
        <f t="shared" si="7"/>
        <v>土地使用年限（年）</v>
      </c>
      <c r="AA10" s="1321">
        <f t="shared" si="3"/>
        <v>1</v>
      </c>
      <c r="AB10" s="1321">
        <f t="shared" si="4"/>
        <v>1</v>
      </c>
      <c r="AC10" s="1321">
        <f t="shared" si="5"/>
        <v>1</v>
      </c>
    </row>
    <row r="11" spans="1:29" ht="15">
      <c r="A11" s="770"/>
      <c r="B11" s="1030">
        <v>111</v>
      </c>
      <c r="C11" s="1023"/>
      <c r="D11" s="426">
        <v>100</v>
      </c>
      <c r="E11" s="1357"/>
      <c r="F11" s="767">
        <f>SUMIF(55:55,E11,56:56)-SUMIF(55:55,C11,56:56)+100</f>
        <v>100</v>
      </c>
      <c r="G11" s="1357"/>
      <c r="H11" s="426">
        <f>SUMIF(55:55,G11,56:56)-SUMIF(55:55,C11,56:56)+100</f>
        <v>100</v>
      </c>
      <c r="I11" s="1357"/>
      <c r="J11" s="426">
        <f>SUMIF(55:55,I11,56:56)-SUMIF(55:55,C11,56:56)+100</f>
        <v>100</v>
      </c>
      <c r="K11" s="955"/>
      <c r="L11" s="2356"/>
      <c r="M11" s="2349"/>
      <c r="N11" s="2349"/>
      <c r="O11" s="2357"/>
      <c r="P11" s="3665"/>
      <c r="Q11" s="296">
        <f t="shared" si="6"/>
        <v>111</v>
      </c>
      <c r="R11" s="1318" t="s">
        <v>65</v>
      </c>
      <c r="S11" s="1319">
        <f t="shared" si="0"/>
        <v>100</v>
      </c>
      <c r="T11" s="1318" t="s">
        <v>65</v>
      </c>
      <c r="U11" s="1319">
        <f t="shared" si="1"/>
        <v>100</v>
      </c>
      <c r="V11" s="1318" t="s">
        <v>65</v>
      </c>
      <c r="W11" s="1319">
        <f t="shared" si="2"/>
        <v>100</v>
      </c>
      <c r="X11" s="1320"/>
      <c r="Y11" s="3469"/>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6">
        <f>SUMIF(57:57,G12,58:58)-SUMIF(57:57,C12,58:58)+100</f>
        <v>100</v>
      </c>
      <c r="I12" s="1357"/>
      <c r="J12" s="426">
        <f>SUMIF(57:57,I12,58:58)-SUMIF(57:57,C12,58:58)+100</f>
        <v>100</v>
      </c>
      <c r="K12" s="955"/>
      <c r="L12" s="2350"/>
      <c r="M12" s="2351"/>
      <c r="N12" s="2351"/>
      <c r="O12" s="2352"/>
      <c r="P12" s="3665"/>
      <c r="Q12" s="296">
        <f t="shared" si="6"/>
        <v>111</v>
      </c>
      <c r="R12" s="1318" t="s">
        <v>65</v>
      </c>
      <c r="S12" s="1319">
        <f t="shared" si="0"/>
        <v>100</v>
      </c>
      <c r="T12" s="1318" t="s">
        <v>65</v>
      </c>
      <c r="U12" s="1319">
        <f t="shared" si="1"/>
        <v>100</v>
      </c>
      <c r="V12" s="1318" t="s">
        <v>65</v>
      </c>
      <c r="W12" s="1319">
        <f t="shared" si="2"/>
        <v>100</v>
      </c>
      <c r="X12" s="1320"/>
      <c r="Y12" s="3469"/>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8"/>
      <c r="M13" s="2349"/>
      <c r="N13" s="2349"/>
      <c r="O13" s="2357"/>
      <c r="P13" s="3665"/>
      <c r="Q13" s="296">
        <f t="shared" si="6"/>
        <v>111</v>
      </c>
      <c r="R13" s="1318" t="s">
        <v>65</v>
      </c>
      <c r="S13" s="1319">
        <f t="shared" si="0"/>
        <v>100</v>
      </c>
      <c r="T13" s="1318" t="s">
        <v>65</v>
      </c>
      <c r="U13" s="1319">
        <f t="shared" si="1"/>
        <v>100</v>
      </c>
      <c r="V13" s="1318" t="s">
        <v>65</v>
      </c>
      <c r="W13" s="1319">
        <f t="shared" si="2"/>
        <v>100</v>
      </c>
      <c r="X13" s="1320"/>
      <c r="Y13" s="3469"/>
      <c r="Z13" s="344">
        <f t="shared" si="7"/>
        <v>111</v>
      </c>
      <c r="AA13" s="1321">
        <f t="shared" si="3"/>
        <v>1</v>
      </c>
      <c r="AB13" s="1321">
        <f t="shared" si="4"/>
        <v>1</v>
      </c>
      <c r="AC13" s="1321">
        <f t="shared" si="5"/>
        <v>1</v>
      </c>
    </row>
    <row r="14" spans="1:29" ht="94.5">
      <c r="A14" s="782" t="s">
        <v>406</v>
      </c>
      <c r="B14" s="359" t="s">
        <v>456</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v>2</v>
      </c>
      <c r="L14" s="2358"/>
      <c r="M14" s="2349"/>
      <c r="N14" s="2349"/>
      <c r="O14" s="2357"/>
      <c r="P14" s="3670" t="s">
        <v>407</v>
      </c>
      <c r="Q14" s="1322" t="str">
        <f t="shared" si="6"/>
        <v>交通便捷度</v>
      </c>
      <c r="R14" s="1323" t="s">
        <v>65</v>
      </c>
      <c r="S14" s="1324">
        <f t="shared" si="0"/>
        <v>100</v>
      </c>
      <c r="T14" s="1323" t="s">
        <v>65</v>
      </c>
      <c r="U14" s="1324">
        <f t="shared" si="1"/>
        <v>100</v>
      </c>
      <c r="V14" s="1323" t="s">
        <v>65</v>
      </c>
      <c r="W14" s="1324">
        <f t="shared" si="2"/>
        <v>100</v>
      </c>
      <c r="X14" s="1317"/>
      <c r="Y14" s="3670" t="s">
        <v>407</v>
      </c>
      <c r="Z14" s="1325" t="str">
        <f t="shared" si="7"/>
        <v>交通便捷度</v>
      </c>
      <c r="AA14" s="1326">
        <f t="shared" si="3"/>
        <v>1</v>
      </c>
      <c r="AB14" s="1326">
        <f t="shared" si="4"/>
        <v>1</v>
      </c>
      <c r="AC14" s="1326">
        <f t="shared" si="5"/>
        <v>1</v>
      </c>
    </row>
    <row r="15" spans="1:29" ht="15">
      <c r="A15" s="770"/>
      <c r="B15" s="788"/>
      <c r="C15" s="97" t="s">
        <v>3109</v>
      </c>
      <c r="D15" s="790"/>
      <c r="E15" s="789" t="s">
        <v>3109</v>
      </c>
      <c r="F15" s="791"/>
      <c r="G15" s="789" t="s">
        <v>3109</v>
      </c>
      <c r="H15" s="792"/>
      <c r="I15" s="789" t="s">
        <v>3109</v>
      </c>
      <c r="J15" s="790"/>
      <c r="K15" s="957"/>
      <c r="L15" s="2358"/>
      <c r="M15" s="2349"/>
      <c r="N15" s="2349"/>
      <c r="O15" s="2357"/>
      <c r="P15" s="3671"/>
      <c r="Q15" s="1322"/>
      <c r="R15" s="1323"/>
      <c r="S15" s="1324"/>
      <c r="T15" s="1323"/>
      <c r="U15" s="1324"/>
      <c r="V15" s="1323"/>
      <c r="W15" s="1324"/>
      <c r="X15" s="1317"/>
      <c r="Y15" s="3671"/>
      <c r="Z15" s="1325"/>
      <c r="AA15" s="1326">
        <v>1</v>
      </c>
      <c r="AB15" s="1326">
        <v>1</v>
      </c>
      <c r="AC15" s="1326">
        <v>1</v>
      </c>
    </row>
    <row r="16" spans="1:29" ht="40.5">
      <c r="A16" s="770"/>
      <c r="B16" s="1355" t="s">
        <v>2670</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v>2</v>
      </c>
      <c r="L16" s="2358"/>
      <c r="M16" s="2349"/>
      <c r="N16" s="2349"/>
      <c r="O16" s="2357"/>
      <c r="P16" s="3671"/>
      <c r="Q16" s="1322" t="str">
        <f>B16</f>
        <v>公共配套设施</v>
      </c>
      <c r="R16" s="1323" t="s">
        <v>65</v>
      </c>
      <c r="S16" s="1324">
        <f>F16</f>
        <v>100</v>
      </c>
      <c r="T16" s="1323" t="s">
        <v>65</v>
      </c>
      <c r="U16" s="1324">
        <f>H16</f>
        <v>100</v>
      </c>
      <c r="V16" s="1323" t="s">
        <v>65</v>
      </c>
      <c r="W16" s="1324">
        <f>J16</f>
        <v>100</v>
      </c>
      <c r="X16" s="1317"/>
      <c r="Y16" s="3671"/>
      <c r="Z16" s="1325" t="str">
        <f>Q16</f>
        <v>公共配套设施</v>
      </c>
      <c r="AA16" s="1326">
        <f t="shared" si="3"/>
        <v>1</v>
      </c>
      <c r="AB16" s="1326">
        <f t="shared" si="4"/>
        <v>1</v>
      </c>
      <c r="AC16" s="1326">
        <f t="shared" si="5"/>
        <v>1</v>
      </c>
    </row>
    <row r="17" spans="1:29" ht="15">
      <c r="A17" s="770"/>
      <c r="B17" s="798"/>
      <c r="C17" s="102" t="s">
        <v>3109</v>
      </c>
      <c r="D17" s="790"/>
      <c r="E17" s="789" t="s">
        <v>3109</v>
      </c>
      <c r="F17" s="791"/>
      <c r="G17" s="789" t="s">
        <v>3109</v>
      </c>
      <c r="H17" s="790"/>
      <c r="I17" s="789" t="s">
        <v>3109</v>
      </c>
      <c r="J17" s="790"/>
      <c r="K17" s="957"/>
      <c r="L17" s="2358"/>
      <c r="M17" s="2349"/>
      <c r="N17" s="2349"/>
      <c r="O17" s="2357"/>
      <c r="P17" s="3671"/>
      <c r="Q17" s="1322"/>
      <c r="R17" s="1323"/>
      <c r="S17" s="1324"/>
      <c r="T17" s="1323"/>
      <c r="U17" s="1324"/>
      <c r="V17" s="1323"/>
      <c r="W17" s="1324"/>
      <c r="X17" s="1317"/>
      <c r="Y17" s="3671"/>
      <c r="Z17" s="1325"/>
      <c r="AA17" s="1326">
        <v>1</v>
      </c>
      <c r="AB17" s="1326">
        <v>1</v>
      </c>
      <c r="AC17" s="1326">
        <v>1</v>
      </c>
    </row>
    <row r="18" spans="1:29" ht="40.5">
      <c r="A18" s="770"/>
      <c r="B18" s="1411" t="s">
        <v>2672</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v>1</v>
      </c>
      <c r="L18" s="2358"/>
      <c r="M18" s="2349"/>
      <c r="N18" s="2349"/>
      <c r="O18" s="2357"/>
      <c r="P18" s="3671"/>
      <c r="Q18" s="2749" t="str">
        <f>B18</f>
        <v>基础设施水平</v>
      </c>
      <c r="R18" s="1323" t="s">
        <v>65</v>
      </c>
      <c r="S18" s="1324">
        <f>F18</f>
        <v>100</v>
      </c>
      <c r="T18" s="1323" t="s">
        <v>65</v>
      </c>
      <c r="U18" s="1324">
        <f>H18</f>
        <v>100</v>
      </c>
      <c r="V18" s="1323" t="s">
        <v>65</v>
      </c>
      <c r="W18" s="1324">
        <f>J18</f>
        <v>100</v>
      </c>
      <c r="X18" s="2751"/>
      <c r="Y18" s="3671"/>
      <c r="Z18" s="2750" t="str">
        <f>Q18</f>
        <v>基础设施水平</v>
      </c>
      <c r="AA18" s="1326">
        <f t="shared" ref="AA18" si="8">D18/F18</f>
        <v>1</v>
      </c>
      <c r="AB18" s="1326">
        <f t="shared" ref="AB18" si="9">D18/H18</f>
        <v>1</v>
      </c>
      <c r="AC18" s="1326">
        <f t="shared" ref="AC18" si="10">D18/J18</f>
        <v>1</v>
      </c>
    </row>
    <row r="19" spans="1:29" ht="15">
      <c r="A19" s="770"/>
      <c r="B19" s="2769"/>
      <c r="C19" s="102" t="s">
        <v>3110</v>
      </c>
      <c r="D19" s="792"/>
      <c r="E19" s="102" t="s">
        <v>3110</v>
      </c>
      <c r="F19" s="795"/>
      <c r="G19" s="102" t="s">
        <v>3110</v>
      </c>
      <c r="H19" s="790"/>
      <c r="I19" s="97" t="s">
        <v>3110</v>
      </c>
      <c r="J19" s="790"/>
      <c r="K19" s="2767"/>
      <c r="L19" s="2358"/>
      <c r="M19" s="2349"/>
      <c r="N19" s="2349"/>
      <c r="O19" s="2357"/>
      <c r="P19" s="3671"/>
      <c r="Q19" s="2749"/>
      <c r="R19" s="1323"/>
      <c r="S19" s="1324"/>
      <c r="T19" s="1323"/>
      <c r="U19" s="1324"/>
      <c r="V19" s="1323"/>
      <c r="W19" s="1324"/>
      <c r="X19" s="2751"/>
      <c r="Y19" s="3671"/>
      <c r="Z19" s="2750"/>
      <c r="AA19" s="1326">
        <v>1</v>
      </c>
      <c r="AB19" s="1326">
        <v>1</v>
      </c>
      <c r="AC19" s="1326">
        <v>1</v>
      </c>
    </row>
    <row r="20" spans="1:29" ht="54">
      <c r="A20" s="770"/>
      <c r="B20" s="793" t="s">
        <v>457</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v>1</v>
      </c>
      <c r="L20" s="2358"/>
      <c r="M20" s="2349"/>
      <c r="N20" s="2349"/>
      <c r="O20" s="2357"/>
      <c r="P20" s="3671"/>
      <c r="Q20" s="1322" t="str">
        <f>B20</f>
        <v>自然及人文环境</v>
      </c>
      <c r="R20" s="1323" t="s">
        <v>65</v>
      </c>
      <c r="S20" s="1324">
        <f>F20</f>
        <v>100</v>
      </c>
      <c r="T20" s="1323" t="s">
        <v>65</v>
      </c>
      <c r="U20" s="1324">
        <f>H20</f>
        <v>100</v>
      </c>
      <c r="V20" s="1323" t="s">
        <v>65</v>
      </c>
      <c r="W20" s="1324">
        <f>J20</f>
        <v>100</v>
      </c>
      <c r="X20" s="1317"/>
      <c r="Y20" s="3671"/>
      <c r="Z20" s="1325" t="str">
        <f>Q20</f>
        <v>自然及人文环境</v>
      </c>
      <c r="AA20" s="1326">
        <f t="shared" si="3"/>
        <v>1</v>
      </c>
      <c r="AB20" s="1326">
        <f t="shared" si="4"/>
        <v>1</v>
      </c>
      <c r="AC20" s="1326">
        <f t="shared" si="5"/>
        <v>1</v>
      </c>
    </row>
    <row r="21" spans="1:29" ht="15">
      <c r="A21" s="770"/>
      <c r="B21" s="798"/>
      <c r="C21" s="789" t="s">
        <v>3108</v>
      </c>
      <c r="D21" s="790"/>
      <c r="E21" s="789" t="s">
        <v>3108</v>
      </c>
      <c r="F21" s="791"/>
      <c r="G21" s="789" t="s">
        <v>3108</v>
      </c>
      <c r="H21" s="790"/>
      <c r="I21" s="789" t="s">
        <v>3108</v>
      </c>
      <c r="J21" s="790"/>
      <c r="K21" s="957"/>
      <c r="L21" s="2358"/>
      <c r="M21" s="2349"/>
      <c r="N21" s="2349"/>
      <c r="O21" s="2357"/>
      <c r="P21" s="3671"/>
      <c r="Q21" s="1322"/>
      <c r="R21" s="1323"/>
      <c r="S21" s="1324"/>
      <c r="T21" s="1323"/>
      <c r="U21" s="1324"/>
      <c r="V21" s="1323"/>
      <c r="W21" s="1324"/>
      <c r="X21" s="1317"/>
      <c r="Y21" s="3671"/>
      <c r="Z21" s="1325"/>
      <c r="AA21" s="1326">
        <v>1</v>
      </c>
      <c r="AB21" s="1326">
        <v>1</v>
      </c>
      <c r="AC21" s="1326">
        <v>1</v>
      </c>
    </row>
    <row r="22" spans="1:29" ht="15">
      <c r="A22" s="770"/>
      <c r="B22" s="793" t="s">
        <v>458</v>
      </c>
      <c r="C22" s="958" t="s">
        <v>3113</v>
      </c>
      <c r="D22" s="792">
        <v>100</v>
      </c>
      <c r="E22" s="958" t="s">
        <v>3113</v>
      </c>
      <c r="F22" s="803">
        <f>SUMIF(69:69,E22,70:70)-SUMIF(69:69,C22,70:70)+100</f>
        <v>100</v>
      </c>
      <c r="G22" s="958" t="s">
        <v>3113</v>
      </c>
      <c r="H22" s="777">
        <f>SUMIF(69:69,G22,70:70)-SUMIF(69:69,C22,70:70)+100</f>
        <v>100</v>
      </c>
      <c r="I22" s="958" t="s">
        <v>3113</v>
      </c>
      <c r="J22" s="777">
        <f>SUMIF(69:69,I22,70:70)-SUMIF(69:69,C22,70:70)+100</f>
        <v>100</v>
      </c>
      <c r="K22" s="954">
        <v>2</v>
      </c>
      <c r="L22" s="2358"/>
      <c r="M22" s="2349"/>
      <c r="N22" s="2349"/>
      <c r="O22" s="2357"/>
      <c r="P22" s="3671"/>
      <c r="Q22" s="1322" t="str">
        <f>B22</f>
        <v>楼层</v>
      </c>
      <c r="R22" s="1323" t="s">
        <v>65</v>
      </c>
      <c r="S22" s="1324">
        <f>F22</f>
        <v>100</v>
      </c>
      <c r="T22" s="1323" t="s">
        <v>65</v>
      </c>
      <c r="U22" s="1324">
        <f>H22</f>
        <v>100</v>
      </c>
      <c r="V22" s="1323" t="s">
        <v>65</v>
      </c>
      <c r="W22" s="1324">
        <f>J22</f>
        <v>100</v>
      </c>
      <c r="X22" s="1317"/>
      <c r="Y22" s="3671"/>
      <c r="Z22" s="1325" t="str">
        <f>Q22</f>
        <v>楼层</v>
      </c>
      <c r="AA22" s="1326">
        <f t="shared" si="3"/>
        <v>1</v>
      </c>
      <c r="AB22" s="1326">
        <f t="shared" si="4"/>
        <v>1</v>
      </c>
      <c r="AC22" s="1326">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8"/>
      <c r="M23" s="2349"/>
      <c r="N23" s="2349"/>
      <c r="O23" s="2357"/>
      <c r="P23" s="3671"/>
      <c r="Q23" s="1322">
        <f>B23</f>
        <v>111</v>
      </c>
      <c r="R23" s="1323" t="s">
        <v>65</v>
      </c>
      <c r="S23" s="1324">
        <f>F23</f>
        <v>100</v>
      </c>
      <c r="T23" s="1323" t="s">
        <v>65</v>
      </c>
      <c r="U23" s="1324">
        <f>H23</f>
        <v>100</v>
      </c>
      <c r="V23" s="1323" t="s">
        <v>65</v>
      </c>
      <c r="W23" s="1324">
        <f>J23</f>
        <v>100</v>
      </c>
      <c r="X23" s="1317"/>
      <c r="Y23" s="3671"/>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8"/>
      <c r="M24" s="2349"/>
      <c r="N24" s="2349"/>
      <c r="O24" s="2357"/>
      <c r="P24" s="3671"/>
      <c r="Q24" s="1322">
        <f t="shared" ref="Q24:Q34" si="11">B24</f>
        <v>111</v>
      </c>
      <c r="R24" s="1323" t="s">
        <v>65</v>
      </c>
      <c r="S24" s="1324">
        <f>F24</f>
        <v>100</v>
      </c>
      <c r="T24" s="1323" t="s">
        <v>65</v>
      </c>
      <c r="U24" s="1324">
        <f>H24</f>
        <v>100</v>
      </c>
      <c r="V24" s="1323" t="s">
        <v>65</v>
      </c>
      <c r="W24" s="1324">
        <f>J24</f>
        <v>100</v>
      </c>
      <c r="X24" s="1317"/>
      <c r="Y24" s="3671"/>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0"/>
      <c r="M25" s="2351"/>
      <c r="N25" s="2351"/>
      <c r="O25" s="2352"/>
      <c r="P25" s="3671"/>
      <c r="Q25" s="296">
        <f t="shared" si="11"/>
        <v>111</v>
      </c>
      <c r="R25" s="1318" t="s">
        <v>65</v>
      </c>
      <c r="S25" s="1319">
        <f>F25</f>
        <v>100</v>
      </c>
      <c r="T25" s="1318" t="s">
        <v>65</v>
      </c>
      <c r="U25" s="1319">
        <f>H25</f>
        <v>100</v>
      </c>
      <c r="V25" s="1318" t="s">
        <v>65</v>
      </c>
      <c r="W25" s="1319">
        <f>J25</f>
        <v>100</v>
      </c>
      <c r="X25" s="1320"/>
      <c r="Y25" s="3671"/>
      <c r="Z25" s="344">
        <f>Q25</f>
        <v>111</v>
      </c>
      <c r="AA25" s="1326">
        <f>D25/F25</f>
        <v>1</v>
      </c>
      <c r="AB25" s="1326">
        <f>D25/H25</f>
        <v>1</v>
      </c>
      <c r="AC25" s="1326">
        <f>D25/J25</f>
        <v>1</v>
      </c>
    </row>
    <row r="26" spans="1:29" ht="15">
      <c r="A26" s="808" t="s">
        <v>408</v>
      </c>
      <c r="B26" s="361" t="s">
        <v>461</v>
      </c>
      <c r="C26" s="197" t="s">
        <v>3122</v>
      </c>
      <c r="D26" s="809">
        <v>100</v>
      </c>
      <c r="E26" s="197" t="s">
        <v>3122</v>
      </c>
      <c r="F26" s="1009">
        <f>SUMIF(77:77,E26,78:78)-SUMIF(77:77,C26,78:78)+100</f>
        <v>100</v>
      </c>
      <c r="G26" s="197" t="s">
        <v>3122</v>
      </c>
      <c r="H26" s="809">
        <f>SUMIF(77:77,G26,78:78)-SUMIF(77:77,C26,78:78)+100</f>
        <v>100</v>
      </c>
      <c r="I26" s="197" t="s">
        <v>3122</v>
      </c>
      <c r="J26" s="809">
        <f>SUMIF(77:77,I26,78:78)-SUMIF(77:77,C26,78:78)+100</f>
        <v>100</v>
      </c>
      <c r="K26" s="954">
        <v>1</v>
      </c>
      <c r="L26" s="2358"/>
      <c r="M26" s="2349"/>
      <c r="N26" s="2349"/>
      <c r="O26" s="2357"/>
      <c r="P26" s="3672"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73" t="s">
        <v>474</v>
      </c>
      <c r="Z26" s="1325" t="str">
        <f t="shared" ref="Z26:Z34" si="15">Q26</f>
        <v>公共部分装修</v>
      </c>
      <c r="AA26" s="1326">
        <f t="shared" si="3"/>
        <v>1</v>
      </c>
      <c r="AB26" s="1326">
        <f t="shared" si="4"/>
        <v>1</v>
      </c>
      <c r="AC26" s="1326">
        <f t="shared" si="5"/>
        <v>1</v>
      </c>
    </row>
    <row r="27" spans="1:29" s="813" customFormat="1" ht="15">
      <c r="A27" s="810"/>
      <c r="B27" s="764" t="s">
        <v>462</v>
      </c>
      <c r="C27" s="816">
        <v>0.9</v>
      </c>
      <c r="D27" s="426">
        <v>100</v>
      </c>
      <c r="E27" s="817">
        <v>0.85</v>
      </c>
      <c r="F27" s="803">
        <f>LOOKUP(E27,80:80,81:81)-LOOKUP(C27,80:80,81:81)+100</f>
        <v>97</v>
      </c>
      <c r="G27" s="818">
        <v>0.85</v>
      </c>
      <c r="H27" s="777">
        <f>LOOKUP(G27,80:80,81:81)-LOOKUP(C27,80:80,81:81)+100</f>
        <v>97</v>
      </c>
      <c r="I27" s="818">
        <v>0.85</v>
      </c>
      <c r="J27" s="777">
        <f>LOOKUP(I27,80:80,81:81)-LOOKUP(C27,80:80,81:81)+100</f>
        <v>97</v>
      </c>
      <c r="K27" s="954">
        <v>3</v>
      </c>
      <c r="L27" s="2356"/>
      <c r="M27" s="2359"/>
      <c r="N27" s="2359"/>
      <c r="O27" s="2360"/>
      <c r="P27" s="3673"/>
      <c r="Q27" s="1327" t="str">
        <f t="shared" si="11"/>
        <v>成新率</v>
      </c>
      <c r="R27" s="1328" t="s">
        <v>65</v>
      </c>
      <c r="S27" s="1329">
        <f t="shared" si="12"/>
        <v>97</v>
      </c>
      <c r="T27" s="1328" t="s">
        <v>65</v>
      </c>
      <c r="U27" s="1329">
        <f t="shared" si="13"/>
        <v>97</v>
      </c>
      <c r="V27" s="1328" t="s">
        <v>65</v>
      </c>
      <c r="W27" s="1329">
        <f t="shared" si="14"/>
        <v>97</v>
      </c>
      <c r="X27" s="1330"/>
      <c r="Y27" s="3673"/>
      <c r="Z27" s="1331" t="str">
        <f t="shared" si="15"/>
        <v>成新率</v>
      </c>
      <c r="AA27" s="1326">
        <f t="shared" si="3"/>
        <v>1.0309278350515463</v>
      </c>
      <c r="AB27" s="1326">
        <f t="shared" si="4"/>
        <v>1.0309278350515463</v>
      </c>
      <c r="AC27" s="1326">
        <f t="shared" si="5"/>
        <v>1.0309278350515463</v>
      </c>
    </row>
    <row r="28" spans="1:29" ht="15">
      <c r="A28" s="814"/>
      <c r="B28" s="764" t="s">
        <v>463</v>
      </c>
      <c r="C28" s="107" t="s">
        <v>3115</v>
      </c>
      <c r="D28" s="777">
        <v>100</v>
      </c>
      <c r="E28" s="107" t="s">
        <v>3115</v>
      </c>
      <c r="F28" s="803">
        <f>SUMIF(82:82,E28,83:83)-SUMIF(82:82,C28,83:83)+100</f>
        <v>100</v>
      </c>
      <c r="G28" s="107" t="s">
        <v>3115</v>
      </c>
      <c r="H28" s="777">
        <f>SUMIF(82:82,G28,83:83)-SUMIF(82:82,C28,83:83)+100</f>
        <v>100</v>
      </c>
      <c r="I28" s="107" t="s">
        <v>3115</v>
      </c>
      <c r="J28" s="777">
        <f>SUMIF(82:82,I28,83:83)-SUMIF(82:82,C28,83:83)+100</f>
        <v>100</v>
      </c>
      <c r="K28" s="954">
        <v>1</v>
      </c>
      <c r="L28" s="2358"/>
      <c r="M28" s="2349"/>
      <c r="N28" s="2349"/>
      <c r="O28" s="2357"/>
      <c r="P28" s="3673"/>
      <c r="Q28" s="1322" t="str">
        <f t="shared" si="11"/>
        <v>物业等级</v>
      </c>
      <c r="R28" s="1323" t="s">
        <v>65</v>
      </c>
      <c r="S28" s="1324">
        <f t="shared" si="12"/>
        <v>100</v>
      </c>
      <c r="T28" s="1323" t="s">
        <v>65</v>
      </c>
      <c r="U28" s="1324">
        <f t="shared" si="13"/>
        <v>100</v>
      </c>
      <c r="V28" s="1323" t="s">
        <v>65</v>
      </c>
      <c r="W28" s="1324">
        <f t="shared" si="14"/>
        <v>100</v>
      </c>
      <c r="X28" s="1317"/>
      <c r="Y28" s="3673"/>
      <c r="Z28" s="1325" t="str">
        <f t="shared" si="15"/>
        <v>物业等级</v>
      </c>
      <c r="AA28" s="1326">
        <f t="shared" si="3"/>
        <v>1</v>
      </c>
      <c r="AB28" s="1326">
        <f t="shared" si="4"/>
        <v>1</v>
      </c>
      <c r="AC28" s="1326">
        <f t="shared" si="5"/>
        <v>1</v>
      </c>
    </row>
    <row r="29" spans="1:29" ht="15">
      <c r="A29" s="814"/>
      <c r="B29" s="764" t="s">
        <v>475</v>
      </c>
      <c r="C29" s="1412" t="s">
        <v>41</v>
      </c>
      <c r="D29" s="777">
        <v>100</v>
      </c>
      <c r="E29" s="1412" t="s">
        <v>41</v>
      </c>
      <c r="F29" s="803">
        <f>SUMIF(84:84,E29,85:85)-SUMIF(84:84,C29,85:85)+100</f>
        <v>100</v>
      </c>
      <c r="G29" s="1412" t="s">
        <v>41</v>
      </c>
      <c r="H29" s="777">
        <f>SUMIF(84:84,G29,85:85)-SUMIF(84:84,C29,85:85)+100</f>
        <v>100</v>
      </c>
      <c r="I29" s="1412" t="s">
        <v>41</v>
      </c>
      <c r="J29" s="777">
        <f>SUMIF(84:84,I29,85:85)-SUMIF(84:84,C29,85:85)+100</f>
        <v>100</v>
      </c>
      <c r="K29" s="954">
        <v>2</v>
      </c>
      <c r="L29" s="2358"/>
      <c r="M29" s="2349"/>
      <c r="N29" s="2349"/>
      <c r="O29" s="2357"/>
      <c r="P29" s="3673"/>
      <c r="Q29" s="1322" t="str">
        <f t="shared" si="11"/>
        <v>有无电梯</v>
      </c>
      <c r="R29" s="1323" t="s">
        <v>65</v>
      </c>
      <c r="S29" s="1324">
        <f t="shared" si="12"/>
        <v>100</v>
      </c>
      <c r="T29" s="1323" t="s">
        <v>65</v>
      </c>
      <c r="U29" s="1324">
        <f t="shared" si="13"/>
        <v>100</v>
      </c>
      <c r="V29" s="1323" t="s">
        <v>65</v>
      </c>
      <c r="W29" s="1324">
        <f t="shared" si="14"/>
        <v>100</v>
      </c>
      <c r="X29" s="1317"/>
      <c r="Y29" s="3673"/>
      <c r="Z29" s="1325" t="str">
        <f t="shared" si="15"/>
        <v>有无电梯</v>
      </c>
      <c r="AA29" s="1326">
        <f t="shared" si="3"/>
        <v>1</v>
      </c>
      <c r="AB29" s="1326">
        <f t="shared" si="4"/>
        <v>1</v>
      </c>
      <c r="AC29" s="1326">
        <f t="shared" si="5"/>
        <v>1</v>
      </c>
    </row>
    <row r="30" spans="1:29" ht="15">
      <c r="A30" s="814"/>
      <c r="B30" s="764" t="s">
        <v>476</v>
      </c>
      <c r="C30" s="811">
        <f>'数据-汇总表'!G20</f>
        <v>2530.29</v>
      </c>
      <c r="D30" s="777">
        <v>100</v>
      </c>
      <c r="E30" s="811">
        <v>375</v>
      </c>
      <c r="F30" s="803">
        <f>LOOKUP(E30,87:87,88:88)-LOOKUP(C30,87:87,88:88)+100</f>
        <v>104</v>
      </c>
      <c r="G30" s="811">
        <v>30</v>
      </c>
      <c r="H30" s="777">
        <f>LOOKUP(G30,87:87,88:88)-LOOKUP(C30,87:87,88:88)+100</f>
        <v>108</v>
      </c>
      <c r="I30" s="811">
        <v>40</v>
      </c>
      <c r="J30" s="777">
        <f>LOOKUP(I30,87:87,88:88)-LOOKUP(C30,87:87,88:88)+100</f>
        <v>108</v>
      </c>
      <c r="K30" s="955"/>
      <c r="L30" s="2358"/>
      <c r="M30" s="2349"/>
      <c r="N30" s="2349"/>
      <c r="O30" s="2357"/>
      <c r="P30" s="3673"/>
      <c r="Q30" s="1322" t="str">
        <f t="shared" si="11"/>
        <v>建筑面积</v>
      </c>
      <c r="R30" s="1323" t="s">
        <v>65</v>
      </c>
      <c r="S30" s="1324">
        <f t="shared" si="12"/>
        <v>104</v>
      </c>
      <c r="T30" s="1323" t="s">
        <v>65</v>
      </c>
      <c r="U30" s="1324">
        <f t="shared" si="13"/>
        <v>108</v>
      </c>
      <c r="V30" s="1323" t="s">
        <v>65</v>
      </c>
      <c r="W30" s="1324">
        <f t="shared" si="14"/>
        <v>108</v>
      </c>
      <c r="X30" s="1317"/>
      <c r="Y30" s="3673"/>
      <c r="Z30" s="1325" t="str">
        <f t="shared" si="15"/>
        <v>建筑面积</v>
      </c>
      <c r="AA30" s="1326">
        <f t="shared" si="3"/>
        <v>0.96153846153846156</v>
      </c>
      <c r="AB30" s="1326">
        <f t="shared" si="4"/>
        <v>0.92592592592592593</v>
      </c>
      <c r="AC30" s="1326">
        <f t="shared" si="5"/>
        <v>0.92592592592592593</v>
      </c>
    </row>
    <row r="31" spans="1:29" s="407" customFormat="1" ht="15">
      <c r="A31" s="815"/>
      <c r="B31" s="764" t="s">
        <v>477</v>
      </c>
      <c r="C31" s="1412" t="s">
        <v>41</v>
      </c>
      <c r="D31" s="426">
        <v>100</v>
      </c>
      <c r="E31" s="1412" t="s">
        <v>41</v>
      </c>
      <c r="F31" s="803">
        <f>SUMIF(89:89,E31,90:90)-SUMIF(89:89,C31,90:90)+100</f>
        <v>100</v>
      </c>
      <c r="G31" s="1412" t="s">
        <v>41</v>
      </c>
      <c r="H31" s="777">
        <f>SUMIF(89:89,G31,90:90)-SUMIF(89:89,C31,90:90)+100</f>
        <v>100</v>
      </c>
      <c r="I31" s="1412" t="s">
        <v>41</v>
      </c>
      <c r="J31" s="777">
        <f>SUMIF(89:89,I31,90:90)-SUMIF(89:89,C31,90:90)+100</f>
        <v>100</v>
      </c>
      <c r="K31" s="954">
        <v>1</v>
      </c>
      <c r="L31" s="2350"/>
      <c r="M31" s="2351"/>
      <c r="N31" s="2351"/>
      <c r="O31" s="2352"/>
      <c r="P31" s="3673"/>
      <c r="Q31" s="296" t="str">
        <f t="shared" si="11"/>
        <v>是否封闭</v>
      </c>
      <c r="R31" s="1318" t="s">
        <v>65</v>
      </c>
      <c r="S31" s="1319">
        <f t="shared" si="12"/>
        <v>100</v>
      </c>
      <c r="T31" s="1318" t="s">
        <v>65</v>
      </c>
      <c r="U31" s="1319">
        <f t="shared" si="13"/>
        <v>100</v>
      </c>
      <c r="V31" s="1318" t="s">
        <v>65</v>
      </c>
      <c r="W31" s="1319">
        <f t="shared" si="14"/>
        <v>100</v>
      </c>
      <c r="X31" s="1320"/>
      <c r="Y31" s="3673"/>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8"/>
      <c r="M32" s="2349"/>
      <c r="N32" s="2349"/>
      <c r="O32" s="2357"/>
      <c r="P32" s="3673" t="s">
        <v>409</v>
      </c>
      <c r="Q32" s="1322">
        <f t="shared" si="11"/>
        <v>111</v>
      </c>
      <c r="R32" s="1323" t="s">
        <v>65</v>
      </c>
      <c r="S32" s="1324">
        <f t="shared" si="12"/>
        <v>100</v>
      </c>
      <c r="T32" s="1323" t="s">
        <v>65</v>
      </c>
      <c r="U32" s="1324">
        <f t="shared" si="13"/>
        <v>100</v>
      </c>
      <c r="V32" s="1323" t="s">
        <v>65</v>
      </c>
      <c r="W32" s="1324">
        <f t="shared" si="14"/>
        <v>100</v>
      </c>
      <c r="X32" s="1317"/>
      <c r="Y32" s="3673"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8"/>
      <c r="M33" s="2349"/>
      <c r="N33" s="2349"/>
      <c r="O33" s="2357"/>
      <c r="P33" s="3673"/>
      <c r="Q33" s="1322">
        <f t="shared" si="11"/>
        <v>111</v>
      </c>
      <c r="R33" s="1323" t="s">
        <v>65</v>
      </c>
      <c r="S33" s="1324">
        <f t="shared" si="12"/>
        <v>100</v>
      </c>
      <c r="T33" s="1323" t="s">
        <v>65</v>
      </c>
      <c r="U33" s="1324">
        <f t="shared" si="13"/>
        <v>100</v>
      </c>
      <c r="V33" s="1323" t="s">
        <v>65</v>
      </c>
      <c r="W33" s="1324">
        <f t="shared" si="14"/>
        <v>100</v>
      </c>
      <c r="X33" s="1317"/>
      <c r="Y33" s="3673"/>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8"/>
      <c r="M34" s="2349"/>
      <c r="N34" s="2349"/>
      <c r="O34" s="2357"/>
      <c r="P34" s="3673"/>
      <c r="Q34" s="1322">
        <f t="shared" si="11"/>
        <v>111</v>
      </c>
      <c r="R34" s="1323" t="s">
        <v>65</v>
      </c>
      <c r="S34" s="1324">
        <f t="shared" si="12"/>
        <v>100</v>
      </c>
      <c r="T34" s="1323" t="s">
        <v>65</v>
      </c>
      <c r="U34" s="1324">
        <f t="shared" si="13"/>
        <v>100</v>
      </c>
      <c r="V34" s="1323" t="s">
        <v>65</v>
      </c>
      <c r="W34" s="1324">
        <f t="shared" si="14"/>
        <v>100</v>
      </c>
      <c r="X34" s="1317"/>
      <c r="Y34" s="3673"/>
      <c r="Z34" s="1325">
        <f t="shared" si="15"/>
        <v>111</v>
      </c>
      <c r="AA34" s="1326">
        <f t="shared" si="3"/>
        <v>1</v>
      </c>
      <c r="AB34" s="1326">
        <f t="shared" si="4"/>
        <v>1</v>
      </c>
      <c r="AC34" s="1326">
        <f t="shared" si="5"/>
        <v>1</v>
      </c>
    </row>
    <row r="35" spans="1:29" ht="15">
      <c r="A35" s="821" t="s">
        <v>410</v>
      </c>
      <c r="B35" s="822"/>
      <c r="C35" s="2836" t="s">
        <v>23</v>
      </c>
      <c r="D35" s="2837"/>
      <c r="E35" s="2838">
        <v>3.2</v>
      </c>
      <c r="F35" s="2839"/>
      <c r="G35" s="2840">
        <v>3</v>
      </c>
      <c r="H35" s="2841"/>
      <c r="I35" s="2838">
        <v>2.9</v>
      </c>
      <c r="J35" s="2841"/>
      <c r="K35" s="1399"/>
      <c r="L35" s="2361"/>
      <c r="M35" s="2362"/>
      <c r="N35" s="2349"/>
      <c r="O35" s="2362"/>
      <c r="P35" s="3665" t="str">
        <f>A35</f>
        <v>成交单价（元/平方米）</v>
      </c>
      <c r="Q35" s="3665"/>
      <c r="R35" s="3666">
        <f>E35</f>
        <v>3.2</v>
      </c>
      <c r="S35" s="3666"/>
      <c r="T35" s="3666">
        <f>G35</f>
        <v>3</v>
      </c>
      <c r="U35" s="3666"/>
      <c r="V35" s="3666">
        <f>I35</f>
        <v>2.9</v>
      </c>
      <c r="W35" s="3666"/>
      <c r="X35" s="1306"/>
      <c r="Y35" s="1332"/>
      <c r="Z35" s="1306"/>
      <c r="AA35" s="1306"/>
      <c r="AB35" s="1306"/>
      <c r="AC35" s="1306"/>
    </row>
    <row r="36" spans="1:29" ht="15.75" thickBot="1">
      <c r="A36" s="828" t="s">
        <v>411</v>
      </c>
      <c r="B36" s="829"/>
      <c r="C36" s="2842">
        <f>R37</f>
        <v>3</v>
      </c>
      <c r="D36" s="2843"/>
      <c r="E36" s="2844">
        <f>R36</f>
        <v>3.2</v>
      </c>
      <c r="F36" s="2844"/>
      <c r="G36" s="2842">
        <f>T36</f>
        <v>2.9</v>
      </c>
      <c r="H36" s="2843"/>
      <c r="I36" s="2844">
        <f>V36</f>
        <v>2.8</v>
      </c>
      <c r="J36" s="2843"/>
      <c r="K36" s="1400"/>
      <c r="L36" s="2361"/>
      <c r="M36" s="2362"/>
      <c r="N36" s="2349"/>
      <c r="O36" s="2362"/>
      <c r="P36" s="3665" t="str">
        <f>A36</f>
        <v>比较价值（元/平方米）</v>
      </c>
      <c r="Q36" s="3665"/>
      <c r="R36" s="3666">
        <f>IF(F1="售价",ROUND(PRODUCT(R35,AA7:AA34),0),ROUND(PRODUCT(R35,AA7:AA34),1))</f>
        <v>3.2</v>
      </c>
      <c r="S36" s="3666"/>
      <c r="T36" s="3666">
        <f>IF(F1="售价",ROUND(PRODUCT(T35,AB7:AB34),0),ROUND(PRODUCT(T35,AB7:AB34),1))</f>
        <v>2.9</v>
      </c>
      <c r="U36" s="3666"/>
      <c r="V36" s="3666">
        <f>IF(F1="售价",ROUND(PRODUCT(V35,AC7:AC34),0),ROUND(PRODUCT(V35,AC7:AC34),1))</f>
        <v>2.8</v>
      </c>
      <c r="W36" s="3666"/>
      <c r="X36" s="1306"/>
      <c r="Y36" s="1306"/>
      <c r="Z36" s="1306"/>
      <c r="AA36" s="1306"/>
      <c r="AB36" s="1306"/>
      <c r="AC36" s="1306"/>
    </row>
    <row r="37" spans="1:29" ht="15.75" thickBot="1">
      <c r="A37" s="115" t="s">
        <v>3021</v>
      </c>
      <c r="B37" s="835"/>
      <c r="C37" s="2846">
        <f>R37</f>
        <v>3</v>
      </c>
      <c r="D37" s="2846"/>
      <c r="E37" s="2846"/>
      <c r="F37" s="2846"/>
      <c r="G37" s="2846"/>
      <c r="H37" s="2846"/>
      <c r="I37" s="2846"/>
      <c r="J37" s="2846"/>
      <c r="K37" s="1401"/>
      <c r="L37" s="2361"/>
      <c r="M37" s="2362"/>
      <c r="N37" s="2362"/>
      <c r="O37" s="2362"/>
      <c r="P37" s="3667" t="str">
        <f>A37</f>
        <v>估价对象XX用房的比较价值（楼面单价，元/平方米）</v>
      </c>
      <c r="Q37" s="3668"/>
      <c r="R37" s="3669">
        <f>IF(F1="售价",ROUND(AVERAGE(R36:V36),0),ROUND(AVERAGE(R36:V36),1))</f>
        <v>3</v>
      </c>
      <c r="S37" s="3669"/>
      <c r="T37" s="3669"/>
      <c r="U37" s="3669"/>
      <c r="V37" s="3669"/>
      <c r="W37" s="3669"/>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9" t="s">
        <v>412</v>
      </c>
      <c r="D40" s="840"/>
      <c r="E40" s="841">
        <f>IF(E35&lt;E36,E36/E35-1,E35/E36-1)</f>
        <v>0</v>
      </c>
      <c r="F40" s="842" t="str">
        <f>IF(OR(E40&gt;=0.3,E40&lt;=-0.3),"超过30%","")</f>
        <v/>
      </c>
      <c r="G40" s="841">
        <f>IF(G35&lt;G36,G36/G35-1,G35/G36-1)</f>
        <v>3.4482758620689724E-2</v>
      </c>
      <c r="H40" s="842" t="str">
        <f>IF(OR(G40&gt;=0.3,G40&lt;=-0.3),"超过30%","")</f>
        <v/>
      </c>
      <c r="I40" s="841">
        <f>IF(I35&lt;I36,I36/I35-1,I35/I36-1)</f>
        <v>3.5714285714285809E-2</v>
      </c>
      <c r="J40" s="842" t="str">
        <f>IF(OR(I40&gt;=0.3,I40&lt;=-0.3),"超过30%","")</f>
        <v/>
      </c>
      <c r="K40" s="2188"/>
      <c r="L40" s="2189"/>
      <c r="M40" s="2362"/>
      <c r="N40" s="2362"/>
      <c r="O40" s="2362"/>
    </row>
    <row r="41" spans="1:29" ht="13.5" customHeight="1">
      <c r="A41" s="2362"/>
      <c r="B41" s="2362"/>
      <c r="C41" s="839" t="s">
        <v>413</v>
      </c>
      <c r="D41" s="843"/>
      <c r="E41" s="841">
        <f>IF(E36&lt;G36,G36/E36-1,E36/G36-1)</f>
        <v>0.10344827586206895</v>
      </c>
      <c r="F41" s="842" t="str">
        <f>IF(OR(E41&gt;=0.2,E41&lt;=-0.2),"超过20%","")</f>
        <v/>
      </c>
      <c r="G41" s="841">
        <f>IF(G36&lt;I36,I36/G36-1,G36/I36-1)</f>
        <v>3.5714285714285809E-2</v>
      </c>
      <c r="H41" s="842" t="str">
        <f>IF(OR(G41&gt;=0.2,G41&lt;=-0.2),"超过20%","")</f>
        <v/>
      </c>
      <c r="I41" s="841">
        <f>IF(I36&lt;E36,E36/I36-1,I36/E36-1)</f>
        <v>0.14285714285714302</v>
      </c>
      <c r="J41" s="842" t="str">
        <f>IF(OR(I41&gt;=0.2,I41&lt;=-0.2),"超过20%","")</f>
        <v/>
      </c>
      <c r="K41" s="2188"/>
      <c r="L41" s="2189"/>
      <c r="M41" s="2362"/>
      <c r="N41" s="2362"/>
      <c r="O41" s="2362"/>
    </row>
    <row r="42" spans="1:29" s="844" customFormat="1" ht="13.5" customHeight="1">
      <c r="A42" s="2363"/>
      <c r="B42" s="2363"/>
      <c r="C42" s="839" t="s">
        <v>414</v>
      </c>
      <c r="D42" s="843"/>
      <c r="E42" s="841">
        <f>IF(E35&lt;G35,G35/E35-1,E35/G35-1)</f>
        <v>6.6666666666666652E-2</v>
      </c>
      <c r="F42" s="842" t="str">
        <f>IF(OR(E42&gt;=0.3,E42&lt;=-0.3),"超过30%","")</f>
        <v/>
      </c>
      <c r="G42" s="841">
        <f>IF(G35&lt;I35,I35/G35-1,G35/I35-1)</f>
        <v>3.4482758620689724E-2</v>
      </c>
      <c r="H42" s="842" t="str">
        <f>IF(OR(G42&gt;=0.3,G42&lt;=-0.3),"超过30%","")</f>
        <v/>
      </c>
      <c r="I42" s="841">
        <f>IF(I35&lt;E35,E35/I35-1,I35/E35-1)</f>
        <v>0.10344827586206895</v>
      </c>
      <c r="J42" s="842" t="str">
        <f>IF(OR(I42&gt;=0.3,I42&lt;=-0.3),"超过30%","")</f>
        <v/>
      </c>
      <c r="K42" s="2366"/>
      <c r="L42" s="2367"/>
      <c r="M42" s="2363"/>
      <c r="N42" s="2363"/>
      <c r="O42" s="2363"/>
    </row>
    <row r="43" spans="1:29" s="844"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45" t="str">
        <f>YEAR(C7)&amp;"-"&amp;MONTH(C7)</f>
        <v>2017-11</v>
      </c>
      <c r="D46" s="3046">
        <f>EDATE(C46,-1)</f>
        <v>43009</v>
      </c>
      <c r="E46" s="3046">
        <f t="shared" ref="E46:O46" si="16">EDATE(D46,-1)</f>
        <v>42979</v>
      </c>
      <c r="F46" s="3046">
        <f t="shared" si="16"/>
        <v>42948</v>
      </c>
      <c r="G46" s="3046">
        <f t="shared" si="16"/>
        <v>42917</v>
      </c>
      <c r="H46" s="3046">
        <f t="shared" si="16"/>
        <v>42887</v>
      </c>
      <c r="I46" s="3046">
        <f t="shared" si="16"/>
        <v>42856</v>
      </c>
      <c r="J46" s="3046">
        <f t="shared" si="16"/>
        <v>42826</v>
      </c>
      <c r="K46" s="3046">
        <f t="shared" si="16"/>
        <v>42795</v>
      </c>
      <c r="L46" s="3046">
        <f t="shared" si="16"/>
        <v>42767</v>
      </c>
      <c r="M46" s="3046">
        <f t="shared" si="16"/>
        <v>42736</v>
      </c>
      <c r="N46" s="3046">
        <f t="shared" si="16"/>
        <v>42705</v>
      </c>
      <c r="O46" s="3046">
        <f t="shared" si="16"/>
        <v>42675</v>
      </c>
      <c r="P46" s="849"/>
    </row>
    <row r="47" spans="1:29" s="407" customFormat="1" ht="15">
      <c r="A47" s="851"/>
      <c r="B47" s="852"/>
      <c r="C47" s="3043">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9"/>
      <c r="O49" s="2369"/>
      <c r="P49" s="868"/>
      <c r="Q49" s="846"/>
    </row>
    <row r="50" spans="1:17" s="407" customFormat="1" ht="15.75" thickBot="1">
      <c r="A50" s="863"/>
      <c r="B50" s="852"/>
      <c r="C50" s="981">
        <v>100</v>
      </c>
      <c r="D50" s="854"/>
      <c r="E50" s="854"/>
      <c r="F50" s="854"/>
      <c r="G50" s="854"/>
      <c r="H50" s="854"/>
      <c r="I50" s="854"/>
      <c r="J50" s="854"/>
      <c r="K50" s="854"/>
      <c r="L50" s="854"/>
      <c r="M50" s="856"/>
      <c r="N50" s="2369"/>
      <c r="O50" s="2369"/>
      <c r="P50" s="846"/>
      <c r="Q50" s="846"/>
    </row>
    <row r="51" spans="1:17">
      <c r="A51" s="869" t="s">
        <v>418</v>
      </c>
      <c r="B51" s="870" t="s">
        <v>419</v>
      </c>
      <c r="C51" s="871" t="str">
        <f>C9</f>
        <v>仓储</v>
      </c>
      <c r="D51" s="122"/>
      <c r="E51" s="122"/>
      <c r="F51" s="122"/>
      <c r="G51" s="122"/>
      <c r="H51" s="122"/>
      <c r="I51" s="122"/>
      <c r="J51" s="122"/>
      <c r="K51" s="123"/>
      <c r="L51" s="124"/>
      <c r="M51" s="125"/>
      <c r="N51" s="2370"/>
      <c r="O51" s="2370"/>
      <c r="P51" s="334"/>
      <c r="Q51" s="846"/>
    </row>
    <row r="52" spans="1:17" ht="15.75" thickBot="1">
      <c r="A52" s="876"/>
      <c r="B52" s="877"/>
      <c r="C52" s="878">
        <v>100</v>
      </c>
      <c r="D52" s="878"/>
      <c r="E52" s="878"/>
      <c r="F52" s="878"/>
      <c r="G52" s="878"/>
      <c r="H52" s="878"/>
      <c r="I52" s="878"/>
      <c r="J52" s="878"/>
      <c r="K52" s="878"/>
      <c r="L52" s="878"/>
      <c r="M52" s="879"/>
      <c r="N52" s="2371"/>
      <c r="O52" s="2371"/>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70"/>
      <c r="O53" s="2370"/>
      <c r="P53" s="334"/>
      <c r="Q53" s="846"/>
    </row>
    <row r="54" spans="1:17" ht="15.75" thickBot="1">
      <c r="A54" s="876"/>
      <c r="B54" s="885"/>
      <c r="C54" s="886" t="s">
        <v>138</v>
      </c>
      <c r="D54" s="886" t="s">
        <v>139</v>
      </c>
      <c r="E54" s="886">
        <v>100</v>
      </c>
      <c r="F54" s="886">
        <f>E54-$K10</f>
        <v>99</v>
      </c>
      <c r="G54" s="886">
        <f>F54-$K10</f>
        <v>98</v>
      </c>
      <c r="H54" s="886">
        <f>G54-$K10</f>
        <v>97</v>
      </c>
      <c r="I54" s="886">
        <f>H54-$K10</f>
        <v>96</v>
      </c>
      <c r="J54" s="886"/>
      <c r="K54" s="886"/>
      <c r="L54" s="886"/>
      <c r="M54" s="887"/>
      <c r="N54" s="2371"/>
      <c r="O54" s="2371"/>
      <c r="P54" s="334"/>
      <c r="Q54" s="846"/>
    </row>
    <row r="55" spans="1:17" ht="15.75" thickTop="1">
      <c r="A55" s="876"/>
      <c r="B55" s="213">
        <f>B11</f>
        <v>111</v>
      </c>
      <c r="C55" s="126"/>
      <c r="D55" s="126"/>
      <c r="E55" s="126"/>
      <c r="F55" s="126"/>
      <c r="G55" s="126"/>
      <c r="H55" s="126"/>
      <c r="I55" s="126"/>
      <c r="J55" s="126"/>
      <c r="K55" s="127"/>
      <c r="L55" s="128"/>
      <c r="M55" s="129"/>
      <c r="N55" s="2370"/>
      <c r="O55" s="2370"/>
      <c r="P55" s="334"/>
      <c r="Q55" s="846"/>
    </row>
    <row r="56" spans="1:17" ht="15.75" thickBot="1">
      <c r="A56" s="876"/>
      <c r="B56" s="1052"/>
      <c r="C56" s="902"/>
      <c r="D56" s="878"/>
      <c r="E56" s="878"/>
      <c r="F56" s="878"/>
      <c r="G56" s="878"/>
      <c r="H56" s="878"/>
      <c r="I56" s="878"/>
      <c r="J56" s="878"/>
      <c r="K56" s="878"/>
      <c r="L56" s="878"/>
      <c r="M56" s="879"/>
      <c r="N56" s="2371"/>
      <c r="O56" s="2371"/>
      <c r="P56" s="334"/>
      <c r="Q56" s="846"/>
    </row>
    <row r="57" spans="1:17" s="813" customFormat="1" ht="15.75" thickTop="1">
      <c r="A57" s="895"/>
      <c r="B57" s="1053">
        <f>B12</f>
        <v>111</v>
      </c>
      <c r="C57" s="126"/>
      <c r="D57" s="126"/>
      <c r="E57" s="126"/>
      <c r="F57" s="126"/>
      <c r="G57" s="139"/>
      <c r="H57" s="1058"/>
      <c r="I57" s="1058"/>
      <c r="J57" s="1058"/>
      <c r="K57" s="1058"/>
      <c r="L57" s="1059"/>
      <c r="M57" s="1060"/>
      <c r="N57" s="2372"/>
      <c r="O57" s="2372"/>
      <c r="P57" s="900"/>
      <c r="Q57" s="901"/>
    </row>
    <row r="58" spans="1:17" s="813" customFormat="1" ht="15.75" thickBot="1">
      <c r="A58" s="895"/>
      <c r="B58" s="1054"/>
      <c r="C58" s="902"/>
      <c r="D58" s="878"/>
      <c r="E58" s="878"/>
      <c r="F58" s="878"/>
      <c r="G58" s="878"/>
      <c r="H58" s="878"/>
      <c r="I58" s="878"/>
      <c r="J58" s="878"/>
      <c r="K58" s="878"/>
      <c r="L58" s="878"/>
      <c r="M58" s="879"/>
      <c r="N58" s="2371"/>
      <c r="O58" s="2371"/>
      <c r="P58" s="900"/>
      <c r="Q58" s="901"/>
    </row>
    <row r="59" spans="1:17" s="813" customFormat="1" ht="15.75" thickTop="1">
      <c r="A59" s="895"/>
      <c r="B59" s="1053">
        <f>B13</f>
        <v>111</v>
      </c>
      <c r="C59" s="126"/>
      <c r="D59" s="126"/>
      <c r="E59" s="126"/>
      <c r="F59" s="126"/>
      <c r="G59" s="139"/>
      <c r="H59" s="1058"/>
      <c r="I59" s="1058"/>
      <c r="J59" s="1058"/>
      <c r="K59" s="1058"/>
      <c r="L59" s="1059"/>
      <c r="M59" s="1060"/>
      <c r="N59" s="2372"/>
      <c r="O59" s="2372"/>
      <c r="P59" s="812"/>
      <c r="Q59" s="903"/>
    </row>
    <row r="60" spans="1:17" s="813" customFormat="1" ht="15.75" thickBot="1">
      <c r="A60" s="895"/>
      <c r="B60" s="1054"/>
      <c r="C60" s="902"/>
      <c r="D60" s="902"/>
      <c r="E60" s="902"/>
      <c r="F60" s="902"/>
      <c r="G60" s="902"/>
      <c r="H60" s="904"/>
      <c r="I60" s="904"/>
      <c r="J60" s="904"/>
      <c r="K60" s="904"/>
      <c r="L60" s="904"/>
      <c r="M60" s="905"/>
      <c r="N60" s="2372"/>
      <c r="O60" s="2372"/>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70"/>
      <c r="O61" s="2370"/>
      <c r="P61" s="919"/>
      <c r="Q61" s="846"/>
    </row>
    <row r="62" spans="1:17" ht="15.75" thickBot="1">
      <c r="A62" s="876"/>
      <c r="B62" s="885"/>
      <c r="C62" s="886">
        <v>100</v>
      </c>
      <c r="D62" s="886">
        <f>C62-$K14</f>
        <v>98</v>
      </c>
      <c r="E62" s="886">
        <f>D62-$K14</f>
        <v>96</v>
      </c>
      <c r="F62" s="886">
        <f>E62-$K14</f>
        <v>94</v>
      </c>
      <c r="G62" s="886">
        <f>F62-$K14</f>
        <v>92</v>
      </c>
      <c r="H62" s="886"/>
      <c r="I62" s="886"/>
      <c r="J62" s="886"/>
      <c r="K62" s="886"/>
      <c r="L62" s="886"/>
      <c r="M62" s="887"/>
      <c r="N62" s="2371"/>
      <c r="O62" s="2371"/>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70"/>
      <c r="O63" s="2370"/>
      <c r="P63" s="334"/>
      <c r="Q63" s="846"/>
    </row>
    <row r="64" spans="1:17" ht="15.75" thickBot="1">
      <c r="A64" s="876"/>
      <c r="B64" s="885"/>
      <c r="C64" s="886">
        <v>100</v>
      </c>
      <c r="D64" s="886">
        <f>C64-$K16</f>
        <v>98</v>
      </c>
      <c r="E64" s="886">
        <f>D64-$K16</f>
        <v>96</v>
      </c>
      <c r="F64" s="886">
        <f>E64-$K16</f>
        <v>94</v>
      </c>
      <c r="G64" s="886">
        <f>F64-$K16</f>
        <v>92</v>
      </c>
      <c r="H64" s="886"/>
      <c r="I64" s="886"/>
      <c r="J64" s="886"/>
      <c r="K64" s="886"/>
      <c r="L64" s="886"/>
      <c r="M64" s="887"/>
      <c r="N64" s="2371"/>
      <c r="O64" s="2371"/>
      <c r="P64" s="334"/>
      <c r="Q64" s="846"/>
    </row>
    <row r="65" spans="1:17" ht="15.75" thickTop="1">
      <c r="A65" s="876"/>
      <c r="B65" s="1055" t="s">
        <v>2671</v>
      </c>
      <c r="C65" s="213" t="s">
        <v>2661</v>
      </c>
      <c r="D65" s="213" t="s">
        <v>2662</v>
      </c>
      <c r="E65" s="213" t="s">
        <v>2663</v>
      </c>
      <c r="F65" s="213" t="s">
        <v>2664</v>
      </c>
      <c r="G65" s="213" t="s">
        <v>2665</v>
      </c>
      <c r="H65" s="881"/>
      <c r="I65" s="881"/>
      <c r="J65" s="881"/>
      <c r="K65" s="881"/>
      <c r="L65" s="881"/>
      <c r="M65" s="2765"/>
      <c r="N65" s="2371"/>
      <c r="O65" s="2371"/>
      <c r="P65" s="334"/>
      <c r="Q65" s="846"/>
    </row>
    <row r="66" spans="1:17" ht="15.75" thickBot="1">
      <c r="A66" s="876"/>
      <c r="B66" s="888"/>
      <c r="C66" s="886">
        <v>100</v>
      </c>
      <c r="D66" s="886">
        <f>C66-$K18</f>
        <v>99</v>
      </c>
      <c r="E66" s="886">
        <f>D66-$K18</f>
        <v>98</v>
      </c>
      <c r="F66" s="886">
        <f>E66-$K18</f>
        <v>97</v>
      </c>
      <c r="G66" s="886">
        <f>F66-$K18</f>
        <v>96</v>
      </c>
      <c r="H66" s="1002"/>
      <c r="I66" s="1002"/>
      <c r="J66" s="1002"/>
      <c r="K66" s="1002"/>
      <c r="L66" s="1002"/>
      <c r="M66" s="792"/>
      <c r="N66" s="2371"/>
      <c r="O66" s="2371"/>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70"/>
      <c r="O67" s="2370"/>
      <c r="P67" s="334"/>
      <c r="Q67" s="846"/>
    </row>
    <row r="68" spans="1:17" ht="15.75" thickBot="1">
      <c r="A68" s="876"/>
      <c r="B68" s="885"/>
      <c r="C68" s="886">
        <v>100</v>
      </c>
      <c r="D68" s="886">
        <f>C68-$K20</f>
        <v>99</v>
      </c>
      <c r="E68" s="886">
        <f>D68-$K20</f>
        <v>98</v>
      </c>
      <c r="F68" s="886">
        <f>E68-$K20</f>
        <v>97</v>
      </c>
      <c r="G68" s="886">
        <f>F68-$K20</f>
        <v>96</v>
      </c>
      <c r="H68" s="886"/>
      <c r="I68" s="886"/>
      <c r="J68" s="886"/>
      <c r="K68" s="886"/>
      <c r="L68" s="886"/>
      <c r="M68" s="887"/>
      <c r="N68" s="2371"/>
      <c r="O68" s="2371"/>
      <c r="P68" s="334"/>
      <c r="Q68" s="846"/>
    </row>
    <row r="69" spans="1:17" ht="15.75" thickTop="1">
      <c r="A69" s="876"/>
      <c r="B69" s="880" t="s">
        <v>433</v>
      </c>
      <c r="C69" s="139" t="s">
        <v>3112</v>
      </c>
      <c r="D69" s="139" t="s">
        <v>3114</v>
      </c>
      <c r="E69" s="139"/>
      <c r="F69" s="139"/>
      <c r="G69" s="139"/>
      <c r="H69" s="131"/>
      <c r="I69" s="131"/>
      <c r="J69" s="131"/>
      <c r="K69" s="132"/>
      <c r="L69" s="133"/>
      <c r="M69" s="134"/>
      <c r="N69" s="2370"/>
      <c r="O69" s="2370"/>
      <c r="P69" s="334"/>
      <c r="Q69" s="846"/>
    </row>
    <row r="70" spans="1:17" ht="15.75" thickBot="1">
      <c r="A70" s="876"/>
      <c r="B70" s="885"/>
      <c r="C70" s="886">
        <v>100</v>
      </c>
      <c r="D70" s="886">
        <f>C70-$K22</f>
        <v>98</v>
      </c>
      <c r="E70" s="886"/>
      <c r="F70" s="886"/>
      <c r="G70" s="886"/>
      <c r="H70" s="886"/>
      <c r="I70" s="886"/>
      <c r="J70" s="886"/>
      <c r="K70" s="886"/>
      <c r="L70" s="886"/>
      <c r="M70" s="887"/>
      <c r="N70" s="2371"/>
      <c r="O70" s="2371"/>
      <c r="P70" s="334"/>
      <c r="Q70" s="846"/>
    </row>
    <row r="71" spans="1:17" s="407" customFormat="1" ht="15.75" thickTop="1">
      <c r="A71" s="921"/>
      <c r="B71" s="1053">
        <f>B23</f>
        <v>111</v>
      </c>
      <c r="C71" s="126"/>
      <c r="D71" s="126"/>
      <c r="E71" s="126"/>
      <c r="F71" s="126"/>
      <c r="G71" s="139"/>
      <c r="H71" s="139"/>
      <c r="I71" s="139"/>
      <c r="J71" s="139"/>
      <c r="K71" s="139"/>
      <c r="L71" s="1383"/>
      <c r="M71" s="1384"/>
      <c r="N71" s="2369"/>
      <c r="O71" s="2369"/>
      <c r="P71" s="334"/>
      <c r="Q71" s="846"/>
    </row>
    <row r="72" spans="1:17" s="407" customFormat="1" ht="15.75" thickBot="1">
      <c r="A72" s="921"/>
      <c r="B72" s="1054"/>
      <c r="C72" s="902"/>
      <c r="D72" s="878"/>
      <c r="E72" s="878"/>
      <c r="F72" s="878"/>
      <c r="G72" s="878"/>
      <c r="H72" s="878"/>
      <c r="I72" s="878"/>
      <c r="J72" s="878"/>
      <c r="K72" s="878"/>
      <c r="L72" s="878"/>
      <c r="M72" s="879"/>
      <c r="N72" s="2371"/>
      <c r="O72" s="2371"/>
      <c r="P72" s="334"/>
      <c r="Q72" s="846"/>
    </row>
    <row r="73" spans="1:17" s="407" customFormat="1" ht="15.75" thickTop="1">
      <c r="A73" s="921"/>
      <c r="B73" s="1053">
        <f>B24</f>
        <v>111</v>
      </c>
      <c r="C73" s="126"/>
      <c r="D73" s="126"/>
      <c r="E73" s="126"/>
      <c r="F73" s="126"/>
      <c r="G73" s="139"/>
      <c r="H73" s="139"/>
      <c r="I73" s="139"/>
      <c r="J73" s="139"/>
      <c r="K73" s="139"/>
      <c r="L73" s="139"/>
      <c r="M73" s="1384"/>
      <c r="N73" s="2369"/>
      <c r="O73" s="2369"/>
      <c r="P73" s="334"/>
      <c r="Q73" s="846"/>
    </row>
    <row r="74" spans="1:17" s="407" customFormat="1" ht="15.75" thickBot="1">
      <c r="A74" s="921"/>
      <c r="B74" s="1054"/>
      <c r="C74" s="902"/>
      <c r="D74" s="878"/>
      <c r="E74" s="878"/>
      <c r="F74" s="878"/>
      <c r="G74" s="878"/>
      <c r="H74" s="878"/>
      <c r="I74" s="878"/>
      <c r="J74" s="878"/>
      <c r="K74" s="878"/>
      <c r="L74" s="878"/>
      <c r="M74" s="879"/>
      <c r="N74" s="2371"/>
      <c r="O74" s="2371"/>
      <c r="P74" s="334"/>
      <c r="Q74" s="846"/>
    </row>
    <row r="75" spans="1:17" s="813" customFormat="1" ht="15.75" thickTop="1">
      <c r="A75" s="895"/>
      <c r="B75" s="1053">
        <f>B25</f>
        <v>111</v>
      </c>
      <c r="C75" s="126"/>
      <c r="D75" s="126"/>
      <c r="E75" s="126"/>
      <c r="F75" s="126"/>
      <c r="G75" s="139"/>
      <c r="H75" s="1058"/>
      <c r="I75" s="1058"/>
      <c r="J75" s="1058"/>
      <c r="K75" s="1058"/>
      <c r="L75" s="1059"/>
      <c r="M75" s="1060"/>
      <c r="N75" s="2372"/>
      <c r="O75" s="2372"/>
      <c r="P75" s="900"/>
      <c r="Q75" s="901"/>
    </row>
    <row r="76" spans="1:17" s="813" customFormat="1" ht="15.75" thickBot="1">
      <c r="A76" s="895"/>
      <c r="B76" s="1054"/>
      <c r="C76" s="902"/>
      <c r="D76" s="902"/>
      <c r="E76" s="902"/>
      <c r="F76" s="902"/>
      <c r="G76" s="878"/>
      <c r="H76" s="878"/>
      <c r="I76" s="878"/>
      <c r="J76" s="878"/>
      <c r="K76" s="878"/>
      <c r="L76" s="878"/>
      <c r="M76" s="879"/>
      <c r="N76" s="2372"/>
      <c r="O76" s="2372"/>
      <c r="P76" s="900"/>
      <c r="Q76" s="901"/>
    </row>
    <row r="77" spans="1:17" ht="15" thickTop="1">
      <c r="A77" s="869" t="s">
        <v>408</v>
      </c>
      <c r="B77" s="870" t="s">
        <v>434</v>
      </c>
      <c r="C77" s="139" t="s">
        <v>3123</v>
      </c>
      <c r="D77" s="139"/>
      <c r="E77" s="122"/>
      <c r="F77" s="122"/>
      <c r="G77" s="122"/>
      <c r="H77" s="122"/>
      <c r="I77" s="122"/>
      <c r="J77" s="122"/>
      <c r="K77" s="123"/>
      <c r="L77" s="124"/>
      <c r="M77" s="125"/>
      <c r="N77" s="2370"/>
      <c r="O77" s="2370"/>
      <c r="P77" s="334"/>
      <c r="Q77" s="846"/>
    </row>
    <row r="78" spans="1:17" ht="15.75" thickBot="1">
      <c r="A78" s="876"/>
      <c r="B78" s="885"/>
      <c r="C78" s="886">
        <v>100</v>
      </c>
      <c r="D78" s="886">
        <f t="shared" ref="D78:M78" si="17">C78-$K26</f>
        <v>99</v>
      </c>
      <c r="E78" s="886">
        <f t="shared" si="17"/>
        <v>98</v>
      </c>
      <c r="F78" s="886">
        <f t="shared" si="17"/>
        <v>97</v>
      </c>
      <c r="G78" s="886">
        <f t="shared" si="17"/>
        <v>96</v>
      </c>
      <c r="H78" s="886">
        <f t="shared" si="17"/>
        <v>95</v>
      </c>
      <c r="I78" s="886">
        <f t="shared" si="17"/>
        <v>94</v>
      </c>
      <c r="J78" s="886">
        <f t="shared" si="17"/>
        <v>93</v>
      </c>
      <c r="K78" s="886">
        <f t="shared" si="17"/>
        <v>92</v>
      </c>
      <c r="L78" s="886">
        <f t="shared" si="17"/>
        <v>91</v>
      </c>
      <c r="M78" s="887">
        <f t="shared" si="17"/>
        <v>90</v>
      </c>
      <c r="N78" s="2371"/>
      <c r="O78" s="2371"/>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9"/>
      <c r="O79" s="2369"/>
      <c r="P79" s="334"/>
      <c r="Q79" s="846"/>
    </row>
    <row r="80" spans="1:17" ht="15">
      <c r="A80" s="876"/>
      <c r="B80" s="888"/>
      <c r="C80" s="945">
        <v>0.5</v>
      </c>
      <c r="D80" s="945">
        <v>0.6</v>
      </c>
      <c r="E80" s="945">
        <v>0.7</v>
      </c>
      <c r="F80" s="945">
        <v>0.8</v>
      </c>
      <c r="G80" s="945">
        <v>0.9</v>
      </c>
      <c r="H80" s="945">
        <v>1.0001</v>
      </c>
      <c r="I80" s="1002"/>
      <c r="J80" s="1002"/>
      <c r="K80" s="1010"/>
      <c r="L80" s="1011"/>
      <c r="M80" s="1012"/>
      <c r="N80" s="2369"/>
      <c r="O80" s="2369"/>
      <c r="P80" s="334"/>
      <c r="Q80" s="846"/>
    </row>
    <row r="81" spans="1:17" s="813" customFormat="1" ht="15.75" thickBot="1">
      <c r="A81" s="895"/>
      <c r="B81" s="885"/>
      <c r="C81" s="924">
        <v>100</v>
      </c>
      <c r="D81" s="886">
        <f t="shared" ref="D81:M81" si="18">C81+$K27</f>
        <v>103</v>
      </c>
      <c r="E81" s="886">
        <f t="shared" si="18"/>
        <v>106</v>
      </c>
      <c r="F81" s="886">
        <f t="shared" si="18"/>
        <v>109</v>
      </c>
      <c r="G81" s="886">
        <f t="shared" si="18"/>
        <v>112</v>
      </c>
      <c r="H81" s="886">
        <f t="shared" si="18"/>
        <v>115</v>
      </c>
      <c r="I81" s="886">
        <f t="shared" si="18"/>
        <v>118</v>
      </c>
      <c r="J81" s="886">
        <f t="shared" si="18"/>
        <v>121</v>
      </c>
      <c r="K81" s="886">
        <f t="shared" si="18"/>
        <v>124</v>
      </c>
      <c r="L81" s="886">
        <f t="shared" si="18"/>
        <v>127</v>
      </c>
      <c r="M81" s="886">
        <f t="shared" si="18"/>
        <v>130</v>
      </c>
      <c r="N81" s="2371"/>
      <c r="O81" s="2371"/>
      <c r="P81" s="900"/>
      <c r="Q81" s="901"/>
    </row>
    <row r="82" spans="1:17" ht="15" thickTop="1">
      <c r="A82" s="941"/>
      <c r="B82" s="888" t="s">
        <v>470</v>
      </c>
      <c r="C82" s="139" t="s">
        <v>3116</v>
      </c>
      <c r="D82" s="139" t="s">
        <v>3117</v>
      </c>
      <c r="E82" s="131"/>
      <c r="F82" s="131"/>
      <c r="G82" s="131"/>
      <c r="H82" s="131"/>
      <c r="I82" s="131"/>
      <c r="J82" s="131"/>
      <c r="K82" s="132"/>
      <c r="L82" s="133"/>
      <c r="M82" s="134"/>
      <c r="N82" s="2370"/>
      <c r="O82" s="2370"/>
      <c r="P82" s="334"/>
      <c r="Q82" s="846"/>
    </row>
    <row r="83" spans="1:17" ht="15.75" thickBot="1">
      <c r="A83" s="876"/>
      <c r="B83" s="885"/>
      <c r="C83" s="886">
        <v>100</v>
      </c>
      <c r="D83" s="886">
        <f t="shared" ref="D83:M83" si="19">C83-$K28</f>
        <v>99</v>
      </c>
      <c r="E83" s="886">
        <f t="shared" si="19"/>
        <v>98</v>
      </c>
      <c r="F83" s="886">
        <f t="shared" si="19"/>
        <v>97</v>
      </c>
      <c r="G83" s="886">
        <f t="shared" si="19"/>
        <v>96</v>
      </c>
      <c r="H83" s="886">
        <f t="shared" si="19"/>
        <v>95</v>
      </c>
      <c r="I83" s="886">
        <f t="shared" si="19"/>
        <v>94</v>
      </c>
      <c r="J83" s="886">
        <f t="shared" si="19"/>
        <v>93</v>
      </c>
      <c r="K83" s="886">
        <f t="shared" si="19"/>
        <v>92</v>
      </c>
      <c r="L83" s="886">
        <f t="shared" si="19"/>
        <v>91</v>
      </c>
      <c r="M83" s="887">
        <f t="shared" si="19"/>
        <v>90</v>
      </c>
      <c r="N83" s="2371"/>
      <c r="O83" s="2371"/>
      <c r="P83" s="334"/>
      <c r="Q83" s="846"/>
    </row>
    <row r="84" spans="1:17" ht="15" thickTop="1">
      <c r="A84" s="941"/>
      <c r="B84" s="880" t="s">
        <v>478</v>
      </c>
      <c r="C84" s="139" t="s">
        <v>3118</v>
      </c>
      <c r="D84" s="139" t="s">
        <v>3119</v>
      </c>
      <c r="E84" s="139"/>
      <c r="F84" s="139"/>
      <c r="G84" s="139"/>
      <c r="H84" s="139"/>
      <c r="I84" s="131"/>
      <c r="J84" s="131"/>
      <c r="K84" s="132"/>
      <c r="L84" s="133"/>
      <c r="M84" s="134"/>
      <c r="N84" s="2370"/>
      <c r="O84" s="2370"/>
      <c r="P84" s="334"/>
      <c r="Q84" s="846"/>
    </row>
    <row r="85" spans="1:17" ht="15.75" thickBot="1">
      <c r="A85" s="876"/>
      <c r="B85" s="885"/>
      <c r="C85" s="924">
        <v>100</v>
      </c>
      <c r="D85" s="886">
        <f t="shared" ref="D85:M85" si="20">C85+$K29</f>
        <v>102</v>
      </c>
      <c r="E85" s="886">
        <f t="shared" si="20"/>
        <v>104</v>
      </c>
      <c r="F85" s="886">
        <f t="shared" si="20"/>
        <v>106</v>
      </c>
      <c r="G85" s="886">
        <f t="shared" si="20"/>
        <v>108</v>
      </c>
      <c r="H85" s="886">
        <f t="shared" si="20"/>
        <v>110</v>
      </c>
      <c r="I85" s="886">
        <f t="shared" si="20"/>
        <v>112</v>
      </c>
      <c r="J85" s="886">
        <f t="shared" si="20"/>
        <v>114</v>
      </c>
      <c r="K85" s="886">
        <f t="shared" si="20"/>
        <v>116</v>
      </c>
      <c r="L85" s="886">
        <f t="shared" si="20"/>
        <v>118</v>
      </c>
      <c r="M85" s="886">
        <f t="shared" si="20"/>
        <v>120</v>
      </c>
      <c r="N85" s="2371"/>
      <c r="O85" s="2371"/>
      <c r="P85" s="334"/>
      <c r="Q85" s="846"/>
    </row>
    <row r="86" spans="1:17" ht="29.25" thickTop="1">
      <c r="A86" s="941"/>
      <c r="B86" s="888" t="s">
        <v>479</v>
      </c>
      <c r="C86" s="920" t="str">
        <f t="shared" ref="C86:L86" si="21">C87&amp;"(含)"&amp;"-"&amp;D87</f>
        <v>0(含)-100</v>
      </c>
      <c r="D86" s="920" t="str">
        <f t="shared" si="21"/>
        <v>100(含)-200</v>
      </c>
      <c r="E86" s="920" t="str">
        <f t="shared" si="21"/>
        <v>200(含)-300</v>
      </c>
      <c r="F86" s="920" t="str">
        <f t="shared" si="21"/>
        <v>300(含)-500</v>
      </c>
      <c r="G86" s="920" t="str">
        <f t="shared" si="21"/>
        <v>500(含)-1000</v>
      </c>
      <c r="H86" s="920" t="str">
        <f t="shared" si="21"/>
        <v>1000(含)-1001及以上</v>
      </c>
      <c r="I86" s="920" t="str">
        <f t="shared" si="21"/>
        <v>1001及以上(含)-</v>
      </c>
      <c r="J86" s="920" t="str">
        <f t="shared" si="21"/>
        <v>(含)-</v>
      </c>
      <c r="K86" s="920" t="str">
        <f t="shared" si="21"/>
        <v>(含)-</v>
      </c>
      <c r="L86" s="920" t="str">
        <f t="shared" si="21"/>
        <v>(含)-</v>
      </c>
      <c r="M86" s="964" t="str">
        <f>M87&amp;"(含)"&amp;"-"&amp;P87</f>
        <v>(含)-</v>
      </c>
      <c r="N86" s="2370"/>
      <c r="O86" s="2370"/>
      <c r="P86" s="334"/>
      <c r="Q86" s="846"/>
    </row>
    <row r="87" spans="1:17">
      <c r="A87" s="941"/>
      <c r="B87" s="888"/>
      <c r="C87" s="937">
        <v>0</v>
      </c>
      <c r="D87" s="937">
        <v>100</v>
      </c>
      <c r="E87" s="937">
        <v>200</v>
      </c>
      <c r="F87" s="937">
        <v>300</v>
      </c>
      <c r="G87" s="937">
        <v>500</v>
      </c>
      <c r="H87" s="937">
        <v>1000</v>
      </c>
      <c r="I87" s="937" t="s">
        <v>3189</v>
      </c>
      <c r="J87" s="938"/>
      <c r="K87" s="938"/>
      <c r="L87" s="939"/>
      <c r="M87" s="940"/>
      <c r="N87" s="2370"/>
      <c r="O87" s="2370"/>
      <c r="P87" s="334"/>
      <c r="Q87" s="846"/>
    </row>
    <row r="88" spans="1:17" ht="15.75" thickBot="1">
      <c r="A88" s="876"/>
      <c r="B88" s="885"/>
      <c r="C88" s="902">
        <v>100</v>
      </c>
      <c r="D88" s="878">
        <v>99</v>
      </c>
      <c r="E88" s="878">
        <v>98</v>
      </c>
      <c r="F88" s="878">
        <v>96</v>
      </c>
      <c r="G88" s="878">
        <v>94</v>
      </c>
      <c r="H88" s="878">
        <v>92</v>
      </c>
      <c r="I88" s="878">
        <v>90</v>
      </c>
      <c r="J88" s="878"/>
      <c r="K88" s="878"/>
      <c r="L88" s="878"/>
      <c r="M88" s="878"/>
      <c r="N88" s="2371"/>
      <c r="O88" s="2371"/>
      <c r="P88" s="334"/>
      <c r="Q88" s="846"/>
    </row>
    <row r="89" spans="1:17" s="813" customFormat="1" ht="15" thickTop="1">
      <c r="A89" s="935"/>
      <c r="B89" s="880" t="s">
        <v>480</v>
      </c>
      <c r="C89" s="139" t="s">
        <v>3120</v>
      </c>
      <c r="D89" s="139" t="s">
        <v>3121</v>
      </c>
      <c r="E89" s="139"/>
      <c r="F89" s="139"/>
      <c r="G89" s="139"/>
      <c r="H89" s="139"/>
      <c r="I89" s="139"/>
      <c r="J89" s="139"/>
      <c r="K89" s="139"/>
      <c r="L89" s="139"/>
      <c r="M89" s="1384"/>
      <c r="N89" s="2372"/>
      <c r="O89" s="2372"/>
      <c r="P89" s="900"/>
      <c r="Q89" s="901"/>
    </row>
    <row r="90" spans="1:17" s="813" customFormat="1" ht="15.75" thickBot="1">
      <c r="A90" s="895"/>
      <c r="B90" s="885"/>
      <c r="C90" s="902">
        <v>100</v>
      </c>
      <c r="D90" s="878">
        <v>102</v>
      </c>
      <c r="E90" s="878"/>
      <c r="F90" s="878"/>
      <c r="G90" s="878"/>
      <c r="H90" s="878"/>
      <c r="I90" s="878"/>
      <c r="J90" s="878"/>
      <c r="K90" s="878"/>
      <c r="L90" s="878"/>
      <c r="M90" s="879"/>
      <c r="N90" s="2372"/>
      <c r="O90" s="2372"/>
      <c r="P90" s="900"/>
      <c r="Q90" s="901"/>
    </row>
    <row r="91" spans="1:17" ht="15" thickTop="1">
      <c r="A91" s="941"/>
      <c r="B91" s="1053">
        <f>B32</f>
        <v>111</v>
      </c>
      <c r="C91" s="126"/>
      <c r="D91" s="126"/>
      <c r="E91" s="126"/>
      <c r="F91" s="126"/>
      <c r="G91" s="139"/>
      <c r="H91" s="1058"/>
      <c r="I91" s="1058"/>
      <c r="J91" s="1058"/>
      <c r="K91" s="1058"/>
      <c r="L91" s="1059"/>
      <c r="M91" s="1060"/>
      <c r="N91" s="2370"/>
      <c r="O91" s="2370"/>
      <c r="P91" s="334"/>
      <c r="Q91" s="846"/>
    </row>
    <row r="92" spans="1:17" ht="15.75" thickBot="1">
      <c r="A92" s="876"/>
      <c r="B92" s="1054"/>
      <c r="C92" s="902"/>
      <c r="D92" s="878"/>
      <c r="E92" s="878"/>
      <c r="F92" s="878"/>
      <c r="G92" s="902"/>
      <c r="H92" s="904"/>
      <c r="I92" s="904"/>
      <c r="J92" s="904"/>
      <c r="K92" s="904"/>
      <c r="L92" s="904"/>
      <c r="M92" s="905"/>
      <c r="N92" s="2371"/>
      <c r="O92" s="2371"/>
      <c r="P92" s="334"/>
      <c r="Q92" s="846"/>
    </row>
    <row r="93" spans="1:17" ht="15" thickTop="1">
      <c r="A93" s="941"/>
      <c r="B93" s="1053">
        <f>B33</f>
        <v>111</v>
      </c>
      <c r="C93" s="126"/>
      <c r="D93" s="126"/>
      <c r="E93" s="126"/>
      <c r="F93" s="126"/>
      <c r="G93" s="139"/>
      <c r="H93" s="1058"/>
      <c r="I93" s="1058"/>
      <c r="J93" s="1058"/>
      <c r="K93" s="1058"/>
      <c r="L93" s="1059"/>
      <c r="M93" s="1060"/>
      <c r="N93" s="2370"/>
      <c r="O93" s="2370"/>
      <c r="P93" s="334"/>
      <c r="Q93" s="846"/>
    </row>
    <row r="94" spans="1:17" ht="15.75" thickBot="1">
      <c r="A94" s="876"/>
      <c r="B94" s="1054"/>
      <c r="C94" s="902"/>
      <c r="D94" s="878"/>
      <c r="E94" s="878"/>
      <c r="F94" s="878"/>
      <c r="G94" s="902"/>
      <c r="H94" s="904"/>
      <c r="I94" s="904"/>
      <c r="J94" s="904"/>
      <c r="K94" s="904"/>
      <c r="L94" s="904"/>
      <c r="M94" s="905"/>
      <c r="N94" s="2371"/>
      <c r="O94" s="2371"/>
      <c r="P94" s="334"/>
      <c r="Q94" s="846"/>
    </row>
    <row r="95" spans="1:17" ht="15" thickTop="1">
      <c r="A95" s="941"/>
      <c r="B95" s="211">
        <f>B34</f>
        <v>111</v>
      </c>
      <c r="C95" s="126"/>
      <c r="D95" s="126"/>
      <c r="E95" s="126"/>
      <c r="F95" s="126"/>
      <c r="G95" s="139"/>
      <c r="H95" s="1058"/>
      <c r="I95" s="1058"/>
      <c r="J95" s="1058"/>
      <c r="K95" s="1058"/>
      <c r="L95" s="1059"/>
      <c r="M95" s="1060"/>
      <c r="N95" s="2371"/>
      <c r="O95" s="2371"/>
      <c r="P95" s="979"/>
      <c r="Q95" s="980"/>
    </row>
    <row r="96" spans="1:17" ht="15.75" thickBot="1">
      <c r="A96" s="876"/>
      <c r="B96" s="1054"/>
      <c r="C96" s="902"/>
      <c r="D96" s="902"/>
      <c r="E96" s="902"/>
      <c r="F96" s="902"/>
      <c r="G96" s="902"/>
      <c r="H96" s="904"/>
      <c r="I96" s="904"/>
      <c r="J96" s="904"/>
      <c r="K96" s="904"/>
      <c r="L96" s="904"/>
      <c r="M96" s="905"/>
      <c r="N96" s="2371"/>
      <c r="O96" s="2371"/>
      <c r="P96" s="334"/>
      <c r="Q96" s="846"/>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52" t="s">
        <v>3062</v>
      </c>
      <c r="C1" s="574"/>
      <c r="D1" s="574"/>
      <c r="E1" s="574"/>
      <c r="F1" s="574"/>
      <c r="G1" s="2753">
        <f>MATCH(B1,'数据-取费表'!A6:A16,0)+5</f>
        <v>7</v>
      </c>
    </row>
    <row r="2" spans="1:9" s="576" customFormat="1" ht="18" customHeight="1">
      <c r="A2" s="577" t="s">
        <v>446</v>
      </c>
      <c r="B2" s="578">
        <f ca="1">IF(D2="——",C52,C52-E2)</f>
        <v>4398</v>
      </c>
      <c r="C2" s="85" t="s">
        <v>869</v>
      </c>
      <c r="D2" s="2873" t="s">
        <v>530</v>
      </c>
      <c r="E2" s="2871">
        <f ca="1">SUMIF(INDIRECT("'"&amp;G2&amp;"'"&amp;"!A:A"),"承租人权益价值",INDIRECT("'"&amp;G2&amp;"'"&amp;"!c:c"))</f>
        <v>0</v>
      </c>
      <c r="F2" s="2869" t="s">
        <v>869</v>
      </c>
      <c r="G2" s="2872" t="s">
        <v>3100</v>
      </c>
    </row>
    <row r="3" spans="1:9" s="576" customFormat="1" ht="18" customHeight="1" thickBot="1">
      <c r="A3" s="579" t="s">
        <v>447</v>
      </c>
      <c r="B3" s="580">
        <f ca="1">ROUND(B2*10000/(IF(B1="",'数据-汇总表'!E3,INDIRECT("'数据-取费表'!k"&amp;$G$1))),0)</f>
        <v>17381</v>
      </c>
      <c r="C3" s="85" t="s">
        <v>870</v>
      </c>
      <c r="D3" s="575"/>
      <c r="E3" s="575"/>
      <c r="F3" s="575"/>
      <c r="G3" s="575"/>
    </row>
    <row r="4" spans="1:9" s="584" customFormat="1" ht="15.75">
      <c r="A4" s="581" t="s">
        <v>822</v>
      </c>
      <c r="B4" s="582"/>
      <c r="C4" s="582"/>
      <c r="D4" s="582"/>
      <c r="E4" s="582"/>
      <c r="F4" s="582"/>
      <c r="G4" s="583"/>
    </row>
    <row r="5" spans="1:9" s="590" customFormat="1" ht="13.5" customHeight="1">
      <c r="A5" s="631" t="s">
        <v>2511</v>
      </c>
      <c r="B5" s="586" t="s">
        <v>823</v>
      </c>
      <c r="C5" s="587">
        <f ca="1">C6+C7+C8</f>
        <v>2817</v>
      </c>
      <c r="D5" s="587" t="s">
        <v>824</v>
      </c>
      <c r="E5" s="588" t="s">
        <v>825</v>
      </c>
      <c r="F5" s="588" t="s">
        <v>826</v>
      </c>
      <c r="G5" s="589"/>
    </row>
    <row r="6" spans="1:9" s="590" customFormat="1" ht="13.5" customHeight="1">
      <c r="A6" s="1803" t="s">
        <v>1925</v>
      </c>
      <c r="B6" s="591" t="s">
        <v>827</v>
      </c>
      <c r="C6" s="592">
        <f ca="1">基准地价修正!C26</f>
        <v>2734</v>
      </c>
      <c r="D6" s="593"/>
      <c r="E6" s="594"/>
      <c r="F6" s="594"/>
      <c r="G6" s="595"/>
    </row>
    <row r="7" spans="1:9" s="590" customFormat="1" ht="13.5" customHeight="1">
      <c r="A7" s="1803" t="s">
        <v>1926</v>
      </c>
      <c r="B7" s="591" t="s">
        <v>347</v>
      </c>
      <c r="C7" s="596">
        <f ca="1">ROUND(C6*F7,0)</f>
        <v>83</v>
      </c>
      <c r="D7" s="596"/>
      <c r="E7" s="594"/>
      <c r="F7" s="597">
        <f>'数据-取费表'!B48+'数据-取费表'!B49</f>
        <v>3.0499999999999999E-2</v>
      </c>
      <c r="G7" s="595"/>
    </row>
    <row r="8" spans="1:9" s="599" customFormat="1">
      <c r="A8" s="1803" t="s">
        <v>1927</v>
      </c>
      <c r="B8" s="591" t="s">
        <v>828</v>
      </c>
      <c r="C8" s="596" t="str">
        <f>IF(G8="已包含在土地购买价格中","0",IF(B1="",'数据-取费表'!B29,IF(G9="全部缴纳",C9+C10,H9)))</f>
        <v>0</v>
      </c>
      <c r="D8" s="598"/>
      <c r="E8" s="596"/>
      <c r="F8" s="597"/>
      <c r="G8" s="84" t="s">
        <v>2689</v>
      </c>
    </row>
    <row r="9" spans="1:9" s="590" customFormat="1" ht="13.5" customHeight="1">
      <c r="A9" s="1804" t="s">
        <v>1934</v>
      </c>
      <c r="B9" s="600" t="s">
        <v>829</v>
      </c>
      <c r="C9" s="601">
        <f ca="1">ROUND(D9*E9/10000,0)</f>
        <v>0</v>
      </c>
      <c r="D9" s="1908">
        <f ca="1">IF(B1="",'数据-汇总表'!E5,IF(INDIRECT("'数据-取费表'!c"&amp;$G$1)="住宅",INDIRECT("'数据-取费表'!k"&amp;$G$1),0))</f>
        <v>0</v>
      </c>
      <c r="E9" s="601">
        <f>'数据-取费表'!B27</f>
        <v>0</v>
      </c>
      <c r="F9" s="597"/>
      <c r="G9" s="2803"/>
      <c r="H9" s="2804"/>
      <c r="I9" s="2805" t="s">
        <v>2693</v>
      </c>
    </row>
    <row r="10" spans="1:9" s="590" customFormat="1" ht="13.5" customHeight="1">
      <c r="A10" s="1804" t="s">
        <v>1935</v>
      </c>
      <c r="B10" s="600" t="s">
        <v>830</v>
      </c>
      <c r="C10" s="601">
        <f ca="1">ROUND(D10*E10/10000,0)</f>
        <v>51</v>
      </c>
      <c r="D10" s="1908">
        <f ca="1">IF(B1="",'数据-汇总表'!E6,IF(INDIRECT("'数据-取费表'!c"&amp;$G$1)="住宅",INDIRECT("'数据-取费表'!s"&amp;$G$1),INDIRECT("'数据-取费表'!k"&amp;$G$1)+INDIRECT("'数据-取费表'!s"&amp;$G$1)))</f>
        <v>2530.29</v>
      </c>
      <c r="E10" s="601">
        <f>'数据-取费表'!B28</f>
        <v>200</v>
      </c>
      <c r="F10" s="597"/>
      <c r="G10" s="602"/>
    </row>
    <row r="11" spans="1:9" s="590" customFormat="1" ht="13.5" hidden="1" customHeight="1">
      <c r="A11" s="603" t="s">
        <v>42</v>
      </c>
      <c r="B11" s="591" t="s">
        <v>831</v>
      </c>
      <c r="C11" s="587"/>
      <c r="D11" s="1910"/>
      <c r="E11" s="594"/>
      <c r="F11" s="594"/>
      <c r="G11" s="595"/>
    </row>
    <row r="12" spans="1:9" s="590" customFormat="1" ht="13.5" hidden="1" customHeight="1">
      <c r="A12" s="603" t="s">
        <v>43</v>
      </c>
      <c r="B12" s="591" t="s">
        <v>832</v>
      </c>
      <c r="C12" s="587">
        <v>0</v>
      </c>
      <c r="D12" s="1910"/>
      <c r="E12" s="604"/>
      <c r="F12" s="597">
        <v>3.0499999999999999E-2</v>
      </c>
      <c r="G12" s="595"/>
    </row>
    <row r="13" spans="1:9" s="590" customFormat="1" ht="13.5" hidden="1" customHeight="1">
      <c r="A13" s="603" t="s">
        <v>44</v>
      </c>
      <c r="B13" s="591" t="s">
        <v>833</v>
      </c>
      <c r="C13" s="587"/>
      <c r="D13" s="1910"/>
      <c r="E13" s="594"/>
      <c r="F13" s="594"/>
      <c r="G13" s="595"/>
    </row>
    <row r="14" spans="1:9" s="590" customFormat="1" ht="13.5" hidden="1" customHeight="1">
      <c r="A14" s="603" t="s">
        <v>45</v>
      </c>
      <c r="B14" s="591" t="s">
        <v>828</v>
      </c>
      <c r="C14" s="587"/>
      <c r="D14" s="1910"/>
      <c r="E14" s="594"/>
      <c r="F14" s="594"/>
      <c r="G14" s="595" t="s">
        <v>834</v>
      </c>
    </row>
    <row r="15" spans="1:9" s="590" customFormat="1" ht="13.5" hidden="1" customHeight="1">
      <c r="A15" s="603" t="s">
        <v>46</v>
      </c>
      <c r="B15" s="591" t="s">
        <v>835</v>
      </c>
      <c r="C15" s="596"/>
      <c r="D15" s="1910"/>
      <c r="E15" s="594"/>
      <c r="F15" s="594"/>
      <c r="G15" s="595" t="s">
        <v>836</v>
      </c>
    </row>
    <row r="16" spans="1:9"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2512</v>
      </c>
      <c r="B19" s="586" t="s">
        <v>847</v>
      </c>
      <c r="C19" s="587" t="str">
        <f>IF(G19="已包含在土地取得成本中","0",ROUND(D19*E19/10000,0))</f>
        <v>0</v>
      </c>
      <c r="D19" s="1912">
        <f ca="1">D9+D10</f>
        <v>2530.29</v>
      </c>
      <c r="E19" s="587">
        <f>'数据-取费表'!B31</f>
        <v>200</v>
      </c>
      <c r="F19" s="607"/>
      <c r="G19" s="84" t="s">
        <v>3082</v>
      </c>
    </row>
    <row r="20" spans="1:7" s="590" customFormat="1" ht="13.5" customHeight="1">
      <c r="A20" s="1802" t="s">
        <v>2514</v>
      </c>
      <c r="B20" s="586" t="s">
        <v>840</v>
      </c>
      <c r="C20" s="608">
        <f ca="1">ROUND((C5+C19)*F20,0)</f>
        <v>56</v>
      </c>
      <c r="D20" s="608"/>
      <c r="E20" s="608"/>
      <c r="F20" s="609">
        <f>'数据-取费表'!B37</f>
        <v>0.02</v>
      </c>
      <c r="G20" s="2620" t="s">
        <v>2525</v>
      </c>
    </row>
    <row r="21" spans="1:7" s="590" customFormat="1" ht="13.5" customHeight="1">
      <c r="A21" s="1802" t="s">
        <v>2516</v>
      </c>
      <c r="B21" s="586" t="s">
        <v>841</v>
      </c>
      <c r="C21" s="611">
        <f>F21</f>
        <v>0.02</v>
      </c>
      <c r="D21" s="612" t="s">
        <v>862</v>
      </c>
      <c r="E21" s="608"/>
      <c r="F21" s="609">
        <f>'数据-取费表'!B38</f>
        <v>0.02</v>
      </c>
      <c r="G21" s="610" t="s">
        <v>842</v>
      </c>
    </row>
    <row r="22" spans="1:7" s="590" customFormat="1" ht="13.5" customHeight="1">
      <c r="A22" s="1802" t="s">
        <v>1920</v>
      </c>
      <c r="B22" s="586" t="s">
        <v>843</v>
      </c>
      <c r="C22" s="2699">
        <f ca="1">ROUND(SUM(C23:C25),0)</f>
        <v>205</v>
      </c>
      <c r="D22" s="611">
        <f ca="1">C26</f>
        <v>6.9999999999999999E-4</v>
      </c>
      <c r="E22" s="612" t="s">
        <v>862</v>
      </c>
      <c r="F22" s="613">
        <f ca="1">'数据-取费表'!B40</f>
        <v>4.7500000000000001E-2</v>
      </c>
      <c r="G22" s="2620" t="str">
        <f>IF('数据-取费表'!B22&lt;=1,"单利计息","复利计息")</f>
        <v>复利计息</v>
      </c>
    </row>
    <row r="23" spans="1:7" s="590" customFormat="1" ht="13.5" customHeight="1">
      <c r="A23" s="1805" t="s">
        <v>1925</v>
      </c>
      <c r="B23" s="591" t="s">
        <v>2518</v>
      </c>
      <c r="C23" s="2700">
        <f ca="1">ROUND(IF('数据-取费表'!B22&lt;=1,C5*F22*'数据-取费表'!B23,C5*(POWER((1+F22),'数据-取费表'!B23)-1)),0)</f>
        <v>203</v>
      </c>
      <c r="D23" s="614"/>
      <c r="E23" s="614"/>
      <c r="F23" s="615"/>
      <c r="G23" s="616" t="s">
        <v>844</v>
      </c>
    </row>
    <row r="24" spans="1:7" s="590" customFormat="1" ht="13.5" customHeight="1">
      <c r="A24" s="1805" t="s">
        <v>1926</v>
      </c>
      <c r="B24" s="591" t="s">
        <v>2513</v>
      </c>
      <c r="C24" s="2700">
        <f ca="1">ROUND(IF('数据-取费表'!B22&lt;=1,C19*F22*('数据-取费表'!B19/2+'数据-取费表'!B21),C19*(POWER((1+F22),('数据-取费表'!B19/2+'数据-取费表'!B21))-1)),0)</f>
        <v>0</v>
      </c>
      <c r="D24" s="614"/>
      <c r="E24" s="614"/>
      <c r="F24" s="615"/>
      <c r="G24" s="616" t="s">
        <v>845</v>
      </c>
    </row>
    <row r="25" spans="1:7" s="590" customFormat="1" ht="24">
      <c r="A25" s="1805" t="s">
        <v>1927</v>
      </c>
      <c r="B25" s="591" t="s">
        <v>2515</v>
      </c>
      <c r="C25" s="2700">
        <f ca="1">ROUND(IF('数据-取费表'!B22&lt;=1,C20*F22*'数据-取费表'!B23/2,C20*(POWER((1+F22),'数据-取费表'!B23/2)-1)),0)</f>
        <v>2</v>
      </c>
      <c r="D25" s="614"/>
      <c r="E25" s="617"/>
      <c r="F25" s="615"/>
      <c r="G25" s="618" t="s">
        <v>846</v>
      </c>
    </row>
    <row r="26" spans="1:7" s="590" customFormat="1">
      <c r="A26" s="1805" t="s">
        <v>1929</v>
      </c>
      <c r="B26" s="591" t="s">
        <v>2517</v>
      </c>
      <c r="C26" s="614">
        <f ca="1">ROUND(IF('数据-取费表'!B22&lt;=1,F21*F22*'数据-取费表'!B23/2,F21*(POWER((1+F22),'数据-取费表'!B23/2)-1)),4)</f>
        <v>6.9999999999999999E-4</v>
      </c>
      <c r="D26" s="614"/>
      <c r="E26" s="617"/>
      <c r="F26" s="615"/>
      <c r="G26" s="619"/>
    </row>
    <row r="27" spans="1:7" s="590" customFormat="1" ht="24.75">
      <c r="A27" s="1802" t="s">
        <v>1921</v>
      </c>
      <c r="B27" s="620" t="s">
        <v>848</v>
      </c>
      <c r="C27" s="621">
        <f ca="1">C28</f>
        <v>287</v>
      </c>
      <c r="D27" s="611">
        <f ca="1">C29</f>
        <v>2E-3</v>
      </c>
      <c r="E27" s="612" t="s">
        <v>862</v>
      </c>
      <c r="F27" s="622">
        <f ca="1">IF(B1="",'数据-取费表'!Q16,INDIRECT("'数据-取费表'!q"&amp;$G$1))</f>
        <v>0.1</v>
      </c>
      <c r="G27" s="623" t="s">
        <v>2526</v>
      </c>
    </row>
    <row r="28" spans="1:7" s="590" customFormat="1" ht="13.5" customHeight="1">
      <c r="A28" s="1805" t="s">
        <v>1925</v>
      </c>
      <c r="B28" s="624" t="s">
        <v>2519</v>
      </c>
      <c r="C28" s="625">
        <f ca="1">ROUND((C5+C19+C20)*F27*'数据-取费表'!B21/'数据-取费表'!B20,0)</f>
        <v>287</v>
      </c>
      <c r="D28" s="611"/>
      <c r="E28" s="612"/>
      <c r="F28" s="622"/>
      <c r="G28" s="623"/>
    </row>
    <row r="29" spans="1:7" s="590" customFormat="1" ht="13.5" customHeight="1">
      <c r="A29" s="1805" t="s">
        <v>1926</v>
      </c>
      <c r="B29" s="624" t="s">
        <v>2520</v>
      </c>
      <c r="C29" s="614">
        <f ca="1">ROUND(C21*F27*'数据-取费表'!B21/'数据-取费表'!B20,4)</f>
        <v>2E-3</v>
      </c>
      <c r="D29" s="611"/>
      <c r="E29" s="612"/>
      <c r="F29" s="622"/>
      <c r="G29" s="623"/>
    </row>
    <row r="30" spans="1:7" s="590" customFormat="1" ht="13.5" customHeight="1">
      <c r="A30" s="1802" t="s">
        <v>1922</v>
      </c>
      <c r="B30" s="586" t="s">
        <v>348</v>
      </c>
      <c r="C30" s="611">
        <f>ROUND(F30/(1+'数据-取费表'!C42),4)</f>
        <v>5.33E-2</v>
      </c>
      <c r="D30" s="612" t="s">
        <v>2946</v>
      </c>
      <c r="E30" s="617"/>
      <c r="F30" s="613">
        <f>'数据-取费表'!B41</f>
        <v>5.6000000000000001E-2</v>
      </c>
      <c r="G30" s="2620" t="s">
        <v>2947</v>
      </c>
    </row>
    <row r="31" spans="1:7" ht="16.5" customHeight="1">
      <c r="A31" s="585">
        <v>1</v>
      </c>
      <c r="B31" s="586" t="s">
        <v>864</v>
      </c>
      <c r="C31" s="587">
        <f ca="1">ROUND((C5+C19+C20+C22+C27)/(1-C21-D22-D27-C30),0)</f>
        <v>3642</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 ca="1">SUM(C34:C38)</f>
        <v>671</v>
      </c>
      <c r="D33" s="608"/>
      <c r="E33" s="588"/>
      <c r="F33" s="617"/>
      <c r="G33" s="610"/>
    </row>
    <row r="34" spans="1:7" s="634" customFormat="1" ht="13.5" customHeight="1">
      <c r="A34" s="1805" t="s">
        <v>1925</v>
      </c>
      <c r="B34" s="591" t="s">
        <v>349</v>
      </c>
      <c r="C34" s="596">
        <f ca="1">IF(B1="",IF(F34=100%,'数据-取费表'!M16,'数据-取费表'!O16),IF(F34=100%,INDIRECT("'数据-取费表'!m"&amp;$G$1)+INDIRECT("'数据-取费表'!t"&amp;$G$1),INDIRECT("'数据-取费表'!o"&amp;$G$1)+INDIRECT("'数据-取费表'!aq"&amp;$G$1)))</f>
        <v>582</v>
      </c>
      <c r="D34" s="593"/>
      <c r="E34" s="596"/>
      <c r="F34" s="633">
        <f ca="1">IF('数据-取费表'!B24=0,1,IF(B1="",'数据-取费表'!N16,INDIRECT("'数据-取费表'!n"&amp;$G$1)))</f>
        <v>1</v>
      </c>
      <c r="G34" s="595" t="s">
        <v>852</v>
      </c>
    </row>
    <row r="35" spans="1:7" ht="13.5" customHeight="1">
      <c r="A35" s="1805" t="s">
        <v>1930</v>
      </c>
      <c r="B35" s="591" t="s">
        <v>350</v>
      </c>
      <c r="C35" s="596">
        <f ca="1">ROUND(C34*F35,0)</f>
        <v>29</v>
      </c>
      <c r="D35" s="596"/>
      <c r="E35" s="596"/>
      <c r="F35" s="635">
        <f>'数据-取费表'!B33</f>
        <v>0.05</v>
      </c>
      <c r="G35" s="595" t="s">
        <v>853</v>
      </c>
    </row>
    <row r="36" spans="1:7" ht="24">
      <c r="A36" s="1805" t="s">
        <v>1931</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5" t="s">
        <v>1932</v>
      </c>
      <c r="B37" s="591" t="s">
        <v>854</v>
      </c>
      <c r="C37" s="625">
        <f ca="1">ROUND(E37*D37*F34/10000,0)</f>
        <v>51</v>
      </c>
      <c r="D37" s="593">
        <f ca="1">D19</f>
        <v>2530.29</v>
      </c>
      <c r="E37" s="625">
        <f>'数据-取费表'!B35</f>
        <v>200</v>
      </c>
      <c r="F37" s="635"/>
      <c r="G37" s="637" t="s">
        <v>855</v>
      </c>
    </row>
    <row r="38" spans="1:7" ht="13.5" customHeight="1">
      <c r="A38" s="1805" t="s">
        <v>1933</v>
      </c>
      <c r="B38" s="591" t="s">
        <v>353</v>
      </c>
      <c r="C38" s="596">
        <f ca="1">ROUND(C34*F38,0)</f>
        <v>9</v>
      </c>
      <c r="D38" s="596"/>
      <c r="E38" s="596"/>
      <c r="F38" s="635">
        <f>'数据-取费表'!B36</f>
        <v>1.4999999999999999E-2</v>
      </c>
      <c r="G38" s="595" t="s">
        <v>853</v>
      </c>
    </row>
    <row r="39" spans="1:7" s="590" customFormat="1" ht="13.5" customHeight="1">
      <c r="A39" s="1802" t="s">
        <v>1917</v>
      </c>
      <c r="B39" s="586" t="s">
        <v>840</v>
      </c>
      <c r="C39" s="608">
        <f ca="1">ROUND(C33*F20,0)</f>
        <v>13</v>
      </c>
      <c r="D39" s="608"/>
      <c r="E39" s="608"/>
      <c r="F39" s="609"/>
      <c r="G39" s="2620" t="s">
        <v>2528</v>
      </c>
    </row>
    <row r="40" spans="1:7" s="590" customFormat="1" ht="13.5" customHeight="1">
      <c r="A40" s="1802" t="s">
        <v>1918</v>
      </c>
      <c r="B40" s="586" t="s">
        <v>841</v>
      </c>
      <c r="C40" s="3239">
        <f>F21</f>
        <v>0.02</v>
      </c>
      <c r="D40" s="612" t="s">
        <v>865</v>
      </c>
      <c r="E40" s="608"/>
      <c r="F40" s="609"/>
      <c r="G40" s="610" t="s">
        <v>856</v>
      </c>
    </row>
    <row r="41" spans="1:7" s="590" customFormat="1" ht="13.5" customHeight="1">
      <c r="A41" s="1802" t="s">
        <v>1919</v>
      </c>
      <c r="B41" s="586" t="s">
        <v>843</v>
      </c>
      <c r="C41" s="608">
        <f ca="1">ROUND(SUM(C42:C43),0)</f>
        <v>24</v>
      </c>
      <c r="D41" s="611">
        <f ca="1">C44</f>
        <v>6.9999999999999999E-4</v>
      </c>
      <c r="E41" s="612" t="s">
        <v>865</v>
      </c>
      <c r="F41" s="613"/>
      <c r="G41" s="2620" t="str">
        <f>IF('数据-取费表'!B22&lt;=1,"单利计息","复利计息")</f>
        <v>复利计息</v>
      </c>
    </row>
    <row r="42" spans="1:7" ht="13.5" customHeight="1">
      <c r="A42" s="1805" t="s">
        <v>1925</v>
      </c>
      <c r="B42" s="591" t="s">
        <v>2518</v>
      </c>
      <c r="C42" s="614">
        <f ca="1">ROUND(IF('数据-取费表'!B22&lt;=1,C33*F22*'数据-取费表'!B21/2,C33*(POWER((1+F22),'数据-取费表'!B21/2)-1)),0)</f>
        <v>24</v>
      </c>
      <c r="D42" s="614"/>
      <c r="E42" s="614"/>
      <c r="F42" s="615"/>
      <c r="G42" s="3717" t="s">
        <v>857</v>
      </c>
    </row>
    <row r="43" spans="1:7" ht="13.5" customHeight="1">
      <c r="A43" s="1805" t="s">
        <v>1926</v>
      </c>
      <c r="B43" s="591" t="s">
        <v>2521</v>
      </c>
      <c r="C43" s="614">
        <f ca="1">ROUND(IF('数据-取费表'!B22&lt;=1,C39*F22*'数据-取费表'!B21/2,C39*(POWER((1+F22),'数据-取费表'!B21/2)-1)),0)</f>
        <v>0</v>
      </c>
      <c r="D43" s="614"/>
      <c r="E43" s="614"/>
      <c r="F43" s="615"/>
      <c r="G43" s="3718"/>
    </row>
    <row r="44" spans="1:7" ht="13.5" customHeight="1">
      <c r="A44" s="1805" t="s">
        <v>1927</v>
      </c>
      <c r="B44" s="591" t="s">
        <v>2523</v>
      </c>
      <c r="C44" s="614">
        <f ca="1">ROUND(IF('数据-取费表'!B22&lt;=1,C40*F22*'数据-取费表'!B21/2,C40*(POWER((1+F22),'数据-取费表'!B21/2)-1)),4)</f>
        <v>6.9999999999999999E-4</v>
      </c>
      <c r="D44" s="614"/>
      <c r="E44" s="614"/>
      <c r="F44" s="615"/>
      <c r="G44" s="3719"/>
    </row>
    <row r="45" spans="1:7" s="590" customFormat="1" ht="13.5" customHeight="1">
      <c r="A45" s="1802" t="s">
        <v>1920</v>
      </c>
      <c r="B45" s="620" t="s">
        <v>848</v>
      </c>
      <c r="C45" s="621">
        <f ca="1">C46</f>
        <v>68</v>
      </c>
      <c r="D45" s="611">
        <f ca="1">C47</f>
        <v>2E-3</v>
      </c>
      <c r="E45" s="612" t="s">
        <v>865</v>
      </c>
      <c r="F45" s="622"/>
      <c r="G45" s="623" t="s">
        <v>2529</v>
      </c>
    </row>
    <row r="46" spans="1:7" s="590" customFormat="1" ht="13.5" customHeight="1">
      <c r="A46" s="1805" t="s">
        <v>1925</v>
      </c>
      <c r="B46" s="624" t="s">
        <v>2522</v>
      </c>
      <c r="C46" s="625">
        <f ca="1">ROUND((C33+C39)*F27,0)</f>
        <v>68</v>
      </c>
      <c r="D46" s="639"/>
      <c r="E46" s="612"/>
      <c r="F46" s="622"/>
      <c r="G46" s="623"/>
    </row>
    <row r="47" spans="1:7" s="590" customFormat="1" ht="13.5" customHeight="1">
      <c r="A47" s="1805" t="s">
        <v>1926</v>
      </c>
      <c r="B47" s="624" t="s">
        <v>2524</v>
      </c>
      <c r="C47" s="614">
        <f ca="1">ROUND(C40*F27,4)</f>
        <v>2E-3</v>
      </c>
      <c r="D47" s="639"/>
      <c r="E47" s="612"/>
      <c r="F47" s="622"/>
      <c r="G47" s="623"/>
    </row>
    <row r="48" spans="1:7" s="590" customFormat="1" ht="13.5" customHeight="1">
      <c r="A48" s="1802" t="s">
        <v>1921</v>
      </c>
      <c r="B48" s="586" t="s">
        <v>858</v>
      </c>
      <c r="C48" s="3239">
        <f>ROUND(F30/(1+'数据-取费表'!C42),4)</f>
        <v>5.33E-2</v>
      </c>
      <c r="D48" s="612" t="s">
        <v>2948</v>
      </c>
      <c r="E48" s="608"/>
      <c r="F48" s="613"/>
      <c r="G48" s="2620" t="s">
        <v>2949</v>
      </c>
    </row>
    <row r="49" spans="1:7" ht="16.5" customHeight="1">
      <c r="A49" s="1802" t="s">
        <v>1922</v>
      </c>
      <c r="B49" s="586" t="s">
        <v>867</v>
      </c>
      <c r="C49" s="608">
        <f ca="1">ROUND((C33+C39+C41+C45)/(1-C40-D41-D45-C48),0)</f>
        <v>840</v>
      </c>
      <c r="D49" s="608"/>
      <c r="E49" s="608"/>
      <c r="F49" s="640"/>
      <c r="G49" s="610" t="s">
        <v>2530</v>
      </c>
    </row>
    <row r="50" spans="1:7" s="634" customFormat="1" ht="24">
      <c r="A50" s="1802" t="s">
        <v>1923</v>
      </c>
      <c r="B50" s="586" t="s">
        <v>860</v>
      </c>
      <c r="C50" s="608"/>
      <c r="D50" s="608"/>
      <c r="E50" s="608"/>
      <c r="F50" s="640">
        <f>IF('数据-取费表'!B24=0,'数据-取费表'!N16,1)</f>
        <v>0.9</v>
      </c>
      <c r="G50" s="623" t="s">
        <v>861</v>
      </c>
    </row>
    <row r="51" spans="1:7" ht="16.5" customHeight="1">
      <c r="A51" s="1802" t="s">
        <v>1924</v>
      </c>
      <c r="B51" s="586" t="s">
        <v>868</v>
      </c>
      <c r="C51" s="608">
        <f ca="1">ROUND(C49*F50,0)</f>
        <v>756</v>
      </c>
      <c r="D51" s="608"/>
      <c r="E51" s="608"/>
      <c r="F51" s="640"/>
      <c r="G51" s="610" t="s">
        <v>354</v>
      </c>
    </row>
    <row r="52" spans="1:7" s="584" customFormat="1" ht="16.5" thickBot="1">
      <c r="A52" s="641" t="s">
        <v>355</v>
      </c>
      <c r="B52" s="642"/>
      <c r="C52" s="643">
        <f ca="1">C31+C51</f>
        <v>4398</v>
      </c>
      <c r="D52" s="642"/>
      <c r="E52" s="642"/>
      <c r="F52" s="642"/>
      <c r="G52" s="644"/>
    </row>
    <row r="55" spans="1:7" ht="15">
      <c r="B55" s="646" t="s">
        <v>356</v>
      </c>
      <c r="C55" s="647"/>
    </row>
    <row r="56" spans="1:7">
      <c r="B56" s="2875" t="s">
        <v>2705</v>
      </c>
      <c r="C56" s="651">
        <f ca="1">1-C57</f>
        <v>0.82800000000000007</v>
      </c>
    </row>
    <row r="57" spans="1:7">
      <c r="B57" s="2875" t="s">
        <v>2704</v>
      </c>
      <c r="C57" s="650">
        <f ca="1">ROUND(C51/C52,3)</f>
        <v>0.17199999999999999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9" workbookViewId="0">
      <selection activeCell="I25" sqref="I25"/>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52" t="s">
        <v>3062</v>
      </c>
      <c r="C1" s="2757" t="s">
        <v>2635</v>
      </c>
      <c r="D1" s="574"/>
      <c r="E1" s="574"/>
      <c r="F1" s="574"/>
      <c r="G1" s="2753">
        <f>MATCH(B1,'数据-取费表'!A6:A16,0)+5</f>
        <v>7</v>
      </c>
      <c r="H1" s="2584" t="str">
        <f>IF(ISERROR(FIND("住宅",B1)),"非住宅","住宅")</f>
        <v>非住宅</v>
      </c>
    </row>
    <row r="2" spans="1:8" s="576" customFormat="1" ht="18" customHeight="1">
      <c r="A2" s="577" t="s">
        <v>345</v>
      </c>
      <c r="B2" s="578">
        <f ca="1">ROUND(IF(D2="——",C52/10000,C52/10000-E2),0)</f>
        <v>4399</v>
      </c>
      <c r="C2" s="85" t="s">
        <v>869</v>
      </c>
      <c r="D2" s="2873" t="s">
        <v>530</v>
      </c>
      <c r="E2" s="2871">
        <f ca="1">SUMIF(INDIRECT("'"&amp;G2&amp;"'"&amp;"!A:A"),"承租人权益价值",INDIRECT("'"&amp;G2&amp;"'"&amp;"!c:c"))</f>
        <v>0</v>
      </c>
      <c r="F2" s="2869" t="s">
        <v>869</v>
      </c>
      <c r="G2" s="2872" t="s">
        <v>3183</v>
      </c>
    </row>
    <row r="3" spans="1:8" s="576" customFormat="1" ht="18" customHeight="1" thickBot="1">
      <c r="A3" s="579" t="s">
        <v>346</v>
      </c>
      <c r="B3" s="580">
        <f ca="1">ROUND(B2*10000/(IF(B1="",'数据-汇总表'!E3,INDIRECT("'数据-取费表'!k"&amp;$G$1))),0)</f>
        <v>17385</v>
      </c>
      <c r="C3" s="85" t="s">
        <v>870</v>
      </c>
      <c r="D3" s="575"/>
      <c r="E3" s="575"/>
      <c r="F3" s="575"/>
      <c r="G3" s="575"/>
    </row>
    <row r="4" spans="1:8" s="584" customFormat="1" ht="15.75">
      <c r="A4" s="581" t="s">
        <v>822</v>
      </c>
      <c r="B4" s="582"/>
      <c r="C4" s="582"/>
      <c r="D4" s="582"/>
      <c r="E4" s="582"/>
      <c r="F4" s="582"/>
      <c r="G4" s="583"/>
    </row>
    <row r="5" spans="1:8" s="590" customFormat="1" ht="13.5" customHeight="1">
      <c r="A5" s="631" t="s">
        <v>1916</v>
      </c>
      <c r="B5" s="586" t="s">
        <v>823</v>
      </c>
      <c r="C5" s="587">
        <f ca="1">C6+C7+C8</f>
        <v>28173870</v>
      </c>
      <c r="D5" s="587" t="s">
        <v>824</v>
      </c>
      <c r="E5" s="588" t="s">
        <v>825</v>
      </c>
      <c r="F5" s="588" t="s">
        <v>826</v>
      </c>
      <c r="G5" s="589"/>
    </row>
    <row r="6" spans="1:8" s="590" customFormat="1" ht="13.5" customHeight="1">
      <c r="A6" s="1803" t="s">
        <v>1925</v>
      </c>
      <c r="B6" s="591" t="s">
        <v>827</v>
      </c>
      <c r="C6" s="592">
        <f ca="1">基准地价修正!C26*10000</f>
        <v>27340000</v>
      </c>
      <c r="D6" s="593"/>
      <c r="E6" s="594"/>
      <c r="F6" s="594"/>
      <c r="G6" s="595"/>
    </row>
    <row r="7" spans="1:8" s="590" customFormat="1" ht="13.5" customHeight="1">
      <c r="A7" s="1803" t="s">
        <v>1926</v>
      </c>
      <c r="B7" s="591" t="s">
        <v>347</v>
      </c>
      <c r="C7" s="596">
        <f ca="1">ROUND(C6*F7,0)</f>
        <v>833870</v>
      </c>
      <c r="D7" s="596"/>
      <c r="E7" s="594"/>
      <c r="F7" s="597">
        <f>'数据-取费表'!B48+'数据-取费表'!B49</f>
        <v>3.0499999999999999E-2</v>
      </c>
      <c r="G7" s="595"/>
    </row>
    <row r="8" spans="1:8" s="599" customFormat="1">
      <c r="A8" s="1803" t="s">
        <v>1927</v>
      </c>
      <c r="B8" s="591" t="s">
        <v>828</v>
      </c>
      <c r="C8" s="596">
        <f>IF(G8="已包含在土地购买价格中",0,C9+C10)</f>
        <v>0</v>
      </c>
      <c r="D8" s="598"/>
      <c r="E8" s="596"/>
      <c r="F8" s="597"/>
      <c r="G8" s="84" t="s">
        <v>2689</v>
      </c>
    </row>
    <row r="9" spans="1:8" s="590" customFormat="1" ht="13.5" customHeight="1">
      <c r="A9" s="1804" t="s">
        <v>1934</v>
      </c>
      <c r="B9" s="600" t="s">
        <v>829</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1935</v>
      </c>
      <c r="B10" s="600" t="s">
        <v>830</v>
      </c>
      <c r="C10" s="601">
        <f ca="1">ROUND(D10*E10,0)</f>
        <v>506058</v>
      </c>
      <c r="D10" s="1908">
        <f ca="1">IF(B1="",'数据-汇总表'!E6,IF(INDIRECT("'数据-取费表'!c"&amp;$G$1)="住宅",INDIRECT("'数据-取费表'!s"&amp;$G$1),INDIRECT("'数据-取费表'!k"&amp;$G$1)+INDIRECT("'数据-取费表'!s"&amp;$G$1)))</f>
        <v>2530.29</v>
      </c>
      <c r="E10" s="601">
        <f>'数据-取费表'!B28</f>
        <v>200</v>
      </c>
      <c r="F10" s="597"/>
      <c r="G10" s="602"/>
    </row>
    <row r="11" spans="1:8" s="590" customFormat="1" ht="13.5" hidden="1" customHeight="1">
      <c r="A11" s="603" t="s">
        <v>42</v>
      </c>
      <c r="B11" s="591" t="s">
        <v>831</v>
      </c>
      <c r="C11" s="587"/>
      <c r="D11" s="1910"/>
      <c r="E11" s="594"/>
      <c r="F11" s="594"/>
      <c r="G11" s="595"/>
    </row>
    <row r="12" spans="1:8" s="590" customFormat="1" ht="13.5" hidden="1" customHeight="1">
      <c r="A12" s="603" t="s">
        <v>43</v>
      </c>
      <c r="B12" s="591" t="s">
        <v>832</v>
      </c>
      <c r="C12" s="587">
        <v>0</v>
      </c>
      <c r="D12" s="1910"/>
      <c r="E12" s="604"/>
      <c r="F12" s="597">
        <v>3.0499999999999999E-2</v>
      </c>
      <c r="G12" s="595"/>
    </row>
    <row r="13" spans="1:8" s="590" customFormat="1" ht="13.5" hidden="1" customHeight="1">
      <c r="A13" s="603" t="s">
        <v>44</v>
      </c>
      <c r="B13" s="591" t="s">
        <v>833</v>
      </c>
      <c r="C13" s="587"/>
      <c r="D13" s="1910"/>
      <c r="E13" s="594"/>
      <c r="F13" s="594"/>
      <c r="G13" s="595"/>
    </row>
    <row r="14" spans="1:8" s="590" customFormat="1" ht="13.5" hidden="1" customHeight="1">
      <c r="A14" s="603" t="s">
        <v>45</v>
      </c>
      <c r="B14" s="591" t="s">
        <v>828</v>
      </c>
      <c r="C14" s="587"/>
      <c r="D14" s="1910"/>
      <c r="E14" s="594"/>
      <c r="F14" s="594"/>
      <c r="G14" s="595" t="s">
        <v>834</v>
      </c>
    </row>
    <row r="15" spans="1:8" s="590" customFormat="1" ht="13.5" hidden="1" customHeight="1">
      <c r="A15" s="603" t="s">
        <v>46</v>
      </c>
      <c r="B15" s="591" t="s">
        <v>835</v>
      </c>
      <c r="C15" s="596"/>
      <c r="D15" s="1910"/>
      <c r="E15" s="594"/>
      <c r="F15" s="594"/>
      <c r="G15" s="595" t="s">
        <v>836</v>
      </c>
    </row>
    <row r="16" spans="1:8"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1917</v>
      </c>
      <c r="B19" s="586" t="s">
        <v>847</v>
      </c>
      <c r="C19" s="587" t="str">
        <f>IF(G19="已包含在土地取得成本中","0",ROUND(D19*E19,0))</f>
        <v>0</v>
      </c>
      <c r="D19" s="1912">
        <f ca="1">D9+D10</f>
        <v>2530.29</v>
      </c>
      <c r="E19" s="587">
        <f>'数据-取费表'!B31</f>
        <v>200</v>
      </c>
      <c r="F19" s="607"/>
      <c r="G19" s="84" t="s">
        <v>3082</v>
      </c>
    </row>
    <row r="20" spans="1:7" s="590" customFormat="1" ht="13.5" customHeight="1">
      <c r="A20" s="1802" t="s">
        <v>1918</v>
      </c>
      <c r="B20" s="586" t="s">
        <v>840</v>
      </c>
      <c r="C20" s="608">
        <f ca="1">ROUND((C5+C19)*F20,0)</f>
        <v>563477</v>
      </c>
      <c r="D20" s="608"/>
      <c r="E20" s="608"/>
      <c r="F20" s="609">
        <f>'数据-取费表'!B37</f>
        <v>0.02</v>
      </c>
      <c r="G20" s="2620" t="s">
        <v>2525</v>
      </c>
    </row>
    <row r="21" spans="1:7" s="590" customFormat="1" ht="13.5" customHeight="1">
      <c r="A21" s="1802" t="s">
        <v>1919</v>
      </c>
      <c r="B21" s="586" t="s">
        <v>841</v>
      </c>
      <c r="C21" s="611">
        <f>F21</f>
        <v>0.02</v>
      </c>
      <c r="D21" s="612" t="s">
        <v>862</v>
      </c>
      <c r="E21" s="608"/>
      <c r="F21" s="609">
        <f>'数据-取费表'!B38</f>
        <v>0.02</v>
      </c>
      <c r="G21" s="610" t="s">
        <v>842</v>
      </c>
    </row>
    <row r="22" spans="1:7" s="590" customFormat="1" ht="13.5" customHeight="1">
      <c r="A22" s="1802" t="s">
        <v>1920</v>
      </c>
      <c r="B22" s="586" t="s">
        <v>843</v>
      </c>
      <c r="C22" s="2754">
        <f ca="1">ROUND(SUM(C23:C25),0)</f>
        <v>2050998</v>
      </c>
      <c r="D22" s="611">
        <f ca="1">C26</f>
        <v>6.9999999999999999E-4</v>
      </c>
      <c r="E22" s="612" t="s">
        <v>862</v>
      </c>
      <c r="F22" s="613">
        <f ca="1">'数据-取费表'!B40</f>
        <v>4.7500000000000001E-2</v>
      </c>
      <c r="G22" s="2620" t="str">
        <f>IF('数据-取费表'!B22&lt;=1,"单利计息","复利计息")</f>
        <v>复利计息</v>
      </c>
    </row>
    <row r="23" spans="1:7" s="590" customFormat="1" ht="13.5" customHeight="1">
      <c r="A23" s="1805" t="s">
        <v>1925</v>
      </c>
      <c r="B23" s="591" t="s">
        <v>2518</v>
      </c>
      <c r="C23" s="2755">
        <f ca="1">ROUND(IF('数据-取费表'!B22&lt;=1,C5*F22*'数据-取费表'!B22,C5*(POWER((1+F22),'数据-取费表'!B22)-1)),0)</f>
        <v>2031041</v>
      </c>
      <c r="D23" s="614"/>
      <c r="E23" s="614"/>
      <c r="F23" s="615"/>
      <c r="G23" s="616" t="s">
        <v>844</v>
      </c>
    </row>
    <row r="24" spans="1:7" s="590" customFormat="1" ht="13.5" customHeight="1">
      <c r="A24" s="1805" t="s">
        <v>1926</v>
      </c>
      <c r="B24" s="591" t="s">
        <v>2513</v>
      </c>
      <c r="C24" s="2755">
        <f ca="1">ROUND(IF('数据-取费表'!B22&lt;=1,C19*F22*('数据-取费表'!B19/2+'数据-取费表'!B20),C19*(POWER((1+F22),('数据-取费表'!B19/2+'数据-取费表'!B20))-1)),0)</f>
        <v>0</v>
      </c>
      <c r="D24" s="614"/>
      <c r="E24" s="614"/>
      <c r="F24" s="615"/>
      <c r="G24" s="616" t="s">
        <v>845</v>
      </c>
    </row>
    <row r="25" spans="1:7" s="590" customFormat="1" ht="24">
      <c r="A25" s="1805" t="s">
        <v>1927</v>
      </c>
      <c r="B25" s="591" t="s">
        <v>2515</v>
      </c>
      <c r="C25" s="2755">
        <f ca="1">ROUND(IF('数据-取费表'!B22&lt;=1,C20*F22*'数据-取费表'!B22/2,C20*(POWER((1+F22),'数据-取费表'!B22/2)-1)),0)</f>
        <v>19957</v>
      </c>
      <c r="D25" s="614"/>
      <c r="E25" s="617"/>
      <c r="F25" s="615"/>
      <c r="G25" s="618" t="s">
        <v>846</v>
      </c>
    </row>
    <row r="26" spans="1:7" s="590" customFormat="1">
      <c r="A26" s="1805" t="s">
        <v>1929</v>
      </c>
      <c r="B26" s="591" t="s">
        <v>2517</v>
      </c>
      <c r="C26" s="614">
        <f ca="1">ROUND(IF('数据-取费表'!B22&lt;=1,F21*F22*'数据-取费表'!B22/2,F21*(POWER((1+F22),'数据-取费表'!B22/2)-1)),4)</f>
        <v>6.9999999999999999E-4</v>
      </c>
      <c r="D26" s="614"/>
      <c r="E26" s="617"/>
      <c r="F26" s="615"/>
      <c r="G26" s="619"/>
    </row>
    <row r="27" spans="1:7" s="590" customFormat="1" ht="24.75">
      <c r="A27" s="1802" t="s">
        <v>1921</v>
      </c>
      <c r="B27" s="620" t="s">
        <v>848</v>
      </c>
      <c r="C27" s="621">
        <f ca="1">C28</f>
        <v>2873735</v>
      </c>
      <c r="D27" s="611">
        <f ca="1">C29</f>
        <v>2E-3</v>
      </c>
      <c r="E27" s="612" t="s">
        <v>862</v>
      </c>
      <c r="F27" s="622">
        <f ca="1">IF(B1="",'数据-取费表'!Q16,INDIRECT("'数据-取费表'!q"&amp;$G$1))</f>
        <v>0.1</v>
      </c>
      <c r="G27" s="623" t="s">
        <v>2526</v>
      </c>
    </row>
    <row r="28" spans="1:7" s="590" customFormat="1" ht="13.5" customHeight="1">
      <c r="A28" s="1805" t="s">
        <v>1925</v>
      </c>
      <c r="B28" s="624" t="s">
        <v>2519</v>
      </c>
      <c r="C28" s="625">
        <f ca="1">ROUND((C5+C19+C20)*F27,0)</f>
        <v>2873735</v>
      </c>
      <c r="D28" s="611"/>
      <c r="E28" s="612"/>
      <c r="F28" s="622"/>
      <c r="G28" s="623"/>
    </row>
    <row r="29" spans="1:7" s="590" customFormat="1" ht="13.5" customHeight="1">
      <c r="A29" s="1805" t="s">
        <v>1926</v>
      </c>
      <c r="B29" s="624" t="s">
        <v>2520</v>
      </c>
      <c r="C29" s="614">
        <f ca="1">ROUND(C21*F27,4)</f>
        <v>2E-3</v>
      </c>
      <c r="D29" s="611"/>
      <c r="E29" s="612"/>
      <c r="F29" s="622"/>
      <c r="G29" s="623"/>
    </row>
    <row r="30" spans="1:7" s="590" customFormat="1" ht="13.5" customHeight="1">
      <c r="A30" s="1802" t="s">
        <v>1922</v>
      </c>
      <c r="B30" s="586" t="s">
        <v>348</v>
      </c>
      <c r="C30" s="611">
        <f>ROUND(F30/(1+'数据-取费表'!C42),4)</f>
        <v>5.33E-2</v>
      </c>
      <c r="D30" s="612" t="s">
        <v>2950</v>
      </c>
      <c r="E30" s="617"/>
      <c r="F30" s="613">
        <f>'数据-取费表'!B41</f>
        <v>5.6000000000000001E-2</v>
      </c>
      <c r="G30" s="2620" t="s">
        <v>2951</v>
      </c>
    </row>
    <row r="31" spans="1:7" ht="16.5" customHeight="1">
      <c r="A31" s="585">
        <v>1</v>
      </c>
      <c r="B31" s="586" t="s">
        <v>864</v>
      </c>
      <c r="C31" s="587">
        <f ca="1">ROUND((C5+C19+C20+C22+C27)/(1-C21-D22-D27-C30),0)</f>
        <v>36430823</v>
      </c>
      <c r="D31" s="606"/>
      <c r="E31" s="587"/>
      <c r="F31" s="626"/>
      <c r="G31" s="610" t="s">
        <v>2527</v>
      </c>
    </row>
    <row r="32" spans="1:7" s="584" customFormat="1" ht="15.75">
      <c r="A32" s="628" t="s">
        <v>2630</v>
      </c>
      <c r="B32" s="629"/>
      <c r="C32" s="629"/>
      <c r="D32" s="629"/>
      <c r="E32" s="629"/>
      <c r="F32" s="629"/>
      <c r="G32" s="630"/>
    </row>
    <row r="33" spans="1:7" s="590" customFormat="1" ht="13.5" customHeight="1">
      <c r="A33" s="631" t="s">
        <v>1916</v>
      </c>
      <c r="B33" s="2756" t="s">
        <v>2631</v>
      </c>
      <c r="C33" s="632">
        <f ca="1">SUM(C34:C38)</f>
        <v>6704003</v>
      </c>
      <c r="D33" s="608"/>
      <c r="E33" s="588"/>
      <c r="F33" s="617"/>
      <c r="G33" s="610"/>
    </row>
    <row r="34" spans="1:7" s="634" customFormat="1" ht="13.5" customHeight="1">
      <c r="A34" s="1805" t="s">
        <v>1925</v>
      </c>
      <c r="B34" s="591" t="s">
        <v>349</v>
      </c>
      <c r="C34" s="596">
        <f ca="1">ROUND(IF(B1="",SUMPRODUCT('数据-取费表'!K6:K14,'数据-取费表'!L6:L14),INDIRECT("'数据-取费表'!l"&amp;$G$1)*INDIRECT("'数据-取费表'!k"&amp;$G$1)+'数据-取费表'!L14*INDIRECT("'数据-取费表'!S"&amp;$G$1)),0)</f>
        <v>5819667</v>
      </c>
      <c r="D34" s="593"/>
      <c r="E34" s="596"/>
      <c r="F34" s="633"/>
      <c r="G34" s="595"/>
    </row>
    <row r="35" spans="1:7" ht="13.5" customHeight="1">
      <c r="A35" s="1805" t="s">
        <v>1930</v>
      </c>
      <c r="B35" s="591" t="s">
        <v>350</v>
      </c>
      <c r="C35" s="596">
        <f ca="1">ROUND(C34*F35,0)</f>
        <v>290983</v>
      </c>
      <c r="D35" s="596"/>
      <c r="E35" s="596"/>
      <c r="F35" s="635">
        <f>'数据-取费表'!B33</f>
        <v>0.05</v>
      </c>
      <c r="G35" s="595" t="s">
        <v>853</v>
      </c>
    </row>
    <row r="36" spans="1:7" ht="24">
      <c r="A36" s="1805" t="s">
        <v>1931</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5" t="s">
        <v>1932</v>
      </c>
      <c r="B37" s="591" t="s">
        <v>854</v>
      </c>
      <c r="C37" s="625">
        <f ca="1">ROUND(E37*D37,0)</f>
        <v>506058</v>
      </c>
      <c r="D37" s="593">
        <f ca="1">D19</f>
        <v>2530.29</v>
      </c>
      <c r="E37" s="625">
        <f>'数据-取费表'!B35</f>
        <v>200</v>
      </c>
      <c r="F37" s="635"/>
      <c r="G37" s="637"/>
    </row>
    <row r="38" spans="1:7" ht="13.5" customHeight="1">
      <c r="A38" s="1805" t="s">
        <v>1933</v>
      </c>
      <c r="B38" s="591" t="s">
        <v>353</v>
      </c>
      <c r="C38" s="596">
        <f ca="1">ROUND(C34*F38,0)</f>
        <v>87295</v>
      </c>
      <c r="D38" s="596"/>
      <c r="E38" s="596"/>
      <c r="F38" s="635">
        <f>'数据-取费表'!B36</f>
        <v>1.4999999999999999E-2</v>
      </c>
      <c r="G38" s="595" t="s">
        <v>853</v>
      </c>
    </row>
    <row r="39" spans="1:7" s="590" customFormat="1" ht="13.5" customHeight="1">
      <c r="A39" s="1802" t="s">
        <v>1917</v>
      </c>
      <c r="B39" s="586" t="s">
        <v>840</v>
      </c>
      <c r="C39" s="608">
        <f ca="1">ROUND(C33*F20,0)</f>
        <v>134080</v>
      </c>
      <c r="D39" s="608"/>
      <c r="E39" s="608"/>
      <c r="F39" s="609"/>
      <c r="G39" s="2620" t="s">
        <v>2528</v>
      </c>
    </row>
    <row r="40" spans="1:7" s="590" customFormat="1" ht="13.5" customHeight="1">
      <c r="A40" s="1802" t="s">
        <v>1918</v>
      </c>
      <c r="B40" s="586" t="s">
        <v>841</v>
      </c>
      <c r="C40" s="3239">
        <f>F21</f>
        <v>0.02</v>
      </c>
      <c r="D40" s="612" t="s">
        <v>865</v>
      </c>
      <c r="E40" s="608"/>
      <c r="F40" s="609"/>
      <c r="G40" s="610" t="s">
        <v>856</v>
      </c>
    </row>
    <row r="41" spans="1:7" s="590" customFormat="1" ht="13.5" customHeight="1">
      <c r="A41" s="1802" t="s">
        <v>1919</v>
      </c>
      <c r="B41" s="586" t="s">
        <v>843</v>
      </c>
      <c r="C41" s="608">
        <f ca="1">ROUND(SUM(C42:C43),0)</f>
        <v>242188</v>
      </c>
      <c r="D41" s="611">
        <f ca="1">C44</f>
        <v>6.9999999999999999E-4</v>
      </c>
      <c r="E41" s="612" t="s">
        <v>865</v>
      </c>
      <c r="F41" s="613"/>
      <c r="G41" s="2620" t="str">
        <f>IF('数据-取费表'!B22&lt;=1,"单利计息","复利计息")</f>
        <v>复利计息</v>
      </c>
    </row>
    <row r="42" spans="1:7" ht="13.5" customHeight="1">
      <c r="A42" s="1805" t="s">
        <v>1925</v>
      </c>
      <c r="B42" s="591" t="s">
        <v>2518</v>
      </c>
      <c r="C42" s="614">
        <f ca="1">ROUND(IF('数据-取费表'!B22&lt;=1,C33*F22*'数据-取费表'!B20/2,C33*(POWER((1+F22),'数据-取费表'!B20/2)-1)),0)</f>
        <v>237439</v>
      </c>
      <c r="D42" s="614"/>
      <c r="E42" s="614"/>
      <c r="F42" s="615"/>
      <c r="G42" s="3720" t="s">
        <v>2634</v>
      </c>
    </row>
    <row r="43" spans="1:7" ht="13.5" customHeight="1">
      <c r="A43" s="1805" t="s">
        <v>1926</v>
      </c>
      <c r="B43" s="591" t="s">
        <v>2513</v>
      </c>
      <c r="C43" s="614">
        <f ca="1">ROUND(IF('数据-取费表'!B22&lt;=1,C39*F22*'数据-取费表'!B20/2,C39*(POWER((1+F22),'数据-取费表'!B20/2)-1)),0)</f>
        <v>4749</v>
      </c>
      <c r="D43" s="614"/>
      <c r="E43" s="614"/>
      <c r="F43" s="615"/>
      <c r="G43" s="3718"/>
    </row>
    <row r="44" spans="1:7" ht="13.5" customHeight="1">
      <c r="A44" s="1805" t="s">
        <v>1927</v>
      </c>
      <c r="B44" s="591" t="s">
        <v>2515</v>
      </c>
      <c r="C44" s="614">
        <f ca="1">ROUND(IF('数据-取费表'!B22&lt;=1,C40*F22*'数据-取费表'!B20/2,C40*(POWER((1+F22),'数据-取费表'!B20/2)-1)),4)</f>
        <v>6.9999999999999999E-4</v>
      </c>
      <c r="D44" s="614"/>
      <c r="E44" s="614"/>
      <c r="F44" s="615"/>
      <c r="G44" s="3719"/>
    </row>
    <row r="45" spans="1:7" s="590" customFormat="1" ht="13.5" customHeight="1">
      <c r="A45" s="1802" t="s">
        <v>1920</v>
      </c>
      <c r="B45" s="620" t="s">
        <v>848</v>
      </c>
      <c r="C45" s="621">
        <f ca="1">C46</f>
        <v>683808</v>
      </c>
      <c r="D45" s="611">
        <f ca="1">C47</f>
        <v>2E-3</v>
      </c>
      <c r="E45" s="612" t="s">
        <v>865</v>
      </c>
      <c r="F45" s="622"/>
      <c r="G45" s="623" t="s">
        <v>2529</v>
      </c>
    </row>
    <row r="46" spans="1:7" s="590" customFormat="1" ht="13.5" customHeight="1">
      <c r="A46" s="1805" t="s">
        <v>1925</v>
      </c>
      <c r="B46" s="624" t="s">
        <v>2522</v>
      </c>
      <c r="C46" s="625">
        <f ca="1">ROUND((C33+C39)*F27,0)</f>
        <v>683808</v>
      </c>
      <c r="D46" s="639"/>
      <c r="E46" s="612"/>
      <c r="F46" s="622"/>
      <c r="G46" s="623"/>
    </row>
    <row r="47" spans="1:7" s="590" customFormat="1" ht="13.5" customHeight="1">
      <c r="A47" s="1805" t="s">
        <v>1926</v>
      </c>
      <c r="B47" s="624" t="s">
        <v>2524</v>
      </c>
      <c r="C47" s="614">
        <f ca="1">ROUND(C40*F27,4)</f>
        <v>2E-3</v>
      </c>
      <c r="D47" s="639"/>
      <c r="E47" s="612"/>
      <c r="F47" s="622"/>
      <c r="G47" s="623"/>
    </row>
    <row r="48" spans="1:7" s="590" customFormat="1" ht="13.5" customHeight="1">
      <c r="A48" s="1802" t="s">
        <v>1921</v>
      </c>
      <c r="B48" s="586" t="s">
        <v>858</v>
      </c>
      <c r="C48" s="638">
        <f>ROUND(F30/(1+'数据-取费表'!C42),4)</f>
        <v>5.33E-2</v>
      </c>
      <c r="D48" s="612" t="s">
        <v>2948</v>
      </c>
      <c r="E48" s="608"/>
      <c r="F48" s="613"/>
      <c r="G48" s="2620" t="s">
        <v>2949</v>
      </c>
    </row>
    <row r="49" spans="1:7" ht="16.5" customHeight="1">
      <c r="A49" s="1802" t="s">
        <v>1922</v>
      </c>
      <c r="B49" s="586" t="s">
        <v>2632</v>
      </c>
      <c r="C49" s="608">
        <f ca="1">ROUND((C33+C39+C41+C45)/(1-C40-D41-D45-C48),0)</f>
        <v>8402683</v>
      </c>
      <c r="D49" s="608"/>
      <c r="E49" s="608"/>
      <c r="F49" s="640"/>
      <c r="G49" s="610" t="s">
        <v>2530</v>
      </c>
    </row>
    <row r="50" spans="1:7" s="634" customFormat="1">
      <c r="A50" s="1802" t="s">
        <v>1923</v>
      </c>
      <c r="B50" s="586" t="s">
        <v>860</v>
      </c>
      <c r="C50" s="608"/>
      <c r="D50" s="608"/>
      <c r="E50" s="608"/>
      <c r="F50" s="640">
        <f>IF('数据-取费表'!B24=0,'数据-取费表'!N16,1)</f>
        <v>0.9</v>
      </c>
      <c r="G50" s="623"/>
    </row>
    <row r="51" spans="1:7" ht="16.5" customHeight="1">
      <c r="A51" s="1802" t="s">
        <v>1924</v>
      </c>
      <c r="B51" s="586" t="s">
        <v>2633</v>
      </c>
      <c r="C51" s="608">
        <f ca="1">ROUND(C49*F50,0)</f>
        <v>7562415</v>
      </c>
      <c r="D51" s="608"/>
      <c r="E51" s="608"/>
      <c r="F51" s="640"/>
      <c r="G51" s="610" t="s">
        <v>354</v>
      </c>
    </row>
    <row r="52" spans="1:7" s="584" customFormat="1" ht="16.5" thickBot="1">
      <c r="A52" s="641" t="s">
        <v>355</v>
      </c>
      <c r="B52" s="642"/>
      <c r="C52" s="643">
        <f ca="1">C31+C51</f>
        <v>43993238</v>
      </c>
      <c r="D52" s="642"/>
      <c r="E52" s="642"/>
      <c r="F52" s="642"/>
      <c r="G52" s="644"/>
    </row>
    <row r="55" spans="1:7" ht="15">
      <c r="B55" s="646" t="s">
        <v>356</v>
      </c>
      <c r="C55" s="647"/>
    </row>
    <row r="56" spans="1:7">
      <c r="B56" s="2875" t="s">
        <v>2705</v>
      </c>
      <c r="C56" s="651">
        <f ca="1">1-C57</f>
        <v>0.82800000000000007</v>
      </c>
    </row>
    <row r="57" spans="1:7">
      <c r="B57" s="2875" t="s">
        <v>2704</v>
      </c>
      <c r="C57" s="650">
        <f ca="1">ROUND(C51/C52,3)</f>
        <v>0.17199999999999999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2035</v>
      </c>
      <c r="B1" s="1963"/>
      <c r="C1" s="1963"/>
      <c r="D1" s="1963"/>
      <c r="E1" s="1963"/>
    </row>
    <row r="2" spans="1:5" ht="78" customHeight="1">
      <c r="A2" s="338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2"/>
      <c r="C2" s="3382"/>
      <c r="D2" s="3382"/>
      <c r="E2" s="3382"/>
    </row>
    <row r="3" spans="1:5" ht="18.75">
      <c r="A3" s="3383" t="s">
        <v>2036</v>
      </c>
      <c r="B3" s="3383"/>
      <c r="C3" s="3383"/>
      <c r="D3" s="3383"/>
      <c r="E3" s="3383"/>
    </row>
    <row r="4" spans="1:5" ht="19.5" thickBot="1">
      <c r="A4" s="1975"/>
      <c r="B4" s="3381" t="s">
        <v>2041</v>
      </c>
      <c r="C4" s="3381"/>
      <c r="D4" s="3381"/>
      <c r="E4" s="1975"/>
    </row>
    <row r="5" spans="1:5" ht="16.5" thickTop="1">
      <c r="A5" s="1963"/>
      <c r="B5" s="3379" t="s">
        <v>2037</v>
      </c>
      <c r="C5" s="1965" t="s">
        <v>2042</v>
      </c>
      <c r="D5" s="1966">
        <f ca="1">结果表仓储!H101</f>
        <v>4978</v>
      </c>
      <c r="E5" s="1963"/>
    </row>
    <row r="6" spans="1:5" ht="15.75">
      <c r="A6" s="1963"/>
      <c r="B6" s="3379"/>
      <c r="C6" s="1965" t="s">
        <v>2880</v>
      </c>
      <c r="D6" s="1966" t="str">
        <f ca="1">NUMBERSTRING(INT(D5*10000),2)&amp;"元整"</f>
        <v>肆仟玖佰柒拾捌万元整</v>
      </c>
      <c r="E6" s="1963"/>
    </row>
    <row r="7" spans="1:5" ht="15.75">
      <c r="A7" s="1963"/>
      <c r="B7" s="3384"/>
      <c r="C7" s="1967" t="s">
        <v>2043</v>
      </c>
      <c r="D7" s="1968">
        <f ca="1">结果表仓储!H102</f>
        <v>19674</v>
      </c>
      <c r="E7" s="1963"/>
    </row>
    <row r="8" spans="1:5" ht="15.75">
      <c r="A8" s="1963"/>
      <c r="B8" s="3385" t="str">
        <f>结果表仓储!E103</f>
        <v>2.估价师知悉的法定优先受偿款</v>
      </c>
      <c r="C8" s="1969" t="s">
        <v>2044</v>
      </c>
      <c r="D8" s="1968">
        <f>结果表仓储!H103</f>
        <v>0</v>
      </c>
      <c r="E8" s="1963"/>
    </row>
    <row r="9" spans="1:5" ht="15.75">
      <c r="A9" s="1963"/>
      <c r="B9" s="3387"/>
      <c r="C9" s="1965" t="s">
        <v>2880</v>
      </c>
      <c r="D9" s="1966" t="str">
        <f>NUMBERSTRING(INT(D8*10000),2)&amp;"元整"</f>
        <v>零元整</v>
      </c>
      <c r="E9" s="1963"/>
    </row>
    <row r="10" spans="1:5" ht="15">
      <c r="A10" s="1963"/>
      <c r="B10" s="1970" t="s">
        <v>2038</v>
      </c>
      <c r="C10" s="1971" t="s">
        <v>2044</v>
      </c>
      <c r="D10" s="1972">
        <f>结果表仓储!H104</f>
        <v>0</v>
      </c>
      <c r="E10" s="1963"/>
    </row>
    <row r="11" spans="1:5" ht="15">
      <c r="A11" s="1963"/>
      <c r="B11" s="1970" t="s">
        <v>2039</v>
      </c>
      <c r="C11" s="1971" t="s">
        <v>2044</v>
      </c>
      <c r="D11" s="1972">
        <f>结果表仓储!H105</f>
        <v>0</v>
      </c>
      <c r="E11" s="1963"/>
    </row>
    <row r="12" spans="1:5" ht="15">
      <c r="A12" s="1963"/>
      <c r="B12" s="1970" t="s">
        <v>2040</v>
      </c>
      <c r="C12" s="1971" t="s">
        <v>2044</v>
      </c>
      <c r="D12" s="1972">
        <f>结果表仓储!H106</f>
        <v>0</v>
      </c>
      <c r="E12" s="1963"/>
    </row>
    <row r="13" spans="1:5" ht="15.75">
      <c r="A13" s="1963"/>
      <c r="B13" s="3378" t="str">
        <f>结果表仓储!E107</f>
        <v>3.房地产抵押价值</v>
      </c>
      <c r="C13" s="1973" t="s">
        <v>2042</v>
      </c>
      <c r="D13" s="1976">
        <f ca="1">结果表仓储!H107</f>
        <v>4978</v>
      </c>
      <c r="E13" s="1963"/>
    </row>
    <row r="14" spans="1:5" ht="15.75">
      <c r="A14" s="1963"/>
      <c r="B14" s="3379"/>
      <c r="C14" s="1965" t="s">
        <v>2880</v>
      </c>
      <c r="D14" s="1966" t="str">
        <f ca="1">NUMBERSTRING(INT(D13*10000),2)&amp;"元整"</f>
        <v>肆仟玖佰柒拾捌万元整</v>
      </c>
      <c r="E14" s="1963"/>
    </row>
    <row r="15" spans="1:5" ht="15">
      <c r="A15" s="1963"/>
      <c r="B15" s="3384"/>
      <c r="C15" s="1967" t="s">
        <v>2043</v>
      </c>
      <c r="D15" s="2078">
        <f ca="1">结果表仓储!H108</f>
        <v>19296</v>
      </c>
      <c r="E15" s="1963"/>
    </row>
    <row r="16" spans="1:5" ht="14.25">
      <c r="A16" s="1963"/>
      <c r="B16" s="3385" t="str">
        <f>结果表仓储!E109</f>
        <v>——</v>
      </c>
      <c r="C16" s="1973" t="s">
        <v>2042</v>
      </c>
      <c r="D16" s="2079" t="str">
        <f>结果表仓储!H109</f>
        <v>——</v>
      </c>
      <c r="E16" s="1963"/>
    </row>
    <row r="17" spans="1:5" ht="15.75">
      <c r="A17" s="1963"/>
      <c r="B17" s="3386"/>
      <c r="C17" s="1965" t="s">
        <v>2880</v>
      </c>
      <c r="D17" s="1966" t="e">
        <f>NUMBERSTRING(INT(D16*10000),2)&amp;"元整"</f>
        <v>#VALUE!</v>
      </c>
      <c r="E17" s="1963"/>
    </row>
    <row r="18" spans="1:5" ht="15">
      <c r="A18" s="1963"/>
      <c r="B18" s="3387"/>
      <c r="C18" s="1967" t="s">
        <v>2043</v>
      </c>
      <c r="D18" s="2078" t="str">
        <f>结果表仓储!H110</f>
        <v>——</v>
      </c>
      <c r="E18" s="1963"/>
    </row>
    <row r="19" spans="1:5" ht="15.75">
      <c r="A19" s="1963"/>
      <c r="B19" s="3378" t="str">
        <f>结果表仓储!E111</f>
        <v>——</v>
      </c>
      <c r="C19" s="1973" t="s">
        <v>2042</v>
      </c>
      <c r="D19" s="1968" t="str">
        <f>结果表仓储!H111</f>
        <v>——</v>
      </c>
      <c r="E19" s="1963"/>
    </row>
    <row r="20" spans="1:5" ht="15.75">
      <c r="A20" s="1963"/>
      <c r="B20" s="3379"/>
      <c r="C20" s="1965" t="s">
        <v>2880</v>
      </c>
      <c r="D20" s="1966" t="e">
        <f>NUMBERSTRING(INT(D19*10000),2)&amp;"元整"</f>
        <v>#VALUE!</v>
      </c>
      <c r="E20" s="1963"/>
    </row>
    <row r="21" spans="1:5" ht="15.75" thickBot="1">
      <c r="A21" s="1963"/>
      <c r="B21" s="3380"/>
      <c r="C21" s="2080" t="s">
        <v>2043</v>
      </c>
      <c r="D21" s="2081" t="str">
        <f>结果表仓储!H112</f>
        <v>——</v>
      </c>
      <c r="E21" s="1963"/>
    </row>
    <row r="22" spans="1:5" ht="14.25" thickTop="1">
      <c r="A22" s="1963"/>
      <c r="B22" s="1974" t="s">
        <v>2068</v>
      </c>
      <c r="C22" s="1963"/>
      <c r="D22" s="1963"/>
      <c r="E22" s="1963"/>
    </row>
    <row r="23" spans="1:5">
      <c r="A23" s="1963"/>
      <c r="B23" s="1963"/>
      <c r="C23" s="1963"/>
      <c r="D23" s="1963"/>
      <c r="E23" s="1963"/>
    </row>
    <row r="24" spans="1:5" ht="18.75">
      <c r="A24" s="1994"/>
      <c r="B24" s="1995" t="s">
        <v>2050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74" sqref="E74"/>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1798</v>
      </c>
      <c r="B1" s="1473"/>
      <c r="C1" s="86" t="s">
        <v>2508</v>
      </c>
      <c r="D1" s="1739">
        <f>SUM(D29:D30,D33:D39)</f>
        <v>2530.29</v>
      </c>
      <c r="E1" s="1623"/>
      <c r="F1" s="1623"/>
      <c r="G1" s="1623"/>
      <c r="H1" s="1623"/>
      <c r="I1" s="1623"/>
      <c r="J1" s="1623"/>
      <c r="K1" s="2382"/>
      <c r="L1" s="1884" t="s">
        <v>1230</v>
      </c>
      <c r="M1" s="2137">
        <f>SUMPRODUCT((区片价!B5:B9=I2)*(区片价!C3:F3=E2)*(区片价!C5:F9))</f>
        <v>0</v>
      </c>
      <c r="N1" s="2140">
        <f>SUMPRODUCT((因素修正幅度!B5:B9=I2)*(因素修正幅度!C3:F3=E2)*(因素修正幅度!C5:F9))</f>
        <v>0</v>
      </c>
      <c r="O1" s="2386"/>
      <c r="P1" s="2386"/>
      <c r="Q1" s="2382"/>
      <c r="R1" s="3076" t="s">
        <v>2896</v>
      </c>
      <c r="S1" s="3076" t="s">
        <v>2897</v>
      </c>
      <c r="T1" s="3076" t="s">
        <v>2898</v>
      </c>
      <c r="U1" s="3076" t="s">
        <v>2899</v>
      </c>
      <c r="V1" s="3076" t="s">
        <v>2900</v>
      </c>
      <c r="W1" s="3077"/>
      <c r="X1" s="3077"/>
      <c r="Y1" s="3077"/>
      <c r="Z1" s="3077"/>
      <c r="AA1" s="3077"/>
      <c r="AB1" s="3077"/>
      <c r="AC1" s="3078"/>
      <c r="AD1" s="3079"/>
      <c r="AE1" s="3079"/>
      <c r="AF1" s="3079"/>
      <c r="AG1" s="3079"/>
      <c r="AH1" s="3079"/>
      <c r="AI1" s="3079"/>
      <c r="AJ1" s="3080"/>
    </row>
    <row r="2" spans="1:36" ht="15.75">
      <c r="A2" s="86" t="s">
        <v>1799</v>
      </c>
      <c r="B2" s="580">
        <f ca="1">C26</f>
        <v>2734</v>
      </c>
      <c r="C2" s="1471" t="s">
        <v>1140</v>
      </c>
      <c r="D2" s="1628" t="s">
        <v>1800</v>
      </c>
      <c r="E2" s="1783" t="s">
        <v>40</v>
      </c>
      <c r="F2" s="1628" t="s">
        <v>1801</v>
      </c>
      <c r="G2" s="1605" t="str">
        <f>IF(E2="商业",项目基本情况!B37,IF(E2="办公",项目基本情况!C37,IF(E2="住宅",项目基本情况!D37,项目基本情况!E37)))</f>
        <v>二级</v>
      </c>
      <c r="H2" s="1628" t="s">
        <v>1802</v>
      </c>
      <c r="I2" s="1605" t="str">
        <f>IF(E2="商业",项目基本情况!B38,IF(E2="办公",项目基本情况!C38,IF(E2="住宅",项目基本情况!D38,项目基本情况!E38)))</f>
        <v>Ⅱ—08</v>
      </c>
      <c r="J2" s="1629"/>
      <c r="K2" s="2382"/>
      <c r="L2" s="1885" t="s">
        <v>1287</v>
      </c>
      <c r="M2" s="2138">
        <f>SUMPRODUCT((区片价!B10:B28=I2)*(区片价!C3:F3=E2)*(区片价!C10:F28))</f>
        <v>24700</v>
      </c>
      <c r="N2" s="2140">
        <f>SUMPRODUCT((因素修正幅度!B10:B28=I2)*(因素修正幅度!C3:F3=E2)*(因素修正幅度!C10:F28))</f>
        <v>0.1</v>
      </c>
      <c r="O2" s="2382"/>
      <c r="P2" s="2382"/>
      <c r="Q2" s="2382"/>
      <c r="R2" s="3081">
        <v>1</v>
      </c>
      <c r="S2" s="3081">
        <f>ROUND(IF(G3&gt;1,IF(R2&lt;7,SUMPRODUCT((B93:B98=R2)*(C92:N92=G2)*(C93:N98)),SUMIF(C92:N92,G2,C100:N100)),IF(R2&lt;7,SUMPRODUCT((B102:B107=R2)*(C92:N92=G2)*(C102:N107)),SUMIF(C92:N92,G2,C109:N109))),4)</f>
        <v>1.9361999999999999</v>
      </c>
      <c r="T2" s="3081">
        <f ca="1">ROUND($C$5*$C$18*$C$19*$C$20*S2*$C$24,0)</f>
        <v>69745</v>
      </c>
      <c r="U2" s="3082"/>
      <c r="V2" s="3081">
        <f ca="1">ROUND(T2*U2/10000,0)</f>
        <v>0</v>
      </c>
      <c r="W2" s="3077"/>
      <c r="X2" s="3077"/>
      <c r="Y2" s="3077"/>
      <c r="Z2" s="3077"/>
      <c r="AA2" s="3077"/>
      <c r="AB2" s="3077"/>
      <c r="AC2" s="3078"/>
      <c r="AD2" s="3079"/>
      <c r="AE2" s="3079"/>
      <c r="AF2" s="3079"/>
      <c r="AG2" s="3079"/>
      <c r="AH2" s="3079"/>
      <c r="AI2" s="3079"/>
      <c r="AJ2" s="3080"/>
    </row>
    <row r="3" spans="1:36" ht="24">
      <c r="A3" s="87" t="s">
        <v>1803</v>
      </c>
      <c r="B3" s="580">
        <f ca="1">ROUND(B2*10000/D1,0)</f>
        <v>10805</v>
      </c>
      <c r="C3" s="1471" t="s">
        <v>1804</v>
      </c>
      <c r="D3" s="1628" t="s">
        <v>1143</v>
      </c>
      <c r="E3" s="3375" t="s">
        <v>3181</v>
      </c>
      <c r="F3" s="1784" t="s">
        <v>3085</v>
      </c>
      <c r="G3" s="1630">
        <f>IF(F3="宗地容积率",'数据-汇总表'!I4,IF(F3="估价对象容积率",'数据-汇总表'!I6,'数据-汇总表'!I7))</f>
        <v>2.5</v>
      </c>
      <c r="H3" s="1631" t="s">
        <v>1144</v>
      </c>
      <c r="I3" s="1785"/>
      <c r="J3" s="1629" t="s">
        <v>1145</v>
      </c>
      <c r="K3" s="2382"/>
      <c r="L3" s="1885" t="s">
        <v>1460</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51143</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24"/>
      <c r="B4" s="3725"/>
      <c r="C4" s="3725"/>
      <c r="D4" s="3726"/>
      <c r="E4" s="3726"/>
      <c r="F4" s="3726"/>
      <c r="G4" s="3726"/>
      <c r="H4" s="3726"/>
      <c r="I4" s="3726"/>
      <c r="J4" s="3727"/>
      <c r="K4" s="2382"/>
      <c r="L4" s="1885" t="s">
        <v>1141</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41763</v>
      </c>
      <c r="U4" s="3082"/>
      <c r="V4" s="3081">
        <f t="shared" ca="1" si="1"/>
        <v>0</v>
      </c>
      <c r="W4" s="3077"/>
      <c r="X4" s="3077"/>
      <c r="Y4" s="3077"/>
      <c r="Z4" s="3077"/>
      <c r="AA4" s="3077"/>
      <c r="AB4" s="3077"/>
      <c r="AC4" s="3078"/>
      <c r="AD4" s="3079"/>
      <c r="AE4" s="3079"/>
      <c r="AF4" s="3079"/>
      <c r="AG4" s="3079"/>
      <c r="AH4" s="3079"/>
      <c r="AI4" s="3079"/>
      <c r="AJ4" s="3080"/>
    </row>
    <row r="5" spans="1:36" s="1639" customFormat="1" ht="15.75" thickBot="1">
      <c r="A5" s="1878" t="s">
        <v>1941</v>
      </c>
      <c r="B5" s="1632" t="s">
        <v>1805</v>
      </c>
      <c r="C5" s="1633">
        <f>ROUND(IF(E2="商业",IF(F16="增加",C6*C7+C16,C6*C7-C16),IF(E2="住宅",IF(F16="增加",C6*C12+C16,C6*C12-C16),IF(F16="增加",C6+C16,C6-C16))),0)</f>
        <v>24700</v>
      </c>
      <c r="D5" s="1634"/>
      <c r="E5" s="1635"/>
      <c r="F5" s="1635"/>
      <c r="G5" s="1636"/>
      <c r="H5" s="1636"/>
      <c r="I5" s="1636"/>
      <c r="J5" s="1637"/>
      <c r="K5" s="2387"/>
      <c r="L5" s="1885" t="s">
        <v>1541</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34660</v>
      </c>
      <c r="U5" s="3082"/>
      <c r="V5" s="3081">
        <f t="shared" ca="1" si="1"/>
        <v>0</v>
      </c>
      <c r="W5" s="3077"/>
      <c r="X5" s="3077"/>
      <c r="Y5" s="3077"/>
      <c r="Z5" s="3077"/>
      <c r="AA5" s="3077"/>
      <c r="AB5" s="3077"/>
      <c r="AC5" s="3083"/>
      <c r="AD5" s="3084"/>
      <c r="AE5" s="3084"/>
      <c r="AF5" s="3084"/>
      <c r="AG5" s="3084"/>
      <c r="AH5" s="3084"/>
      <c r="AI5" s="3084"/>
      <c r="AJ5" s="3085"/>
    </row>
    <row r="6" spans="1:36" ht="15.75" thickBot="1">
      <c r="A6" s="1882" t="s">
        <v>1948</v>
      </c>
      <c r="B6" s="1640" t="s">
        <v>1805</v>
      </c>
      <c r="C6" s="1641">
        <f>SUMIF(L1:L12,G2,M1:M12)</f>
        <v>24700</v>
      </c>
      <c r="D6" s="1642" t="s">
        <v>1806</v>
      </c>
      <c r="E6" s="1643"/>
      <c r="F6" s="1643"/>
      <c r="G6" s="1644"/>
      <c r="H6" s="1644"/>
      <c r="I6" s="1644"/>
      <c r="J6" s="1645"/>
      <c r="K6" s="2388"/>
      <c r="L6" s="1885"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30319</v>
      </c>
      <c r="U6" s="3082"/>
      <c r="V6" s="3081">
        <f t="shared" ca="1" si="1"/>
        <v>0</v>
      </c>
      <c r="W6" s="3077"/>
      <c r="X6" s="3077"/>
      <c r="Y6" s="3077"/>
      <c r="Z6" s="3077"/>
      <c r="AA6" s="3077"/>
      <c r="AB6" s="3077"/>
      <c r="AC6" s="3083"/>
      <c r="AD6" s="3084"/>
      <c r="AE6" s="3084"/>
      <c r="AF6" s="3084"/>
      <c r="AG6" s="3084"/>
      <c r="AH6" s="3084"/>
      <c r="AI6" s="3084"/>
      <c r="AJ6" s="3085"/>
    </row>
    <row r="7" spans="1:36" ht="24">
      <c r="A7" s="3728" t="str">
        <f>IF(E2="商业",IF(C8="不临58条商业街","",2),"")</f>
        <v/>
      </c>
      <c r="B7" s="1646" t="s">
        <v>1807</v>
      </c>
      <c r="C7" s="1647">
        <f>IF(C8="不临58条商业街",1,ROUND(1+(1.6*E8+1.2*E9+0.8*E10+0.4*E11)*C9,4))</f>
        <v>1</v>
      </c>
      <c r="D7" s="1648" t="s">
        <v>1808</v>
      </c>
      <c r="E7" s="1786"/>
      <c r="F7" s="1649"/>
      <c r="G7" s="1650"/>
      <c r="H7" s="1650"/>
      <c r="I7" s="1650"/>
      <c r="J7" s="1651"/>
      <c r="K7" s="2388"/>
      <c r="L7" s="1885" t="s">
        <v>1544</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27405</v>
      </c>
      <c r="U7" s="3082"/>
      <c r="V7" s="3081">
        <f t="shared" ca="1" si="1"/>
        <v>0</v>
      </c>
      <c r="W7" s="3086" t="s">
        <v>2901</v>
      </c>
      <c r="X7" s="3087" t="str">
        <f>G2</f>
        <v>二级</v>
      </c>
      <c r="Y7" s="3087" t="s">
        <v>2902</v>
      </c>
      <c r="Z7" s="3088">
        <f>G3</f>
        <v>2.5</v>
      </c>
      <c r="AA7" s="3089"/>
      <c r="AB7" s="3089"/>
      <c r="AC7" s="3090"/>
      <c r="AD7" s="3091"/>
      <c r="AE7" s="3091"/>
      <c r="AF7" s="3091"/>
      <c r="AG7" s="3091"/>
      <c r="AH7" s="3091"/>
      <c r="AI7" s="3091"/>
      <c r="AJ7" s="3092"/>
    </row>
    <row r="8" spans="1:36" ht="24">
      <c r="A8" s="3729"/>
      <c r="B8" s="1631" t="s">
        <v>1809</v>
      </c>
      <c r="C8" s="1787" t="s">
        <v>3066</v>
      </c>
      <c r="D8" s="1652" t="s">
        <v>1146</v>
      </c>
      <c r="E8" s="1653" t="e">
        <f>ROUND(C11/E7,4)</f>
        <v>#DIV/0!</v>
      </c>
      <c r="F8" s="1654" t="s">
        <v>1810</v>
      </c>
      <c r="G8" s="1655"/>
      <c r="H8" s="1655"/>
      <c r="I8" s="1655"/>
      <c r="J8" s="1656"/>
      <c r="K8" s="2382"/>
      <c r="L8" s="1885" t="s">
        <v>1546</v>
      </c>
      <c r="M8" s="2138">
        <f>SUMPRODUCT((区片价!B206:B244=I2)*(区片价!C3:F3=E2)*(区片价!C206:F244))</f>
        <v>0</v>
      </c>
      <c r="N8" s="2140">
        <f>SUMPRODUCT((因素修正幅度!B206:B244=I2)*(因素修正幅度!C3:F3=E2)*(因素修正幅度!C206:F244))</f>
        <v>0</v>
      </c>
      <c r="O8" s="2382"/>
      <c r="P8" s="2382"/>
      <c r="Q8" s="2382"/>
      <c r="R8" s="3081">
        <v>7</v>
      </c>
      <c r="S8" s="3082"/>
      <c r="T8" s="3081">
        <f t="shared" ca="1" si="0"/>
        <v>0</v>
      </c>
      <c r="U8" s="3082"/>
      <c r="V8" s="3081">
        <f t="shared" ca="1" si="1"/>
        <v>0</v>
      </c>
      <c r="W8" s="3721" t="s">
        <v>2903</v>
      </c>
      <c r="X8" s="3722"/>
      <c r="Y8" s="3093" t="s">
        <v>165</v>
      </c>
      <c r="Z8" s="3093" t="s">
        <v>166</v>
      </c>
      <c r="AA8" s="3093" t="s">
        <v>161</v>
      </c>
      <c r="AB8" s="3093" t="s">
        <v>162</v>
      </c>
      <c r="AC8" s="3093" t="s">
        <v>163</v>
      </c>
      <c r="AD8" s="3093" t="s">
        <v>164</v>
      </c>
      <c r="AE8" s="3093" t="s">
        <v>1181</v>
      </c>
      <c r="AF8" s="3093" t="s">
        <v>1182</v>
      </c>
      <c r="AG8" s="3093" t="s">
        <v>1183</v>
      </c>
      <c r="AH8" s="3093" t="s">
        <v>1184</v>
      </c>
      <c r="AI8" s="3093" t="s">
        <v>1185</v>
      </c>
      <c r="AJ8" s="3093" t="s">
        <v>1186</v>
      </c>
    </row>
    <row r="9" spans="1:36" ht="15">
      <c r="A9" s="3729"/>
      <c r="B9" s="1631" t="s">
        <v>1811</v>
      </c>
      <c r="C9" s="1657">
        <f>SUMIF(修正!C59:C119,C8,修正!E59:E119)</f>
        <v>0</v>
      </c>
      <c r="D9" s="532" t="s">
        <v>1147</v>
      </c>
      <c r="E9" s="532" t="e">
        <f>ROUND(C11/E7,4)</f>
        <v>#DIV/0!</v>
      </c>
      <c r="F9" s="1654" t="s">
        <v>1812</v>
      </c>
      <c r="G9" s="1655"/>
      <c r="H9" s="1655"/>
      <c r="I9" s="1655"/>
      <c r="J9" s="1656"/>
      <c r="K9" s="2382"/>
      <c r="L9" s="1885" t="s">
        <v>1548</v>
      </c>
      <c r="M9" s="2138">
        <f>SUMPRODUCT((区片价!B245:B289=I2)*(区片价!C3:F3=E2)*(区片价!C245:F289))</f>
        <v>0</v>
      </c>
      <c r="N9" s="2140">
        <f>SUMPRODUCT((因素修正幅度!B245:B289=I2)*(因素修正幅度!C3:F3=E2)*(因素修正幅度!C245:F289))</f>
        <v>0</v>
      </c>
      <c r="O9" s="2382"/>
      <c r="P9" s="2382"/>
      <c r="Q9" s="2382"/>
      <c r="R9" s="3081">
        <v>8</v>
      </c>
      <c r="S9" s="3082"/>
      <c r="T9" s="3081">
        <f t="shared" ca="1" si="0"/>
        <v>0</v>
      </c>
      <c r="U9" s="3082"/>
      <c r="V9" s="3081">
        <f t="shared" ca="1" si="1"/>
        <v>0</v>
      </c>
      <c r="W9" s="3723" t="s">
        <v>2904</v>
      </c>
      <c r="X9" s="3094" t="s">
        <v>1768</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29"/>
      <c r="B10" s="1631" t="s">
        <v>1813</v>
      </c>
      <c r="C10" s="532">
        <f>SUMIF(修正!C59:C119,C8,修正!F59:F119)</f>
        <v>0</v>
      </c>
      <c r="D10" s="532" t="s">
        <v>1148</v>
      </c>
      <c r="E10" s="532" t="e">
        <f>ROUND(C11/E7,4)</f>
        <v>#DIV/0!</v>
      </c>
      <c r="F10" s="1654" t="s">
        <v>1814</v>
      </c>
      <c r="G10" s="1655"/>
      <c r="H10" s="1655"/>
      <c r="I10" s="1655"/>
      <c r="J10" s="1656"/>
      <c r="K10" s="2382"/>
      <c r="L10" s="1885" t="s">
        <v>1552</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f t="shared" ca="1" si="0"/>
        <v>0</v>
      </c>
      <c r="U10" s="3082"/>
      <c r="V10" s="3081">
        <f t="shared" ca="1" si="1"/>
        <v>0</v>
      </c>
      <c r="W10" s="3723"/>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29"/>
      <c r="B11" s="1658" t="s">
        <v>1815</v>
      </c>
      <c r="C11" s="1659">
        <f>C10/4</f>
        <v>0</v>
      </c>
      <c r="D11" s="1659" t="s">
        <v>1149</v>
      </c>
      <c r="E11" s="1659" t="e">
        <f>ROUND(C11/E7,4)</f>
        <v>#DIV/0!</v>
      </c>
      <c r="F11" s="1660" t="s">
        <v>1816</v>
      </c>
      <c r="G11" s="1661"/>
      <c r="H11" s="1661"/>
      <c r="I11" s="1661"/>
      <c r="J11" s="1662"/>
      <c r="K11" s="2382"/>
      <c r="L11" s="1885" t="s">
        <v>1951</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f t="shared" ca="1" si="0"/>
        <v>0</v>
      </c>
      <c r="U11" s="3082"/>
      <c r="V11" s="3081">
        <f t="shared" ca="1" si="1"/>
        <v>0</v>
      </c>
      <c r="W11" s="3723" t="s">
        <v>2905</v>
      </c>
      <c r="X11" s="3097" t="s">
        <v>2902</v>
      </c>
      <c r="Y11" s="3098">
        <f>$G$3</f>
        <v>2.5</v>
      </c>
      <c r="Z11" s="3098">
        <f t="shared" ref="Z11:AJ11" si="3">$G$3</f>
        <v>2.5</v>
      </c>
      <c r="AA11" s="3098">
        <f t="shared" si="3"/>
        <v>2.5</v>
      </c>
      <c r="AB11" s="3098">
        <f t="shared" si="3"/>
        <v>2.5</v>
      </c>
      <c r="AC11" s="3098">
        <f t="shared" si="3"/>
        <v>2.5</v>
      </c>
      <c r="AD11" s="3098">
        <f t="shared" si="3"/>
        <v>2.5</v>
      </c>
      <c r="AE11" s="3098">
        <f t="shared" si="3"/>
        <v>2.5</v>
      </c>
      <c r="AF11" s="3098">
        <f t="shared" si="3"/>
        <v>2.5</v>
      </c>
      <c r="AG11" s="3098">
        <f t="shared" si="3"/>
        <v>2.5</v>
      </c>
      <c r="AH11" s="3098">
        <f t="shared" si="3"/>
        <v>2.5</v>
      </c>
      <c r="AI11" s="3098">
        <f t="shared" si="3"/>
        <v>2.5</v>
      </c>
      <c r="AJ11" s="3098">
        <f t="shared" si="3"/>
        <v>2.5</v>
      </c>
    </row>
    <row r="12" spans="1:36" ht="26.25" thickBot="1">
      <c r="A12" s="3728" t="s">
        <v>1949</v>
      </c>
      <c r="B12" s="1663" t="s">
        <v>1817</v>
      </c>
      <c r="C12" s="1647">
        <f>ROUND(C15*D15*E15*F15*G15*H15*I15*J15,4)</f>
        <v>1</v>
      </c>
      <c r="D12" s="1664" t="s">
        <v>1818</v>
      </c>
      <c r="E12" s="1665"/>
      <c r="F12" s="1665"/>
      <c r="G12" s="1666"/>
      <c r="H12" s="1666"/>
      <c r="I12" s="1666"/>
      <c r="J12" s="1667"/>
      <c r="K12" s="2382"/>
      <c r="L12" s="1886" t="s">
        <v>1952</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f t="shared" ca="1" si="0"/>
        <v>0</v>
      </c>
      <c r="U12" s="3082"/>
      <c r="V12" s="3081">
        <f t="shared" ca="1" si="1"/>
        <v>0</v>
      </c>
      <c r="W12" s="3723"/>
      <c r="X12" s="3099" t="s">
        <v>1771</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30"/>
      <c r="B13" s="1668" t="s">
        <v>1819</v>
      </c>
      <c r="C13" s="1669" t="s">
        <v>1820</v>
      </c>
      <c r="D13" s="1670" t="s">
        <v>1821</v>
      </c>
      <c r="E13" s="1670" t="s">
        <v>1822</v>
      </c>
      <c r="F13" s="81" t="s">
        <v>1150</v>
      </c>
      <c r="G13" s="1788" t="s">
        <v>1873</v>
      </c>
      <c r="H13" s="1788" t="s">
        <v>1873</v>
      </c>
      <c r="I13" s="1788" t="s">
        <v>1873</v>
      </c>
      <c r="J13" s="1789" t="s">
        <v>1873</v>
      </c>
      <c r="K13" s="2382"/>
      <c r="L13" s="2382"/>
      <c r="M13" s="2382"/>
      <c r="N13" s="2382"/>
      <c r="O13" s="2382"/>
      <c r="P13" s="2382"/>
      <c r="Q13" s="2382"/>
      <c r="R13" s="3081">
        <v>12</v>
      </c>
      <c r="S13" s="3082"/>
      <c r="T13" s="3081">
        <f t="shared" ca="1" si="0"/>
        <v>0</v>
      </c>
      <c r="U13" s="3082"/>
      <c r="V13" s="3081">
        <f t="shared" ca="1" si="1"/>
        <v>0</v>
      </c>
      <c r="W13" s="3723"/>
      <c r="X13" s="3099"/>
      <c r="Y13" s="3096">
        <f>(-0.163*(Y12^2)-0.59*Y12+7617)*(10^(-4))/Y11</f>
        <v>0.30468000000000001</v>
      </c>
      <c r="Z13" s="3096">
        <f t="shared" ref="Z13:AJ13" si="5">(-0.163*(Z12^2)-0.59*Z12+7617)*(10^(-4))/Z11</f>
        <v>0.30468000000000001</v>
      </c>
      <c r="AA13" s="3096">
        <f t="shared" si="5"/>
        <v>0.30468000000000001</v>
      </c>
      <c r="AB13" s="3096">
        <f t="shared" si="5"/>
        <v>0.30468000000000001</v>
      </c>
      <c r="AC13" s="3096">
        <f t="shared" si="5"/>
        <v>0.30468000000000001</v>
      </c>
      <c r="AD13" s="3096">
        <f t="shared" si="5"/>
        <v>0.30468000000000001</v>
      </c>
      <c r="AE13" s="3096">
        <f t="shared" si="5"/>
        <v>0.30468000000000001</v>
      </c>
      <c r="AF13" s="3096">
        <f t="shared" si="5"/>
        <v>0.30468000000000001</v>
      </c>
      <c r="AG13" s="3096">
        <f t="shared" si="5"/>
        <v>0.30468000000000001</v>
      </c>
      <c r="AH13" s="3096">
        <f t="shared" si="5"/>
        <v>0.30468000000000001</v>
      </c>
      <c r="AI13" s="3096">
        <f t="shared" si="5"/>
        <v>0.30468000000000001</v>
      </c>
      <c r="AJ13" s="3096">
        <f t="shared" si="5"/>
        <v>0.30468000000000001</v>
      </c>
    </row>
    <row r="14" spans="1:36" ht="15">
      <c r="A14" s="3730"/>
      <c r="B14" s="1671"/>
      <c r="C14" s="1790"/>
      <c r="D14" s="1487"/>
      <c r="E14" s="1487"/>
      <c r="F14" s="1791" t="s">
        <v>3101</v>
      </c>
      <c r="G14" s="1672" t="s">
        <v>1850</v>
      </c>
      <c r="H14" s="1673"/>
      <c r="I14" s="1674"/>
      <c r="J14" s="1675"/>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31"/>
      <c r="B15" s="1676" t="s">
        <v>1823</v>
      </c>
      <c r="C15" s="561">
        <f>IF(C14="有",1.1,1)</f>
        <v>1</v>
      </c>
      <c r="D15" s="561">
        <f>IF(D14="有",1.1,1)</f>
        <v>1</v>
      </c>
      <c r="E15" s="561">
        <f>IF(E14="有",1.1,1)</f>
        <v>1</v>
      </c>
      <c r="F15" s="561">
        <f>IF(F14="500米范围内",1.2,IF(F14="500-1000米",1.1,1))</f>
        <v>1</v>
      </c>
      <c r="G15" s="1792">
        <v>1</v>
      </c>
      <c r="H15" s="1792">
        <v>1</v>
      </c>
      <c r="I15" s="1792">
        <v>1</v>
      </c>
      <c r="J15" s="1793">
        <v>1</v>
      </c>
      <c r="K15" s="2382"/>
      <c r="L15" s="1707" t="s">
        <v>1839</v>
      </c>
      <c r="M15" s="1708" t="s">
        <v>1840</v>
      </c>
      <c r="N15" s="1708" t="s">
        <v>1841</v>
      </c>
      <c r="O15" s="1708" t="s">
        <v>981</v>
      </c>
      <c r="P15" s="1709" t="s">
        <v>1842</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728" t="s">
        <v>1950</v>
      </c>
      <c r="B16" s="1646" t="s">
        <v>1824</v>
      </c>
      <c r="C16" s="1779">
        <f>ROUND(SUM(G17:J17)/C17,0)</f>
        <v>0</v>
      </c>
      <c r="D16" s="1677" t="s">
        <v>1825</v>
      </c>
      <c r="E16" s="1794" t="s">
        <v>3067</v>
      </c>
      <c r="F16" s="1795" t="s">
        <v>3068</v>
      </c>
      <c r="G16" s="1796"/>
      <c r="H16" s="1796"/>
      <c r="I16" s="1796"/>
      <c r="J16" s="1797"/>
      <c r="K16" s="2382"/>
      <c r="L16" s="1713" t="s">
        <v>1844</v>
      </c>
      <c r="M16" s="1657">
        <v>0.25</v>
      </c>
      <c r="N16" s="1657">
        <v>0.2</v>
      </c>
      <c r="O16" s="1657">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729"/>
      <c r="B17" s="1678" t="s">
        <v>1826</v>
      </c>
      <c r="C17" s="1679">
        <f>SUMPRODUCT((修正!A2:A5=E2)*(修正!B1:M1=G2)*(修正!B2:M5))</f>
        <v>2.5</v>
      </c>
      <c r="D17" s="1680" t="s">
        <v>1827</v>
      </c>
      <c r="E17" s="1750" t="str">
        <f>IF(OR(G2="八级",G2="九级",G2="十级",G2="十一级",G2="十二级"),"五通一平","七通一平")</f>
        <v>七通一平</v>
      </c>
      <c r="F17" s="1681" t="s">
        <v>1828</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1833</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9" customFormat="1" ht="15.75" thickBot="1">
      <c r="A18" s="1879" t="s">
        <v>1942</v>
      </c>
      <c r="B18" s="1683" t="s">
        <v>1829</v>
      </c>
      <c r="C18" s="1684">
        <f>SUMIF(修正!C18:C39,E3,修正!E18:E39)</f>
        <v>1</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9" customFormat="1" ht="27.75" thickBot="1">
      <c r="A19" s="1879" t="s">
        <v>1943</v>
      </c>
      <c r="B19" s="1683" t="s">
        <v>1830</v>
      </c>
      <c r="C19" s="1692">
        <f>ROUND(IF(H19="按公示增长率计算",SUMPRODUCT((地价!A3:A19=YEAR(G19)&amp;"-"&amp;ROUNDUP(MONTH(G19)/3,0))*(地价!X2:AB2=E2)*(地价!X3:AB19)),IF(H19="地价指数",M20/M19,(1+I19)^O19)),4)</f>
        <v>1.3962000000000001</v>
      </c>
      <c r="D19" s="1693" t="s">
        <v>1151</v>
      </c>
      <c r="E19" s="1694">
        <v>41640</v>
      </c>
      <c r="F19" s="1693" t="s">
        <v>1152</v>
      </c>
      <c r="G19" s="1695">
        <f>'数据-取费表'!B2</f>
        <v>43040</v>
      </c>
      <c r="H19" s="3023" t="s">
        <v>3069</v>
      </c>
      <c r="I19" s="1696" t="str">
        <f>IF(H19="季度增幅（自定义）",SUMIF(N21:N24,E2,O21:O24),"")</f>
        <v/>
      </c>
      <c r="J19" s="1689"/>
      <c r="K19" s="2389"/>
      <c r="L19" s="3250" t="s">
        <v>2962</v>
      </c>
      <c r="M19" s="3252">
        <f>ROUND(SUMIF(地价!B2:F2,E2,地价!B19:F19),0)</f>
        <v>423</v>
      </c>
      <c r="N19" s="3248" t="s">
        <v>1875</v>
      </c>
      <c r="O19" s="1697">
        <f>ROUNDDOWN(DATEDIF(E19,G19,"M")/3,0)</f>
        <v>15</v>
      </c>
      <c r="P19" s="2737"/>
      <c r="Q19" s="2739"/>
      <c r="R19" s="2739"/>
      <c r="S19" s="2739"/>
      <c r="T19" s="2734"/>
      <c r="U19" s="2734"/>
      <c r="V19" s="2734"/>
      <c r="W19" s="2733"/>
      <c r="X19" s="2733"/>
      <c r="Y19" s="2733"/>
      <c r="Z19" s="2740"/>
      <c r="AA19" s="2741"/>
      <c r="AB19" s="2741"/>
      <c r="AC19" s="2741"/>
      <c r="AD19" s="2741"/>
      <c r="AE19" s="1690"/>
      <c r="AF19" s="1691"/>
      <c r="AG19" s="1698"/>
      <c r="AH19" s="1626"/>
      <c r="AI19" s="1638"/>
      <c r="AJ19" s="1638"/>
      <c r="AK19" s="1638"/>
    </row>
    <row r="20" spans="1:37" s="1639" customFormat="1" ht="27.75" thickBot="1">
      <c r="A20" s="1880" t="s">
        <v>1944</v>
      </c>
      <c r="B20" s="1752" t="s">
        <v>1831</v>
      </c>
      <c r="C20" s="1699">
        <f ca="1">ROUND(POWER(1+G20,J20-I20)*(POWER(1+G20,I20)-1)/(POWER(1+G20,J20)-1),4)</f>
        <v>0.9667</v>
      </c>
      <c r="D20" s="1753" t="s">
        <v>1832</v>
      </c>
      <c r="E20" s="3307">
        <f ca="1">存贷款利率!D4/100</f>
        <v>4.3499999999999997E-2</v>
      </c>
      <c r="F20" s="1753" t="s">
        <v>1833</v>
      </c>
      <c r="G20" s="1754">
        <f ca="1">SUMIF(M15:P15,E2,M17:P17)</f>
        <v>0.05</v>
      </c>
      <c r="H20" s="1753" t="s">
        <v>1834</v>
      </c>
      <c r="I20" s="1755">
        <f>SUMIF('数据-取费表'!C6:C15,E2,'数据-取费表'!F6:F15)/COUNTIF('数据-取费表'!C6:C15,E2)</f>
        <v>56</v>
      </c>
      <c r="J20" s="1756">
        <f>IF(E2="住宅",70,IF(E2="商业",40,50))</f>
        <v>70</v>
      </c>
      <c r="K20" s="2389"/>
      <c r="L20" s="3251" t="s">
        <v>2963</v>
      </c>
      <c r="M20" s="3253">
        <f>ROUND(SUMPRODUCT((地价!A4:A19=YEAR(G19)&amp;"-"&amp;ROUNDUP(MONTH(G19)/3,0))*(地价!B2:F2=E2)*(地价!B4:F19)),0)</f>
        <v>0</v>
      </c>
      <c r="N20" s="3249" t="s">
        <v>2790</v>
      </c>
      <c r="O20" s="3024" t="s">
        <v>2791</v>
      </c>
      <c r="P20" s="3025" t="s">
        <v>2800</v>
      </c>
      <c r="R20" s="2739"/>
      <c r="S20" s="2739"/>
      <c r="T20" s="2734"/>
      <c r="U20" s="2734"/>
      <c r="V20" s="2734"/>
      <c r="W20" s="2733"/>
      <c r="X20" s="2733"/>
      <c r="Y20" s="2733"/>
      <c r="Z20" s="2740"/>
      <c r="AA20" s="2741"/>
      <c r="AB20" s="2741"/>
      <c r="AC20" s="2741"/>
      <c r="AD20" s="2741"/>
      <c r="AE20" s="1690"/>
      <c r="AF20" s="1690"/>
    </row>
    <row r="21" spans="1:37" s="1639" customFormat="1" ht="14.25">
      <c r="A21" s="1881" t="s">
        <v>1945</v>
      </c>
      <c r="B21" s="1798" t="s">
        <v>3070</v>
      </c>
      <c r="C21" s="1757">
        <f>IF(B21="容积率修正",IF(G3&lt;=10,D22,J22),C23)</f>
        <v>1</v>
      </c>
      <c r="D21" s="1758"/>
      <c r="E21" s="1758"/>
      <c r="F21" s="1758"/>
      <c r="G21" s="1758"/>
      <c r="H21" s="1758"/>
      <c r="I21" s="1758"/>
      <c r="J21" s="1759"/>
      <c r="K21" s="2389"/>
      <c r="N21" s="3026" t="s">
        <v>2792</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0"/>
      <c r="AF21" s="1690"/>
    </row>
    <row r="22" spans="1:37" s="1639" customFormat="1" ht="14.25">
      <c r="A22" s="190" t="s">
        <v>1948</v>
      </c>
      <c r="B22" s="1701" t="s">
        <v>1835</v>
      </c>
      <c r="C22" s="1780" t="s">
        <v>1848</v>
      </c>
      <c r="D22" s="1780">
        <f>IF(E22=G22,F22,IF(G3&lt;=10,ROUND(F22+(H22-F22)*(G3-E22)/(G22-E22),4),"——"))</f>
        <v>1</v>
      </c>
      <c r="E22" s="1630">
        <f>ROUNDDOWN(G3,1)</f>
        <v>2.5</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30">
        <f>ROUNDUP(G3,1)</f>
        <v>2.5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780" t="s">
        <v>1165</v>
      </c>
      <c r="J22" s="1760" t="str">
        <f>IF(G3&gt;10,D113,"——")</f>
        <v>——</v>
      </c>
      <c r="K22" s="2389"/>
      <c r="N22" s="3026" t="s">
        <v>2793</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0"/>
      <c r="AF22" s="1690"/>
    </row>
    <row r="23" spans="1:37" ht="27.75" thickBot="1">
      <c r="A23" s="190" t="s">
        <v>1949</v>
      </c>
      <c r="B23" s="1871" t="s">
        <v>1836</v>
      </c>
      <c r="C23" s="1872">
        <f>ROUND(IF(G3&gt;1,IF(I3&lt;7,SUMPRODUCT((B93:B98=I3)*(C92:N92=G2)*(C93:N98)),SUMIF(C92:N92,G2,C100:N100)),IF(I3&lt;7,SUMPRODUCT((B102:B107=I3)*(C92:N92=G2)*(C102:N107)),SUMIF(C92:N92,G2,C109:N109))),4)</f>
        <v>0</v>
      </c>
      <c r="D23" s="1673"/>
      <c r="E23" s="1673"/>
      <c r="F23" s="1702"/>
      <c r="G23" s="1703"/>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6"/>
    </row>
    <row r="24" spans="1:37" s="1639" customFormat="1" ht="15.75" thickBot="1">
      <c r="A24" s="1880" t="s">
        <v>1946</v>
      </c>
      <c r="B24" s="1683" t="s">
        <v>1837</v>
      </c>
      <c r="C24" s="3376">
        <f>SUMIF(A45:A88,E2,B45:B88)</f>
        <v>1.0805</v>
      </c>
      <c r="D24" s="1687"/>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0"/>
      <c r="AF24" s="1690"/>
    </row>
    <row r="25" spans="1:37" ht="15" thickBot="1">
      <c r="A25" s="1880" t="s">
        <v>1947</v>
      </c>
      <c r="B25" s="1704" t="s">
        <v>1838</v>
      </c>
      <c r="C25" s="1705"/>
      <c r="D25" s="1650"/>
      <c r="E25" s="1650"/>
      <c r="F25" s="1706"/>
      <c r="G25" s="1650"/>
      <c r="H25" s="1650"/>
      <c r="I25" s="1650"/>
      <c r="J25" s="1651"/>
      <c r="K25" s="2382"/>
      <c r="N25" s="3033" t="s">
        <v>2794</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1" t="s">
        <v>1869</v>
      </c>
      <c r="C26" s="538">
        <f ca="1">E29+SUM(E33:E39)</f>
        <v>2734</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3"/>
      <c r="B27" s="1714" t="s">
        <v>1870</v>
      </c>
      <c r="C27" s="1715" t="e">
        <f ca="1">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1" t="s">
        <v>1868</v>
      </c>
      <c r="C28" s="1722" t="s">
        <v>1843</v>
      </c>
      <c r="D28" s="1722" t="s">
        <v>1859</v>
      </c>
      <c r="E28" s="1723" t="s">
        <v>1860</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1863</v>
      </c>
      <c r="C29" s="538">
        <f ca="1">ROUND(C5*C18*C19*C20*C21*C24,0)</f>
        <v>36021</v>
      </c>
      <c r="D29" s="1748"/>
      <c r="E29" s="1782">
        <f ca="1">ROUND(C29*D29/10000,0)</f>
        <v>0</v>
      </c>
      <c r="F29" s="1726" t="s">
        <v>1845</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9"/>
      <c r="B30" s="1730" t="s">
        <v>1864</v>
      </c>
      <c r="C30" s="561">
        <f ca="1">ROUND(IF(E2="工业",C29*M39,C29*M38),0)</f>
        <v>9005</v>
      </c>
      <c r="D30" s="1749"/>
      <c r="E30" s="1782">
        <f ca="1">ROUND(C30*D30/10000,0)</f>
        <v>0</v>
      </c>
      <c r="F30" s="1731" t="s">
        <v>1861</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4"/>
      <c r="B31" s="1735" t="s">
        <v>1865</v>
      </c>
      <c r="C31" s="1736" t="s">
        <v>1866</v>
      </c>
      <c r="D31" s="1666"/>
      <c r="E31" s="1736"/>
      <c r="F31" s="1736"/>
      <c r="G31" s="1664" t="s">
        <v>1867</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1"/>
      <c r="B32" s="1738"/>
      <c r="C32" s="171" t="s">
        <v>1843</v>
      </c>
      <c r="D32" s="168" t="s">
        <v>1859</v>
      </c>
      <c r="E32" s="168" t="s">
        <v>1860</v>
      </c>
      <c r="F32" s="1739" t="s">
        <v>1847</v>
      </c>
      <c r="G32" s="1700" t="s">
        <v>1843</v>
      </c>
      <c r="H32" s="1700" t="s">
        <v>1859</v>
      </c>
      <c r="I32" s="1700" t="s">
        <v>1860</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14.25">
      <c r="A33" s="1741"/>
      <c r="B33" s="1742" t="s">
        <v>1167</v>
      </c>
      <c r="C33" s="538">
        <f ca="1">ROUND(C5*C19*C20*C24*F33,0)</f>
        <v>28817</v>
      </c>
      <c r="D33" s="1748"/>
      <c r="E33" s="532">
        <f ca="1">ROUND(C33*D33/10000,0)</f>
        <v>0</v>
      </c>
      <c r="F33" s="532">
        <f>SUMIF(修正!A45:A56,G2,修正!B45:B56)</f>
        <v>0.8</v>
      </c>
      <c r="G33" s="532">
        <f t="shared" ref="G33:G39" ca="1" si="6">ROUND(IF(E2="工业",C33*$M$39,C33*$M$38),0)</f>
        <v>7204</v>
      </c>
      <c r="H33" s="532">
        <f>D33</f>
        <v>0</v>
      </c>
      <c r="I33" s="532">
        <f ca="1">ROUND(G33*H33/10000,0)</f>
        <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1"/>
      <c r="B34" s="1669" t="s">
        <v>1168</v>
      </c>
      <c r="C34" s="538">
        <f ca="1">ROUND(C5*C19*C20*C24*F34,0)</f>
        <v>18011</v>
      </c>
      <c r="D34" s="1748"/>
      <c r="E34" s="532">
        <f t="shared" ref="E34:E39" ca="1" si="7">ROUND(C34*D34/10000,0)</f>
        <v>0</v>
      </c>
      <c r="F34" s="532">
        <f>SUMIF(修正!A45:A56,G2,修正!C45:C56)</f>
        <v>0.5</v>
      </c>
      <c r="G34" s="532">
        <f t="shared" ca="1" si="6"/>
        <v>4503</v>
      </c>
      <c r="H34" s="532">
        <f t="shared" ref="H34:H39" si="8">D34</f>
        <v>0</v>
      </c>
      <c r="I34" s="532">
        <f t="shared" ref="I34:I39" ca="1" si="9">ROUND(G34*H34/10000,0)</f>
        <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1"/>
      <c r="B35" s="1669" t="s">
        <v>1169</v>
      </c>
      <c r="C35" s="538">
        <f ca="1">ROUND(C5*C19*C20*C24*F35,0)</f>
        <v>12968</v>
      </c>
      <c r="D35" s="1748"/>
      <c r="E35" s="532">
        <f t="shared" ca="1" si="7"/>
        <v>0</v>
      </c>
      <c r="F35" s="532">
        <f>SUMIF(修正!A45:A56,G2,修正!D45:D56)</f>
        <v>0.36</v>
      </c>
      <c r="G35" s="532">
        <f t="shared" ca="1" si="6"/>
        <v>3242</v>
      </c>
      <c r="H35" s="532">
        <f t="shared" si="8"/>
        <v>0</v>
      </c>
      <c r="I35" s="532">
        <f t="shared" ca="1" si="9"/>
        <v>0</v>
      </c>
      <c r="J35" s="1743"/>
      <c r="K35" s="2382"/>
      <c r="L35" s="2382"/>
      <c r="M35" s="2382"/>
      <c r="N35" s="2382"/>
      <c r="O35" s="2382"/>
      <c r="P35" s="2382"/>
      <c r="Q35" s="2382"/>
      <c r="R35" s="2382"/>
      <c r="S35" s="2382"/>
      <c r="T35" s="2382"/>
      <c r="U35" s="2382"/>
      <c r="V35" s="2382"/>
      <c r="W35" s="2382"/>
      <c r="X35" s="2382"/>
      <c r="Y35" s="2382"/>
      <c r="Z35" s="2383"/>
    </row>
    <row r="36" spans="1:37" ht="13.5" thickBot="1">
      <c r="A36" s="1741"/>
      <c r="B36" s="1669" t="s">
        <v>1170</v>
      </c>
      <c r="C36" s="538">
        <f ca="1">ROUND(C5*C19*C20*C24*F36,0)</f>
        <v>10806</v>
      </c>
      <c r="D36" s="1748"/>
      <c r="E36" s="532">
        <f t="shared" ca="1" si="7"/>
        <v>0</v>
      </c>
      <c r="F36" s="532">
        <f>SUMIF(修正!A45:A56,G2,修正!E45:E56)</f>
        <v>0.3</v>
      </c>
      <c r="G36" s="532">
        <f t="shared" ca="1" si="6"/>
        <v>2702</v>
      </c>
      <c r="H36" s="532">
        <f t="shared" si="8"/>
        <v>0</v>
      </c>
      <c r="I36" s="532">
        <f t="shared" ca="1" si="9"/>
        <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1171</v>
      </c>
      <c r="C37" s="532">
        <f ca="1">ROUND(C5*C19*C20*C24*F37,0)</f>
        <v>10806</v>
      </c>
      <c r="D37" s="1748"/>
      <c r="E37" s="532">
        <f t="shared" ca="1" si="7"/>
        <v>0</v>
      </c>
      <c r="F37" s="538">
        <f>SUMIF(修正!A45:A56,G2,修正!F45:F56)</f>
        <v>0.3</v>
      </c>
      <c r="G37" s="532">
        <f t="shared" ca="1" si="6"/>
        <v>2702</v>
      </c>
      <c r="H37" s="532">
        <f t="shared" si="8"/>
        <v>0</v>
      </c>
      <c r="I37" s="532">
        <f t="shared" ca="1" si="9"/>
        <v>0</v>
      </c>
      <c r="J37" s="1743"/>
      <c r="K37" s="2382"/>
      <c r="L37" s="2390" t="s">
        <v>1862</v>
      </c>
      <c r="M37" s="2391"/>
      <c r="N37" s="2382"/>
      <c r="O37" s="2382"/>
      <c r="P37" s="2382"/>
      <c r="Q37" s="2382"/>
      <c r="R37" s="2382"/>
      <c r="S37" s="2382"/>
      <c r="T37" s="2382"/>
      <c r="U37" s="2382"/>
      <c r="V37" s="2382"/>
      <c r="W37" s="2382"/>
      <c r="X37" s="2382"/>
      <c r="Y37" s="2382"/>
      <c r="Z37" s="2383"/>
    </row>
    <row r="38" spans="1:37" ht="12.75">
      <c r="A38" s="1741"/>
      <c r="B38" s="1669" t="s">
        <v>1172</v>
      </c>
      <c r="C38" s="532">
        <f ca="1">ROUND(C5*C19*C20*C24*F38,0)</f>
        <v>10806</v>
      </c>
      <c r="D38" s="1748">
        <f>'数据-汇总表'!G20</f>
        <v>2530.29</v>
      </c>
      <c r="E38" s="532">
        <f t="shared" ca="1" si="7"/>
        <v>2734</v>
      </c>
      <c r="F38" s="538">
        <f>SUMIF(修正!A45:A56,G2,修正!G45:G56)</f>
        <v>0.3</v>
      </c>
      <c r="G38" s="532">
        <f t="shared" ca="1" si="6"/>
        <v>2702</v>
      </c>
      <c r="H38" s="532">
        <f t="shared" si="8"/>
        <v>2530.29</v>
      </c>
      <c r="I38" s="532">
        <f t="shared" ca="1" si="9"/>
        <v>684</v>
      </c>
      <c r="J38" s="1743"/>
      <c r="K38" s="2382"/>
      <c r="L38" s="1763" t="s">
        <v>1846</v>
      </c>
      <c r="M38" s="1764">
        <v>0.25</v>
      </c>
      <c r="N38" s="2382"/>
      <c r="O38" s="2382"/>
      <c r="P38" s="2382"/>
      <c r="Q38" s="2382"/>
      <c r="R38" s="2382"/>
      <c r="S38" s="2382"/>
      <c r="T38" s="2382"/>
      <c r="U38" s="2382"/>
      <c r="V38" s="2382"/>
      <c r="W38" s="2382"/>
      <c r="X38" s="2382"/>
      <c r="Y38" s="2382"/>
      <c r="Z38" s="2383"/>
    </row>
    <row r="39" spans="1:37" ht="13.5" thickBot="1">
      <c r="A39" s="1729"/>
      <c r="B39" s="1744" t="s">
        <v>1173</v>
      </c>
      <c r="C39" s="561">
        <f ca="1">ROUND(C5*C19*C20*C24*F39,0)</f>
        <v>9005</v>
      </c>
      <c r="D39" s="1749"/>
      <c r="E39" s="561">
        <f t="shared" ca="1" si="7"/>
        <v>0</v>
      </c>
      <c r="F39" s="1745">
        <f>SUMIF(修正!A45:A56,G2,修正!H45:H56)</f>
        <v>0.25</v>
      </c>
      <c r="G39" s="561" t="e">
        <f t="shared" si="6"/>
        <v>#DIV/0!</v>
      </c>
      <c r="H39" s="561">
        <f t="shared" si="8"/>
        <v>0</v>
      </c>
      <c r="I39" s="561" t="e">
        <f t="shared" si="9"/>
        <v>#DIV/0!</v>
      </c>
      <c r="J39" s="1746"/>
      <c r="K39" s="2382"/>
      <c r="L39" s="1765" t="s">
        <v>1842</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1782</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1783</v>
      </c>
      <c r="B47" s="1498" t="s">
        <v>1784</v>
      </c>
      <c r="C47" s="1499" t="s">
        <v>1785</v>
      </c>
      <c r="D47" s="1500" t="s">
        <v>1856</v>
      </c>
      <c r="E47" s="1501" t="s">
        <v>1858</v>
      </c>
      <c r="F47" s="2604" t="s">
        <v>2501</v>
      </c>
      <c r="G47" s="1500" t="s">
        <v>1854</v>
      </c>
      <c r="H47" s="2605" t="s">
        <v>2502</v>
      </c>
      <c r="I47" s="1500" t="s">
        <v>1857</v>
      </c>
      <c r="J47" s="945" t="s">
        <v>425</v>
      </c>
      <c r="K47" s="945" t="s">
        <v>426</v>
      </c>
      <c r="L47" s="945" t="s">
        <v>427</v>
      </c>
      <c r="M47" s="945" t="s">
        <v>428</v>
      </c>
      <c r="N47" s="945" t="s">
        <v>429</v>
      </c>
      <c r="AA47" s="2383"/>
      <c r="AB47" s="2383"/>
      <c r="AC47" s="2383"/>
      <c r="AD47" s="2383"/>
      <c r="AE47" s="2383"/>
      <c r="AF47" s="2383"/>
      <c r="AG47" s="2383"/>
      <c r="AH47" s="2383"/>
      <c r="AI47" s="2383"/>
      <c r="AJ47" s="2383"/>
      <c r="AK47" s="2383"/>
    </row>
    <row r="48" spans="1:37" s="2382" customFormat="1" ht="36">
      <c r="A48" s="1497" t="s">
        <v>1786</v>
      </c>
      <c r="B48" s="1502" t="str">
        <f>估价对象房地状况!C4</f>
        <v>估价对象位于XX商圈，周边商业氛围成熟，人流量大，商业繁华度好</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7" t="s">
        <v>92</v>
      </c>
      <c r="B49" s="1506" t="str">
        <f>估价对象房地状况!C18</f>
        <v>估价对象周边道路状况、公共交通通达情况、停车便捷程度，综合评价交通便捷度较好</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f>估价对象房地状况!C19</f>
        <v>0</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1787</v>
      </c>
      <c r="B51" s="3310" t="s">
        <v>3030</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1788</v>
      </c>
      <c r="B52" s="1506">
        <f>估价对象房地状况!C24</f>
        <v>0</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1789</v>
      </c>
      <c r="B53" s="3309" t="s">
        <v>3029</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1790</v>
      </c>
      <c r="B54" s="2599" t="str">
        <f>估价对象房地状况!C21</f>
        <v>估价对象所在区域公共配套设施齐备情况</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1791</v>
      </c>
      <c r="B55" s="1506" t="str">
        <f>估价对象房地状况!C22</f>
        <v>估价对象所在区域基础设施水平</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0" t="s">
        <v>1792</v>
      </c>
      <c r="B56" s="1511" t="str">
        <f>估价对象房地状况!C20</f>
        <v>区域自然环境：；人文环境；综合评价环境状况一般</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1166</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1783</v>
      </c>
      <c r="B58" s="1498"/>
      <c r="C58" s="1499" t="s">
        <v>1785</v>
      </c>
      <c r="D58" s="1500" t="s">
        <v>1856</v>
      </c>
      <c r="E58" s="1501" t="s">
        <v>1858</v>
      </c>
      <c r="F58" s="2604" t="s">
        <v>2298</v>
      </c>
      <c r="G58" s="1500" t="s">
        <v>1854</v>
      </c>
      <c r="H58" s="2605" t="s">
        <v>2502</v>
      </c>
      <c r="I58" s="1500" t="s">
        <v>1857</v>
      </c>
      <c r="J58" s="945" t="s">
        <v>425</v>
      </c>
      <c r="K58" s="945" t="s">
        <v>426</v>
      </c>
      <c r="L58" s="945" t="s">
        <v>427</v>
      </c>
      <c r="M58" s="945" t="s">
        <v>428</v>
      </c>
      <c r="N58" s="945" t="s">
        <v>429</v>
      </c>
      <c r="AA58" s="2383"/>
      <c r="AB58" s="2383"/>
      <c r="AC58" s="2383"/>
      <c r="AD58" s="2383"/>
      <c r="AE58" s="2383"/>
      <c r="AF58" s="2383"/>
      <c r="AG58" s="2383"/>
      <c r="AH58" s="2383"/>
      <c r="AI58" s="2383"/>
      <c r="AJ58" s="2383"/>
      <c r="AK58" s="2383"/>
    </row>
    <row r="59" spans="1:37" s="2382" customFormat="1" ht="36">
      <c r="A59" s="1497" t="s">
        <v>1097</v>
      </c>
      <c r="B59" s="1502" t="str">
        <f>估价对象房地状况!C17</f>
        <v>估价对象位于XX商圈，周边办公楼项目较多，入驻率高，办公集聚程度较好</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7" t="s">
        <v>92</v>
      </c>
      <c r="B60" s="1506" t="str">
        <f>估价对象房地状况!C18</f>
        <v>估价对象周边道路状况、公共交通通达情况、停车便捷程度，综合评价交通便捷度较好</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109</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1787</v>
      </c>
      <c r="B62" s="3310" t="s">
        <v>3030</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1788</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1789</v>
      </c>
      <c r="B64" s="3309" t="s">
        <v>3029</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1790</v>
      </c>
      <c r="B65" s="2599" t="str">
        <f>估价对象房地状况!C21</f>
        <v>估价对象所在区域公共配套设施齐备情况</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1791</v>
      </c>
      <c r="B66" s="2599" t="str">
        <f>估价对象房地状况!C22</f>
        <v>估价对象所在区域基础设施水平</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0" t="s">
        <v>1792</v>
      </c>
      <c r="B67" s="1515" t="str">
        <f>估价对象房地状况!C20</f>
        <v>区域自然环境：；人文环境；综合评价环境状况一般</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981</v>
      </c>
      <c r="B68" s="1492">
        <f>1+E70</f>
        <v>1.0805</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1783</v>
      </c>
      <c r="B69" s="1498"/>
      <c r="C69" s="1499" t="s">
        <v>1785</v>
      </c>
      <c r="D69" s="1500" t="s">
        <v>1856</v>
      </c>
      <c r="E69" s="1501" t="s">
        <v>1858</v>
      </c>
      <c r="F69" s="2604" t="s">
        <v>2298</v>
      </c>
      <c r="G69" s="1500" t="s">
        <v>1854</v>
      </c>
      <c r="H69" s="2605" t="s">
        <v>2502</v>
      </c>
      <c r="I69" s="1500" t="s">
        <v>1857</v>
      </c>
      <c r="J69" s="945" t="s">
        <v>425</v>
      </c>
      <c r="K69" s="945" t="s">
        <v>426</v>
      </c>
      <c r="L69" s="945" t="s">
        <v>427</v>
      </c>
      <c r="M69" s="945" t="s">
        <v>428</v>
      </c>
      <c r="N69" s="945" t="s">
        <v>429</v>
      </c>
      <c r="AA69" s="2383"/>
      <c r="AB69" s="2383"/>
      <c r="AC69" s="2383"/>
      <c r="AD69" s="2383"/>
      <c r="AE69" s="2383"/>
      <c r="AF69" s="2383"/>
      <c r="AG69" s="2383"/>
      <c r="AH69" s="2383"/>
      <c r="AI69" s="2383"/>
      <c r="AJ69" s="2383"/>
      <c r="AK69" s="2383"/>
    </row>
    <row r="70" spans="1:37" s="2382" customFormat="1" ht="48">
      <c r="A70" s="1497" t="s">
        <v>110</v>
      </c>
      <c r="B70" s="1502" t="str">
        <f>估价对象房地状况!C15</f>
        <v>估价对象周边居住用地比例、居住小区规模和社区发展完善程度，综合评价居住社区成熟度一般</v>
      </c>
      <c r="C70" s="1487" t="s">
        <v>3109</v>
      </c>
      <c r="D70" s="2603">
        <f t="shared" ref="D70:D78" si="20">SUMIF($J$69:$N$69,C70,J70:N70)</f>
        <v>1.4E-2</v>
      </c>
      <c r="E70" s="1504">
        <f>ROUND(SUM(D70:D78),4)</f>
        <v>8.0500000000000002E-2</v>
      </c>
      <c r="F70" s="1505">
        <f>IF(E2="住宅",SUMIF(L1:L12,G2,N1:N12),"——")</f>
        <v>0.1</v>
      </c>
      <c r="G70" s="2601">
        <v>7.0000000000000001E-3</v>
      </c>
      <c r="H70" s="2619">
        <f t="shared" ref="H70:H78" si="21">IFERROR(ROUNDDOWN($F$70*I70/2,4),"——")</f>
        <v>7.0000000000000001E-3</v>
      </c>
      <c r="I70" s="1503">
        <v>0.14000000000000001</v>
      </c>
      <c r="J70" s="2602">
        <f t="shared" ref="J70:J78" si="22">K70+$G70</f>
        <v>1.4E-2</v>
      </c>
      <c r="K70" s="2602">
        <f t="shared" ref="K70:K78" si="23">$L70+$G70</f>
        <v>7.0000000000000001E-3</v>
      </c>
      <c r="L70" s="2602">
        <v>0</v>
      </c>
      <c r="M70" s="2602">
        <f t="shared" ref="M70:N78" si="24">L70-$G70</f>
        <v>-7.0000000000000001E-3</v>
      </c>
      <c r="N70" s="2602">
        <f t="shared" si="24"/>
        <v>-1.4E-2</v>
      </c>
      <c r="AA70" s="2383"/>
      <c r="AB70" s="2383"/>
      <c r="AC70" s="2383"/>
      <c r="AD70" s="2383"/>
      <c r="AE70" s="2383"/>
      <c r="AF70" s="2383"/>
      <c r="AG70" s="2383"/>
      <c r="AH70" s="2383"/>
      <c r="AI70" s="2383"/>
      <c r="AJ70" s="2383"/>
      <c r="AK70" s="2383"/>
    </row>
    <row r="71" spans="1:37" s="2382" customFormat="1" ht="48">
      <c r="A71" s="1497" t="s">
        <v>92</v>
      </c>
      <c r="B71" s="1506" t="str">
        <f>估价对象房地状况!C18</f>
        <v>估价对象周边道路状况、公共交通通达情况、停车便捷程度，综合评价交通便捷度较好</v>
      </c>
      <c r="C71" s="1487" t="s">
        <v>3109</v>
      </c>
      <c r="D71" s="2603">
        <f t="shared" si="20"/>
        <v>0.03</v>
      </c>
      <c r="E71" s="1516"/>
      <c r="F71" s="1505"/>
      <c r="G71" s="2601">
        <v>1.4999999999999999E-2</v>
      </c>
      <c r="H71" s="2619">
        <f t="shared" si="21"/>
        <v>1.4999999999999999E-2</v>
      </c>
      <c r="I71" s="1503">
        <v>0.3</v>
      </c>
      <c r="J71" s="2602">
        <f t="shared" si="22"/>
        <v>0.03</v>
      </c>
      <c r="K71" s="2602">
        <f t="shared" si="23"/>
        <v>1.4999999999999999E-2</v>
      </c>
      <c r="L71" s="2602">
        <v>0</v>
      </c>
      <c r="M71" s="2602">
        <f t="shared" si="24"/>
        <v>-1.4999999999999999E-2</v>
      </c>
      <c r="N71" s="2602">
        <f t="shared" si="24"/>
        <v>-0.03</v>
      </c>
      <c r="AA71" s="2383"/>
      <c r="AB71" s="2383"/>
      <c r="AC71" s="2383"/>
      <c r="AD71" s="2383"/>
      <c r="AE71" s="2383"/>
      <c r="AF71" s="2383"/>
      <c r="AG71" s="2383"/>
      <c r="AH71" s="2383"/>
      <c r="AI71" s="2383"/>
      <c r="AJ71" s="2383"/>
      <c r="AK71" s="2383"/>
    </row>
    <row r="72" spans="1:37" s="2382" customFormat="1" ht="24">
      <c r="A72" s="1497" t="s">
        <v>109</v>
      </c>
      <c r="B72" s="1506">
        <f>估价对象房地状况!C19</f>
        <v>0</v>
      </c>
      <c r="C72" s="1487" t="s">
        <v>3108</v>
      </c>
      <c r="D72" s="2603">
        <f t="shared" si="20"/>
        <v>4.0000000000000001E-3</v>
      </c>
      <c r="E72" s="1516"/>
      <c r="F72" s="1505"/>
      <c r="G72" s="2601">
        <v>4.0000000000000001E-3</v>
      </c>
      <c r="H72" s="2619">
        <f t="shared" si="21"/>
        <v>4.0000000000000001E-3</v>
      </c>
      <c r="I72" s="1503">
        <v>0.08</v>
      </c>
      <c r="J72" s="2602">
        <f t="shared" si="22"/>
        <v>8.0000000000000002E-3</v>
      </c>
      <c r="K72" s="2602">
        <f t="shared" si="23"/>
        <v>4.0000000000000001E-3</v>
      </c>
      <c r="L72" s="2602">
        <v>0</v>
      </c>
      <c r="M72" s="2602">
        <f t="shared" si="24"/>
        <v>-4.0000000000000001E-3</v>
      </c>
      <c r="N72" s="2602">
        <f t="shared" si="24"/>
        <v>-8.0000000000000002E-3</v>
      </c>
      <c r="AA72" s="2383"/>
      <c r="AB72" s="2383"/>
      <c r="AC72" s="2383"/>
      <c r="AD72" s="2383"/>
      <c r="AE72" s="2383"/>
      <c r="AF72" s="2383"/>
      <c r="AG72" s="2383"/>
      <c r="AH72" s="2383"/>
      <c r="AI72" s="2383"/>
      <c r="AJ72" s="2383"/>
      <c r="AK72" s="2383"/>
    </row>
    <row r="73" spans="1:37" s="2382" customFormat="1" ht="14.25">
      <c r="A73" s="1497" t="s">
        <v>1793</v>
      </c>
      <c r="B73" s="1506">
        <f>估价对象房地状况!C24</f>
        <v>0</v>
      </c>
      <c r="C73" s="1487" t="s">
        <v>3108</v>
      </c>
      <c r="D73" s="2603">
        <f t="shared" si="20"/>
        <v>2E-3</v>
      </c>
      <c r="E73" s="1516"/>
      <c r="F73" s="1505"/>
      <c r="G73" s="2601">
        <v>2E-3</v>
      </c>
      <c r="H73" s="2619">
        <f t="shared" si="21"/>
        <v>2E-3</v>
      </c>
      <c r="I73" s="1503">
        <v>0.04</v>
      </c>
      <c r="J73" s="2602">
        <f t="shared" si="22"/>
        <v>4.0000000000000001E-3</v>
      </c>
      <c r="K73" s="2602">
        <f t="shared" si="23"/>
        <v>2E-3</v>
      </c>
      <c r="L73" s="2602">
        <v>0</v>
      </c>
      <c r="M73" s="2602">
        <f t="shared" si="24"/>
        <v>-2E-3</v>
      </c>
      <c r="N73" s="2602">
        <f t="shared" si="24"/>
        <v>-4.0000000000000001E-3</v>
      </c>
      <c r="AA73" s="2383"/>
      <c r="AB73" s="2383"/>
      <c r="AC73" s="2383"/>
      <c r="AD73" s="2383"/>
      <c r="AE73" s="2383"/>
      <c r="AF73" s="2383"/>
      <c r="AG73" s="2383"/>
      <c r="AH73" s="2383"/>
      <c r="AI73" s="2383"/>
      <c r="AJ73" s="2383"/>
      <c r="AK73" s="2383"/>
    </row>
    <row r="74" spans="1:37" s="2382" customFormat="1" ht="24">
      <c r="A74" s="1497" t="s">
        <v>1790</v>
      </c>
      <c r="B74" s="2599" t="str">
        <f>估价对象房地状况!C21</f>
        <v>估价对象所在区域公共配套设施齐备情况</v>
      </c>
      <c r="C74" s="1487" t="s">
        <v>3109</v>
      </c>
      <c r="D74" s="2603">
        <f t="shared" si="20"/>
        <v>8.0000000000000002E-3</v>
      </c>
      <c r="E74" s="1516"/>
      <c r="F74" s="1505"/>
      <c r="G74" s="2601">
        <v>4.0000000000000001E-3</v>
      </c>
      <c r="H74" s="2619">
        <f t="shared" si="21"/>
        <v>4.0000000000000001E-3</v>
      </c>
      <c r="I74" s="1503">
        <v>0.08</v>
      </c>
      <c r="J74" s="2602">
        <f t="shared" si="22"/>
        <v>8.0000000000000002E-3</v>
      </c>
      <c r="K74" s="2602">
        <f t="shared" si="23"/>
        <v>4.0000000000000001E-3</v>
      </c>
      <c r="L74" s="2602">
        <v>0</v>
      </c>
      <c r="M74" s="2602">
        <f t="shared" si="24"/>
        <v>-4.0000000000000001E-3</v>
      </c>
      <c r="N74" s="2602">
        <f t="shared" si="24"/>
        <v>-8.0000000000000002E-3</v>
      </c>
      <c r="AA74" s="2383"/>
      <c r="AB74" s="2383"/>
      <c r="AC74" s="2383"/>
      <c r="AD74" s="2383"/>
      <c r="AE74" s="2383"/>
      <c r="AF74" s="2383"/>
      <c r="AG74" s="2383"/>
      <c r="AH74" s="2383"/>
      <c r="AI74" s="2383"/>
      <c r="AJ74" s="2383"/>
      <c r="AK74" s="2383"/>
    </row>
    <row r="75" spans="1:37" s="2382" customFormat="1" ht="24">
      <c r="A75" s="1497" t="s">
        <v>1791</v>
      </c>
      <c r="B75" s="2599" t="str">
        <f>估价对象房地状况!C22</f>
        <v>估价对象所在区域基础设施水平</v>
      </c>
      <c r="C75" s="1487" t="s">
        <v>3108</v>
      </c>
      <c r="D75" s="2603">
        <f t="shared" si="20"/>
        <v>6.0000000000000001E-3</v>
      </c>
      <c r="E75" s="1516"/>
      <c r="F75" s="1505"/>
      <c r="G75" s="2601">
        <v>6.0000000000000001E-3</v>
      </c>
      <c r="H75" s="2619">
        <f t="shared" si="21"/>
        <v>6.0000000000000001E-3</v>
      </c>
      <c r="I75" s="1503">
        <v>0.12</v>
      </c>
      <c r="J75" s="2602">
        <f t="shared" si="22"/>
        <v>1.2E-2</v>
      </c>
      <c r="K75" s="2602">
        <f t="shared" si="23"/>
        <v>6.0000000000000001E-3</v>
      </c>
      <c r="L75" s="2602">
        <v>0</v>
      </c>
      <c r="M75" s="2602">
        <f t="shared" si="24"/>
        <v>-6.0000000000000001E-3</v>
      </c>
      <c r="N75" s="2602">
        <f t="shared" si="24"/>
        <v>-1.2E-2</v>
      </c>
      <c r="AA75" s="2383"/>
      <c r="AB75" s="2383"/>
      <c r="AC75" s="2383"/>
      <c r="AD75" s="2383"/>
      <c r="AE75" s="2383"/>
      <c r="AF75" s="2383"/>
      <c r="AG75" s="2383"/>
      <c r="AH75" s="2383"/>
      <c r="AI75" s="2383"/>
      <c r="AJ75" s="2383"/>
      <c r="AK75" s="2383"/>
    </row>
    <row r="76" spans="1:37" s="2386" customFormat="1" ht="24">
      <c r="A76" s="1497" t="s">
        <v>1789</v>
      </c>
      <c r="B76" s="3309" t="s">
        <v>3029</v>
      </c>
      <c r="C76" s="1487" t="s">
        <v>3109</v>
      </c>
      <c r="D76" s="2603">
        <f t="shared" si="20"/>
        <v>5.0000000000000001E-3</v>
      </c>
      <c r="E76" s="1516"/>
      <c r="F76" s="1505"/>
      <c r="G76" s="2601">
        <v>2.5000000000000001E-3</v>
      </c>
      <c r="H76" s="2619">
        <f t="shared" si="21"/>
        <v>2.5000000000000001E-3</v>
      </c>
      <c r="I76" s="1503">
        <v>0.05</v>
      </c>
      <c r="J76" s="2602">
        <f t="shared" si="22"/>
        <v>5.0000000000000001E-3</v>
      </c>
      <c r="K76" s="2602">
        <f t="shared" si="23"/>
        <v>2.5000000000000001E-3</v>
      </c>
      <c r="L76" s="2602">
        <v>0</v>
      </c>
      <c r="M76" s="2602">
        <f t="shared" si="24"/>
        <v>-2.5000000000000001E-3</v>
      </c>
      <c r="N76" s="2602">
        <f t="shared" si="24"/>
        <v>-5.0000000000000001E-3</v>
      </c>
      <c r="AA76" s="2385"/>
      <c r="AB76" s="2383"/>
      <c r="AC76" s="2383"/>
      <c r="AD76" s="2383"/>
      <c r="AE76" s="2383"/>
      <c r="AF76" s="2383"/>
      <c r="AG76" s="2383"/>
      <c r="AH76" s="2385"/>
      <c r="AI76" s="2385"/>
      <c r="AJ76" s="2385"/>
      <c r="AK76" s="2385"/>
    </row>
    <row r="77" spans="1:37" ht="36">
      <c r="A77" s="1497" t="s">
        <v>1792</v>
      </c>
      <c r="B77" s="1502" t="str">
        <f>估价对象房地状况!C20</f>
        <v>区域自然环境：；人文环境；综合评价环境状况一般</v>
      </c>
      <c r="C77" s="1487" t="s">
        <v>3108</v>
      </c>
      <c r="D77" s="2603">
        <f t="shared" si="20"/>
        <v>7.4999999999999997E-3</v>
      </c>
      <c r="E77" s="1516"/>
      <c r="F77" s="1505"/>
      <c r="G77" s="2601">
        <v>7.4999999999999997E-3</v>
      </c>
      <c r="H77" s="2619">
        <f t="shared" si="21"/>
        <v>7.4999999999999997E-3</v>
      </c>
      <c r="I77" s="1503">
        <v>0.15</v>
      </c>
      <c r="J77" s="2602">
        <f t="shared" si="22"/>
        <v>1.4999999999999999E-2</v>
      </c>
      <c r="K77" s="2602">
        <f t="shared" si="23"/>
        <v>7.4999999999999997E-3</v>
      </c>
      <c r="L77" s="2602">
        <v>0</v>
      </c>
      <c r="M77" s="2602">
        <f t="shared" si="24"/>
        <v>-7.4999999999999997E-3</v>
      </c>
      <c r="N77" s="2602">
        <f t="shared" si="24"/>
        <v>-1.4999999999999999E-2</v>
      </c>
      <c r="Z77" s="1627"/>
      <c r="AA77" s="1626"/>
      <c r="AG77" s="1625"/>
      <c r="AK77" s="1626"/>
    </row>
    <row r="78" spans="1:37" ht="24.75" thickBot="1">
      <c r="A78" s="1510" t="s">
        <v>1794</v>
      </c>
      <c r="B78" s="3308"/>
      <c r="C78" s="1487" t="s">
        <v>3109</v>
      </c>
      <c r="D78" s="2603">
        <f t="shared" si="20"/>
        <v>4.0000000000000001E-3</v>
      </c>
      <c r="E78" s="1517"/>
      <c r="F78" s="1505"/>
      <c r="G78" s="2601">
        <v>2E-3</v>
      </c>
      <c r="H78" s="2619">
        <f t="shared" si="21"/>
        <v>2E-3</v>
      </c>
      <c r="I78" s="1512">
        <v>0.04</v>
      </c>
      <c r="J78" s="2602">
        <f t="shared" si="22"/>
        <v>4.0000000000000001E-3</v>
      </c>
      <c r="K78" s="2602">
        <f t="shared" si="23"/>
        <v>2E-3</v>
      </c>
      <c r="L78" s="2602">
        <v>0</v>
      </c>
      <c r="M78" s="2602">
        <f t="shared" si="24"/>
        <v>-2E-3</v>
      </c>
      <c r="N78" s="2602">
        <f t="shared" si="24"/>
        <v>-4.0000000000000001E-3</v>
      </c>
      <c r="Z78" s="1627"/>
      <c r="AA78" s="1626"/>
      <c r="AG78" s="1625"/>
      <c r="AK78" s="1626"/>
    </row>
    <row r="79" spans="1:37" ht="15">
      <c r="A79" s="1491" t="s">
        <v>1108</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1783</v>
      </c>
      <c r="B80" s="1498"/>
      <c r="C80" s="1499" t="s">
        <v>1785</v>
      </c>
      <c r="D80" s="1500" t="s">
        <v>1856</v>
      </c>
      <c r="E80" s="1501" t="s">
        <v>1858</v>
      </c>
      <c r="F80" s="2604" t="s">
        <v>2298</v>
      </c>
      <c r="G80" s="1500" t="s">
        <v>1854</v>
      </c>
      <c r="H80" s="2605" t="s">
        <v>2502</v>
      </c>
      <c r="I80" s="1500" t="s">
        <v>1857</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1793</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24">
      <c r="A85" s="1497" t="s">
        <v>1790</v>
      </c>
      <c r="B85" s="2599" t="str">
        <f>估价对象房地状况!G19</f>
        <v>估价对象所在区域公共配套设施齐备情况</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1791</v>
      </c>
      <c r="B86" s="2599" t="str">
        <f>估价对象房地状况!G20</f>
        <v>估价对象所在区域基础设施水平</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1789</v>
      </c>
      <c r="B87" s="3309" t="s">
        <v>2500</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1795</v>
      </c>
      <c r="B88" s="2600" t="str">
        <f>估价对象房地状况!G18</f>
        <v>该园区内是否有污染型企业，绿化情况，卫生条件，整体环境状况判断</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3732" t="s">
        <v>1764</v>
      </c>
      <c r="B90" s="3732"/>
      <c r="C90" s="3732"/>
      <c r="D90" s="3732"/>
      <c r="E90" s="3732"/>
      <c r="F90" s="3732"/>
      <c r="G90" s="3732"/>
      <c r="H90" s="3732"/>
      <c r="I90" s="3732"/>
      <c r="J90" s="3732"/>
      <c r="K90" s="2608"/>
      <c r="L90" s="2608"/>
      <c r="M90" s="2608"/>
      <c r="N90" s="2608"/>
    </row>
    <row r="91" spans="1:37">
      <c r="A91" s="3716" t="s">
        <v>68</v>
      </c>
      <c r="B91" s="3716" t="s">
        <v>1765</v>
      </c>
      <c r="C91" s="1586" t="s">
        <v>1766</v>
      </c>
      <c r="D91" s="1587"/>
      <c r="E91" s="1587"/>
      <c r="F91" s="1587"/>
      <c r="G91" s="1587"/>
      <c r="H91" s="1587"/>
      <c r="I91" s="1587"/>
      <c r="J91" s="1588"/>
      <c r="K91" s="1576"/>
      <c r="L91" s="1576"/>
      <c r="M91" s="1576"/>
      <c r="N91" s="1576"/>
    </row>
    <row r="92" spans="1:37">
      <c r="A92" s="3716"/>
      <c r="B92" s="3716"/>
      <c r="C92" s="2607" t="s">
        <v>165</v>
      </c>
      <c r="D92" s="2607" t="s">
        <v>166</v>
      </c>
      <c r="E92" s="2607" t="s">
        <v>161</v>
      </c>
      <c r="F92" s="2607" t="s">
        <v>162</v>
      </c>
      <c r="G92" s="2607" t="s">
        <v>163</v>
      </c>
      <c r="H92" s="2607" t="s">
        <v>164</v>
      </c>
      <c r="I92" s="2607" t="s">
        <v>1181</v>
      </c>
      <c r="J92" s="2607" t="s">
        <v>1182</v>
      </c>
      <c r="K92" s="2607" t="s">
        <v>1183</v>
      </c>
      <c r="L92" s="2607" t="s">
        <v>1184</v>
      </c>
      <c r="M92" s="2607" t="s">
        <v>1185</v>
      </c>
      <c r="N92" s="2607" t="s">
        <v>1186</v>
      </c>
    </row>
    <row r="93" spans="1:37">
      <c r="A93" s="3734" t="s">
        <v>1767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35"/>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35"/>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35"/>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35"/>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35"/>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35"/>
      <c r="B99" s="1589" t="s">
        <v>1768</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36"/>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34" t="s">
        <v>1769</v>
      </c>
      <c r="B101" s="1593" t="s">
        <v>93</v>
      </c>
      <c r="C101" s="1594">
        <f>$G$3</f>
        <v>2.5</v>
      </c>
      <c r="D101" s="1594">
        <f t="shared" ref="D101:N101" si="31">$G$3</f>
        <v>2.5</v>
      </c>
      <c r="E101" s="1594">
        <f t="shared" si="31"/>
        <v>2.5</v>
      </c>
      <c r="F101" s="1594">
        <f t="shared" si="31"/>
        <v>2.5</v>
      </c>
      <c r="G101" s="1594">
        <f t="shared" si="31"/>
        <v>2.5</v>
      </c>
      <c r="H101" s="1594">
        <f t="shared" si="31"/>
        <v>2.5</v>
      </c>
      <c r="I101" s="1594">
        <f t="shared" si="31"/>
        <v>2.5</v>
      </c>
      <c r="J101" s="1594">
        <f t="shared" si="31"/>
        <v>2.5</v>
      </c>
      <c r="K101" s="1594">
        <f t="shared" si="31"/>
        <v>2.5</v>
      </c>
      <c r="L101" s="1594">
        <f t="shared" si="31"/>
        <v>2.5</v>
      </c>
      <c r="M101" s="1594">
        <f t="shared" si="31"/>
        <v>2.5</v>
      </c>
      <c r="N101" s="1594">
        <f t="shared" si="31"/>
        <v>2.5</v>
      </c>
    </row>
    <row r="102" spans="1:14">
      <c r="A102" s="3735"/>
      <c r="B102" s="1589">
        <v>1</v>
      </c>
      <c r="C102" s="1590">
        <f>1.9362/C101</f>
        <v>0.77447999999999995</v>
      </c>
      <c r="D102" s="1590">
        <f>1.9362/D101</f>
        <v>0.77447999999999995</v>
      </c>
      <c r="E102" s="1590">
        <f>1.8629/E101</f>
        <v>0.74516000000000004</v>
      </c>
      <c r="F102" s="1590">
        <f>1.8629/F101</f>
        <v>0.74516000000000004</v>
      </c>
      <c r="G102" s="1590">
        <f>1.8629/G101</f>
        <v>0.74516000000000004</v>
      </c>
      <c r="H102" s="1590">
        <f>1.8629/H101</f>
        <v>0.74516000000000004</v>
      </c>
      <c r="I102" s="1590">
        <f>1.8629/I101</f>
        <v>0.74516000000000004</v>
      </c>
      <c r="J102" s="1590">
        <f>1.942/J101</f>
        <v>0.77679999999999993</v>
      </c>
      <c r="K102" s="1590">
        <f>1.942/K101</f>
        <v>0.77679999999999993</v>
      </c>
      <c r="L102" s="1590">
        <f>1.942/L101</f>
        <v>0.77679999999999993</v>
      </c>
      <c r="M102" s="1590">
        <f>1.942/M101</f>
        <v>0.77679999999999993</v>
      </c>
      <c r="N102" s="1590">
        <f>1.942/N101</f>
        <v>0.77679999999999993</v>
      </c>
    </row>
    <row r="103" spans="1:14">
      <c r="A103" s="3735"/>
      <c r="B103" s="1589">
        <v>2</v>
      </c>
      <c r="C103" s="1590">
        <f>1.4198/C101</f>
        <v>0.56791999999999998</v>
      </c>
      <c r="D103" s="1590">
        <f>1.4198/D101</f>
        <v>0.56791999999999998</v>
      </c>
      <c r="E103" s="1590">
        <f>1.3372/E101</f>
        <v>0.53488000000000002</v>
      </c>
      <c r="F103" s="1590">
        <f>1.3372/F101</f>
        <v>0.53488000000000002</v>
      </c>
      <c r="G103" s="1590">
        <f>1.3372/G101</f>
        <v>0.53488000000000002</v>
      </c>
      <c r="H103" s="1590">
        <f>1.3372/H101</f>
        <v>0.53488000000000002</v>
      </c>
      <c r="I103" s="1590">
        <f>1.3372/I101</f>
        <v>0.53488000000000002</v>
      </c>
      <c r="J103" s="1590">
        <f>1.2799/J101</f>
        <v>0.51195999999999997</v>
      </c>
      <c r="K103" s="1590">
        <f>1.2799/K101</f>
        <v>0.51195999999999997</v>
      </c>
      <c r="L103" s="1590">
        <f>1.2799/L101</f>
        <v>0.51195999999999997</v>
      </c>
      <c r="M103" s="1590">
        <f>1.2799/M101</f>
        <v>0.51195999999999997</v>
      </c>
      <c r="N103" s="1590">
        <f>1.2799/N101</f>
        <v>0.51195999999999997</v>
      </c>
    </row>
    <row r="104" spans="1:14">
      <c r="A104" s="3735"/>
      <c r="B104" s="1589">
        <v>3</v>
      </c>
      <c r="C104" s="1590">
        <f>1.1594/C101</f>
        <v>0.46376000000000001</v>
      </c>
      <c r="D104" s="1590">
        <f>1.1594/D101</f>
        <v>0.46376000000000001</v>
      </c>
      <c r="E104" s="1590">
        <f>1.0788/E101</f>
        <v>0.43152000000000001</v>
      </c>
      <c r="F104" s="1590">
        <f>1.0788/F101</f>
        <v>0.43152000000000001</v>
      </c>
      <c r="G104" s="1590">
        <f>1.0788/G101</f>
        <v>0.43152000000000001</v>
      </c>
      <c r="H104" s="1590">
        <f>1.0788/H101</f>
        <v>0.43152000000000001</v>
      </c>
      <c r="I104" s="1590">
        <f>1.0788/I101</f>
        <v>0.43152000000000001</v>
      </c>
      <c r="J104" s="1590">
        <f>1.0072/J101</f>
        <v>0.40288000000000002</v>
      </c>
      <c r="K104" s="1590">
        <f>1.0072/K101</f>
        <v>0.40288000000000002</v>
      </c>
      <c r="L104" s="1590">
        <f>1.0072/L101</f>
        <v>0.40288000000000002</v>
      </c>
      <c r="M104" s="1590">
        <f>1.0072/M101</f>
        <v>0.40288000000000002</v>
      </c>
      <c r="N104" s="1590">
        <f>1.0072/N101</f>
        <v>0.40288000000000002</v>
      </c>
    </row>
    <row r="105" spans="1:14">
      <c r="A105" s="3735"/>
      <c r="B105" s="1589">
        <v>4</v>
      </c>
      <c r="C105" s="1590">
        <f>0.9622/C101</f>
        <v>0.38488</v>
      </c>
      <c r="D105" s="1590">
        <f>0.9622/D101</f>
        <v>0.38488</v>
      </c>
      <c r="E105" s="1590">
        <f>0.8656/E101</f>
        <v>0.34623999999999999</v>
      </c>
      <c r="F105" s="1590">
        <f>0.8656/F101</f>
        <v>0.34623999999999999</v>
      </c>
      <c r="G105" s="1590">
        <f>0.8656/G101</f>
        <v>0.34623999999999999</v>
      </c>
      <c r="H105" s="1590">
        <f>0.8656/H101</f>
        <v>0.34623999999999999</v>
      </c>
      <c r="I105" s="1590">
        <f>0.8656/I101</f>
        <v>0.34623999999999999</v>
      </c>
      <c r="J105" s="1590">
        <f>0.7525/J101</f>
        <v>0.30099999999999999</v>
      </c>
      <c r="K105" s="1590">
        <f>0.7525/K101</f>
        <v>0.30099999999999999</v>
      </c>
      <c r="L105" s="1590">
        <f>0.7525/L101</f>
        <v>0.30099999999999999</v>
      </c>
      <c r="M105" s="1590">
        <f>0.7525/M101</f>
        <v>0.30099999999999999</v>
      </c>
      <c r="N105" s="1590">
        <f>0.7525/N101</f>
        <v>0.30099999999999999</v>
      </c>
    </row>
    <row r="106" spans="1:14">
      <c r="A106" s="3735"/>
      <c r="B106" s="1589">
        <v>5</v>
      </c>
      <c r="C106" s="1590">
        <f>0.8417/C101</f>
        <v>0.33667999999999998</v>
      </c>
      <c r="D106" s="1590">
        <f>0.8417/D101</f>
        <v>0.33667999999999998</v>
      </c>
      <c r="E106" s="1590">
        <f>0.7371/E101</f>
        <v>0.29483999999999999</v>
      </c>
      <c r="F106" s="1590">
        <f>0.7371/F101</f>
        <v>0.29483999999999999</v>
      </c>
      <c r="G106" s="1590">
        <f>0.7371/G101</f>
        <v>0.29483999999999999</v>
      </c>
      <c r="H106" s="1590">
        <f>0.7371/H101</f>
        <v>0.29483999999999999</v>
      </c>
      <c r="I106" s="1590">
        <f>0.7371/I101</f>
        <v>0.29483999999999999</v>
      </c>
      <c r="J106" s="1590">
        <f>0.5659/J101</f>
        <v>0.22635999999999998</v>
      </c>
      <c r="K106" s="1590">
        <f>0.5659/K101</f>
        <v>0.22635999999999998</v>
      </c>
      <c r="L106" s="1590">
        <f>0.5659/L101</f>
        <v>0.22635999999999998</v>
      </c>
      <c r="M106" s="1590">
        <f>0.5659/M101</f>
        <v>0.22635999999999998</v>
      </c>
      <c r="N106" s="1590">
        <f>0.5659/N101</f>
        <v>0.22635999999999998</v>
      </c>
    </row>
    <row r="107" spans="1:14">
      <c r="A107" s="3735"/>
      <c r="B107" s="1589">
        <v>6</v>
      </c>
      <c r="C107" s="1590">
        <f>0.7608/C101</f>
        <v>0.30432000000000003</v>
      </c>
      <c r="D107" s="1590">
        <f>0.7608/D101</f>
        <v>0.30432000000000003</v>
      </c>
      <c r="E107" s="1590">
        <f>0.6482/E101</f>
        <v>0.25928000000000001</v>
      </c>
      <c r="F107" s="1590">
        <f>0.6482/F101</f>
        <v>0.25928000000000001</v>
      </c>
      <c r="G107" s="1590">
        <f>0.6482/G101</f>
        <v>0.25928000000000001</v>
      </c>
      <c r="H107" s="1590">
        <f>0.6482/H101</f>
        <v>0.25928000000000001</v>
      </c>
      <c r="I107" s="1590">
        <f>0.6482/I101</f>
        <v>0.25928000000000001</v>
      </c>
      <c r="J107" s="1590">
        <f>0.4525/J101</f>
        <v>0.18099999999999999</v>
      </c>
      <c r="K107" s="1590">
        <f>0.4525/K101</f>
        <v>0.18099999999999999</v>
      </c>
      <c r="L107" s="1590">
        <f>0.4525/L101</f>
        <v>0.18099999999999999</v>
      </c>
      <c r="M107" s="1590">
        <f>0.4525/M101</f>
        <v>0.18099999999999999</v>
      </c>
      <c r="N107" s="1590">
        <f>0.4525/N101</f>
        <v>0.18099999999999999</v>
      </c>
    </row>
    <row r="108" spans="1:14">
      <c r="A108" s="3735"/>
      <c r="B108" s="3737" t="s">
        <v>1771</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36"/>
      <c r="B109" s="3738"/>
      <c r="C109" s="1592">
        <f>(-0.163*(C108^2)-0.59*C108+7617)*(10^(-4))/C101</f>
        <v>0.30468000000000001</v>
      </c>
      <c r="D109" s="1592">
        <f>(-0.163*(D108^2)-0.59*D108+7617)*(10^(-4))/D101</f>
        <v>0.30468000000000001</v>
      </c>
      <c r="E109" s="1592">
        <f>(-0.161*(E108^2)-7.509*E108+6533)*(10^(-4))/E101</f>
        <v>0.26132</v>
      </c>
      <c r="F109" s="1592">
        <f>(-0.161*(F108^2)-7.509*F108+6533)*(10^(-4))/F101</f>
        <v>0.26132</v>
      </c>
      <c r="G109" s="1592">
        <f>(-0.161*(G108^2)-7.509*G108+6533)*(10^(-4))/G101</f>
        <v>0.26132</v>
      </c>
      <c r="H109" s="1592">
        <f>(-0.161*(H108^2)-7.509*H108+6533)*(10^(-4))/H101</f>
        <v>0.26132</v>
      </c>
      <c r="I109" s="1592">
        <f>(-0.161*(I108^2)-7.509*I108+6533)*(10^(-4))/I101</f>
        <v>0.26132</v>
      </c>
      <c r="J109" s="1592">
        <f>(-0.214*(J108^2)-21.991*J108+4665)*(10^(-4))/J101</f>
        <v>0.18660000000000002</v>
      </c>
      <c r="K109" s="1592">
        <f>(-0.214*(K108^2)-21.991*K108+4665)*(10^(-4))/K101</f>
        <v>0.18660000000000002</v>
      </c>
      <c r="L109" s="1592">
        <f>(-0.214*(L108^2)-21.991*L108+4665)*(10^(-4))/L101</f>
        <v>0.18660000000000002</v>
      </c>
      <c r="M109" s="1592">
        <f>(-0.214*(M108^2)-21.991*M108+4665)*(10^(-4))/M101</f>
        <v>0.18660000000000002</v>
      </c>
      <c r="N109" s="1592">
        <f>(-0.214*(N108^2)-21.991*N108+4665)*(10^(-4))/N101</f>
        <v>0.18660000000000002</v>
      </c>
    </row>
    <row r="110" spans="1:14">
      <c r="A110" s="3733" t="s">
        <v>1772</v>
      </c>
      <c r="B110" s="3733"/>
      <c r="C110" s="3733"/>
      <c r="D110" s="3733"/>
      <c r="E110" s="3733"/>
      <c r="F110" s="3733"/>
      <c r="G110" s="3733"/>
      <c r="H110" s="3733"/>
      <c r="I110" s="3733"/>
      <c r="J110" s="3733"/>
      <c r="K110" s="2606"/>
      <c r="L110" s="2606"/>
      <c r="M110" s="2606"/>
      <c r="N110" s="2606"/>
    </row>
    <row r="112" spans="1:14" ht="12.75" thickBot="1"/>
    <row r="113" spans="1:13" ht="25.5" thickBot="1">
      <c r="A113" s="1602" t="s">
        <v>1774</v>
      </c>
      <c r="B113" s="2609">
        <f>G3</f>
        <v>2.5</v>
      </c>
      <c r="C113" s="1603" t="s">
        <v>1775</v>
      </c>
      <c r="D113" s="1604">
        <f>SUMPRODUCT((A115:A118=F113)*(B114:M114=H113)*B115:M118)</f>
        <v>0.86580000000000001</v>
      </c>
      <c r="E113" s="1605" t="s">
        <v>68</v>
      </c>
      <c r="F113" s="1606" t="str">
        <f>E2</f>
        <v>住宅</v>
      </c>
      <c r="G113" s="1605" t="s">
        <v>1564</v>
      </c>
      <c r="H113" s="1606" t="str">
        <f>G2</f>
        <v>二级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1181</v>
      </c>
      <c r="I114" s="1612" t="s">
        <v>1182</v>
      </c>
      <c r="J114" s="1613" t="s">
        <v>1183</v>
      </c>
      <c r="K114" s="1613" t="s">
        <v>1184</v>
      </c>
      <c r="L114" s="1613" t="s">
        <v>1185</v>
      </c>
      <c r="M114" s="1614" t="s">
        <v>1186</v>
      </c>
    </row>
    <row r="115" spans="1:13" ht="12.75">
      <c r="A115" s="1615" t="s">
        <v>1776</v>
      </c>
      <c r="B115" s="1616">
        <f>ROUND(0.9335-0.0094*B113,4)</f>
        <v>0.91</v>
      </c>
      <c r="C115" s="1616">
        <f>B115</f>
        <v>0.91</v>
      </c>
      <c r="D115" s="1616">
        <f>ROUND(0.8331-0.0109*B113,4)</f>
        <v>0.80589999999999995</v>
      </c>
      <c r="E115" s="1616">
        <f>D115</f>
        <v>0.80589999999999995</v>
      </c>
      <c r="F115" s="1616">
        <f>E115</f>
        <v>0.80589999999999995</v>
      </c>
      <c r="G115" s="1616">
        <f>F115</f>
        <v>0.80589999999999995</v>
      </c>
      <c r="H115" s="1616">
        <f>G115</f>
        <v>0.80589999999999995</v>
      </c>
      <c r="I115" s="1616">
        <f>ROUND(0.689-0.0155*B113,4)</f>
        <v>0.65029999999999999</v>
      </c>
      <c r="J115" s="1616">
        <f t="shared" ref="J115:M118" si="33">I115</f>
        <v>0.65029999999999999</v>
      </c>
      <c r="K115" s="1616">
        <f t="shared" si="33"/>
        <v>0.65029999999999999</v>
      </c>
      <c r="L115" s="1616">
        <f t="shared" si="33"/>
        <v>0.65029999999999999</v>
      </c>
      <c r="M115" s="1617">
        <f t="shared" si="33"/>
        <v>0.65029999999999999</v>
      </c>
    </row>
    <row r="116" spans="1:13" ht="12.75">
      <c r="A116" s="1615" t="s">
        <v>1777</v>
      </c>
      <c r="B116" s="1616">
        <f>ROUND(0.949-0.012*B113,4)</f>
        <v>0.91900000000000004</v>
      </c>
      <c r="C116" s="1616">
        <f>B116</f>
        <v>0.91900000000000004</v>
      </c>
      <c r="D116" s="1616">
        <f>ROUND(0.8567-0.013*B113,4)</f>
        <v>0.82420000000000004</v>
      </c>
      <c r="E116" s="1616">
        <f t="shared" ref="E116:H117" si="34">D116</f>
        <v>0.82420000000000004</v>
      </c>
      <c r="F116" s="1616">
        <f t="shared" si="34"/>
        <v>0.82420000000000004</v>
      </c>
      <c r="G116" s="1616">
        <f t="shared" si="34"/>
        <v>0.82420000000000004</v>
      </c>
      <c r="H116" s="1616">
        <f t="shared" si="34"/>
        <v>0.82420000000000004</v>
      </c>
      <c r="I116" s="1616">
        <f>ROUND(0.7694-0.014*B113,4)</f>
        <v>0.73440000000000005</v>
      </c>
      <c r="J116" s="1616">
        <f t="shared" si="33"/>
        <v>0.73440000000000005</v>
      </c>
      <c r="K116" s="1616">
        <f t="shared" si="33"/>
        <v>0.73440000000000005</v>
      </c>
      <c r="L116" s="1616">
        <f t="shared" si="33"/>
        <v>0.73440000000000005</v>
      </c>
      <c r="M116" s="1617">
        <f t="shared" si="33"/>
        <v>0.73440000000000005</v>
      </c>
    </row>
    <row r="117" spans="1:13" ht="12.75">
      <c r="A117" s="1618" t="s">
        <v>981</v>
      </c>
      <c r="B117" s="1616">
        <f>ROUND(0.8808-0.006*B113,4)</f>
        <v>0.86580000000000001</v>
      </c>
      <c r="C117" s="1616">
        <f>B117</f>
        <v>0.86580000000000001</v>
      </c>
      <c r="D117" s="1616">
        <f>ROUND(0.8748-0.008*B113,4)</f>
        <v>0.8548</v>
      </c>
      <c r="E117" s="1616">
        <f t="shared" si="34"/>
        <v>0.8548</v>
      </c>
      <c r="F117" s="1616">
        <f t="shared" si="34"/>
        <v>0.8548</v>
      </c>
      <c r="G117" s="1616">
        <f t="shared" si="34"/>
        <v>0.8548</v>
      </c>
      <c r="H117" s="1616">
        <f t="shared" si="34"/>
        <v>0.8548</v>
      </c>
      <c r="I117" s="1616">
        <f>ROUND(0.7412-0.0095*B113,4)</f>
        <v>0.71750000000000003</v>
      </c>
      <c r="J117" s="1616">
        <f t="shared" si="33"/>
        <v>0.71750000000000003</v>
      </c>
      <c r="K117" s="1616">
        <f t="shared" si="33"/>
        <v>0.71750000000000003</v>
      </c>
      <c r="L117" s="1616">
        <f t="shared" si="33"/>
        <v>0.71750000000000003</v>
      </c>
      <c r="M117" s="1617">
        <f t="shared" si="33"/>
        <v>0.71750000000000003</v>
      </c>
    </row>
    <row r="118" spans="1:13" ht="13.5" thickBot="1">
      <c r="A118" s="1122" t="s">
        <v>1778</v>
      </c>
      <c r="B118" s="1619">
        <f>ROUND(0.7275-0.01*B113,4)</f>
        <v>0.70250000000000001</v>
      </c>
      <c r="C118" s="1619">
        <f>B118</f>
        <v>0.70250000000000001</v>
      </c>
      <c r="D118" s="1619">
        <f>ROUND(0.7043-0.012*B113,4)</f>
        <v>0.67430000000000001</v>
      </c>
      <c r="E118" s="1619">
        <f>D118</f>
        <v>0.67430000000000001</v>
      </c>
      <c r="F118" s="1619">
        <f>E118</f>
        <v>0.67430000000000001</v>
      </c>
      <c r="G118" s="1619">
        <f>ROUND(0.6299-0.0122*B113,4)</f>
        <v>0.59940000000000004</v>
      </c>
      <c r="H118" s="1619">
        <f>G118</f>
        <v>0.59940000000000004</v>
      </c>
      <c r="I118" s="1619">
        <f>ROUND(0.5667-0.0136*B113,4)</f>
        <v>0.53269999999999995</v>
      </c>
      <c r="J118" s="1619">
        <f t="shared" si="33"/>
        <v>0.53269999999999995</v>
      </c>
      <c r="K118" s="1619">
        <f t="shared" si="33"/>
        <v>0.53269999999999995</v>
      </c>
      <c r="L118" s="1619">
        <f t="shared" si="33"/>
        <v>0.53269999999999995</v>
      </c>
      <c r="M118" s="1620">
        <f t="shared" si="33"/>
        <v>0.53269999999999995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44" t="s">
        <v>2717</v>
      </c>
      <c r="C1" s="3744"/>
      <c r="D1" s="3744"/>
      <c r="E1" s="3744"/>
      <c r="F1" s="3744"/>
      <c r="G1" s="3743" t="s">
        <v>2718</v>
      </c>
      <c r="H1" s="3743"/>
      <c r="I1" s="3743"/>
      <c r="J1" s="3743"/>
      <c r="K1" s="3743"/>
      <c r="L1" s="3743"/>
      <c r="N1" s="3743" t="s">
        <v>2719</v>
      </c>
      <c r="O1" s="3743"/>
      <c r="P1" s="3743"/>
      <c r="Q1" s="3743"/>
      <c r="R1" s="2903"/>
      <c r="S1" s="3743" t="s">
        <v>2720</v>
      </c>
      <c r="T1" s="3743"/>
      <c r="U1" s="3743"/>
      <c r="V1" s="3743"/>
      <c r="X1" s="3742" t="s">
        <v>2721</v>
      </c>
      <c r="Y1" s="3743"/>
      <c r="Z1" s="3743"/>
      <c r="AA1" s="3743"/>
      <c r="AB1" s="3743"/>
      <c r="AD1" s="3742" t="s">
        <v>2722</v>
      </c>
      <c r="AE1" s="3743"/>
      <c r="AF1" s="3743"/>
      <c r="AG1" s="3743"/>
      <c r="AH1" s="3743"/>
    </row>
    <row r="2" spans="1:34" s="2904" customFormat="1" ht="14.25" thickBot="1">
      <c r="B2" s="2905" t="s">
        <v>2723</v>
      </c>
      <c r="C2" s="2905" t="s">
        <v>2724</v>
      </c>
      <c r="D2" s="2906" t="s">
        <v>2725</v>
      </c>
      <c r="E2" s="2906" t="s">
        <v>2726</v>
      </c>
      <c r="F2" s="2905" t="s">
        <v>2727</v>
      </c>
      <c r="G2" s="2907"/>
      <c r="H2" s="2908"/>
      <c r="I2" s="2908"/>
      <c r="J2" s="2908"/>
      <c r="K2" s="2908"/>
      <c r="L2" s="2908"/>
      <c r="N2" s="2907"/>
      <c r="O2" s="2908"/>
      <c r="P2" s="2908"/>
      <c r="Q2" s="2908"/>
      <c r="R2" s="2909"/>
      <c r="S2" s="2907"/>
      <c r="T2" s="2908"/>
      <c r="U2" s="2908"/>
      <c r="V2" s="2908"/>
      <c r="X2" s="2905" t="s">
        <v>2723</v>
      </c>
      <c r="Y2" s="2905" t="s">
        <v>2724</v>
      </c>
      <c r="Z2" s="2906" t="s">
        <v>2725</v>
      </c>
      <c r="AA2" s="2906" t="s">
        <v>2726</v>
      </c>
      <c r="AB2" s="2905" t="s">
        <v>2727</v>
      </c>
      <c r="AD2" s="2905" t="s">
        <v>2723</v>
      </c>
      <c r="AE2" s="2905" t="s">
        <v>2724</v>
      </c>
      <c r="AF2" s="2906" t="s">
        <v>2725</v>
      </c>
      <c r="AG2" s="2906" t="s">
        <v>2726</v>
      </c>
      <c r="AH2" s="2905" t="s">
        <v>2727</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2728</v>
      </c>
      <c r="B4" s="2919"/>
      <c r="C4" s="2919"/>
      <c r="D4" s="2919"/>
      <c r="E4" s="2919"/>
      <c r="F4" s="2919"/>
      <c r="G4" s="3745">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2729</v>
      </c>
      <c r="B5" s="2919"/>
      <c r="C5" s="2919"/>
      <c r="D5" s="2919"/>
      <c r="E5" s="2919"/>
      <c r="F5" s="2919"/>
      <c r="G5" s="3740"/>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2730</v>
      </c>
      <c r="B6" s="2925">
        <f>B7*(1+N6)</f>
        <v>415.21602360000003</v>
      </c>
      <c r="C6" s="2925">
        <f>C7*(1+O6)</f>
        <v>312.63083488000001</v>
      </c>
      <c r="D6" s="2925">
        <f>C6</f>
        <v>312.63083488000001</v>
      </c>
      <c r="E6" s="3236">
        <f>E7*(1+P6)</f>
        <v>589.96402416000001</v>
      </c>
      <c r="F6" s="3236">
        <f>F7*(1+Q6)</f>
        <v>273.82351752000005</v>
      </c>
      <c r="G6" s="3740"/>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2732</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2731</v>
      </c>
      <c r="B7" s="2939">
        <f>B8*(1+N7)</f>
        <v>405.524</v>
      </c>
      <c r="C7" s="2939">
        <f>C8*(1+O7)</f>
        <v>307.79840000000002</v>
      </c>
      <c r="D7" s="2939">
        <f>C7</f>
        <v>307.79840000000002</v>
      </c>
      <c r="E7" s="2939">
        <f>E8*(1+P7)</f>
        <v>574.67759999999998</v>
      </c>
      <c r="F7" s="2939">
        <f>F8*(1+Q7)</f>
        <v>270.20280000000002</v>
      </c>
      <c r="G7" s="3741"/>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1164</v>
      </c>
      <c r="B8" s="2931">
        <v>392</v>
      </c>
      <c r="C8" s="2931">
        <v>302</v>
      </c>
      <c r="D8" s="2931">
        <f>C8</f>
        <v>302</v>
      </c>
      <c r="E8" s="2931">
        <v>553</v>
      </c>
      <c r="F8" s="2932">
        <v>266</v>
      </c>
      <c r="G8" s="3745">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1163</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40"/>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1153</v>
      </c>
      <c r="B10" s="2939">
        <f t="shared" si="8"/>
        <v>360.06949782209392</v>
      </c>
      <c r="C10" s="2939">
        <f t="shared" si="8"/>
        <v>289.84672674747821</v>
      </c>
      <c r="D10" s="2939">
        <f t="shared" si="9"/>
        <v>289.84672674747821</v>
      </c>
      <c r="E10" s="2939">
        <f t="shared" si="10"/>
        <v>501.06543001181495</v>
      </c>
      <c r="F10" s="2939">
        <f t="shared" si="10"/>
        <v>256.82882500744967</v>
      </c>
      <c r="G10" s="3740"/>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1162</v>
      </c>
      <c r="B11" s="2939">
        <f t="shared" si="8"/>
        <v>346.720748986128</v>
      </c>
      <c r="C11" s="2939">
        <f t="shared" si="8"/>
        <v>284.30282172386285</v>
      </c>
      <c r="D11" s="2939">
        <f t="shared" si="9"/>
        <v>284.30282172386285</v>
      </c>
      <c r="E11" s="2939">
        <f t="shared" si="10"/>
        <v>479.58023546306947</v>
      </c>
      <c r="F11" s="2939">
        <f t="shared" si="10"/>
        <v>253.25788877571213</v>
      </c>
      <c r="G11" s="3741"/>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1161</v>
      </c>
      <c r="B12" s="2931">
        <v>333</v>
      </c>
      <c r="C12" s="2931">
        <v>277</v>
      </c>
      <c r="D12" s="2931">
        <f t="shared" si="9"/>
        <v>277</v>
      </c>
      <c r="E12" s="2931">
        <v>459</v>
      </c>
      <c r="F12" s="2932">
        <v>249</v>
      </c>
      <c r="G12" s="3739">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1160</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40"/>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1159</v>
      </c>
      <c r="B14" s="2939">
        <f t="shared" si="12"/>
        <v>322.34053690220776</v>
      </c>
      <c r="C14" s="2939">
        <f t="shared" si="12"/>
        <v>271.46160770422546</v>
      </c>
      <c r="D14" s="2939">
        <f t="shared" si="9"/>
        <v>271.46160770422546</v>
      </c>
      <c r="E14" s="2939">
        <f t="shared" si="13"/>
        <v>442.69434542172456</v>
      </c>
      <c r="F14" s="2939">
        <f t="shared" si="13"/>
        <v>241.34030753190925</v>
      </c>
      <c r="G14" s="3740"/>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1158</v>
      </c>
      <c r="B15" s="2939">
        <f t="shared" si="12"/>
        <v>319.87748030386797</v>
      </c>
      <c r="C15" s="2939">
        <f t="shared" si="12"/>
        <v>269.60135833173649</v>
      </c>
      <c r="D15" s="2939">
        <f t="shared" si="9"/>
        <v>269.60135833173649</v>
      </c>
      <c r="E15" s="2939">
        <f t="shared" si="13"/>
        <v>439.18089823583784</v>
      </c>
      <c r="F15" s="2939">
        <f t="shared" si="13"/>
        <v>239.23503918706311</v>
      </c>
      <c r="G15" s="3741"/>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1157</v>
      </c>
      <c r="B16" s="2952">
        <v>318</v>
      </c>
      <c r="C16" s="2952">
        <v>268</v>
      </c>
      <c r="D16" s="2952">
        <f t="shared" si="9"/>
        <v>268</v>
      </c>
      <c r="E16" s="2952">
        <v>437</v>
      </c>
      <c r="F16" s="2953">
        <v>237</v>
      </c>
      <c r="G16" s="3739">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1156</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40"/>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1155</v>
      </c>
      <c r="B18" s="2939">
        <f t="shared" si="14"/>
        <v>314.72141172386546</v>
      </c>
      <c r="C18" s="2939">
        <f t="shared" si="14"/>
        <v>263.03901319069001</v>
      </c>
      <c r="D18" s="2939">
        <f t="shared" si="9"/>
        <v>263.03901319069001</v>
      </c>
      <c r="E18" s="2939">
        <f t="shared" si="15"/>
        <v>433.65745506782821</v>
      </c>
      <c r="F18" s="2939">
        <f t="shared" si="15"/>
        <v>233.23005080045735</v>
      </c>
      <c r="G18" s="3740"/>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1154</v>
      </c>
      <c r="B19" s="2957">
        <f t="shared" si="14"/>
        <v>307.34512863658733</v>
      </c>
      <c r="C19" s="2957">
        <f t="shared" si="14"/>
        <v>257.80556031626975</v>
      </c>
      <c r="D19" s="2957">
        <f t="shared" si="9"/>
        <v>257.80556031626975</v>
      </c>
      <c r="E19" s="2957">
        <f t="shared" si="15"/>
        <v>422.70928459677179</v>
      </c>
      <c r="F19" s="2957">
        <f t="shared" si="15"/>
        <v>229.73803270336617</v>
      </c>
      <c r="G19" s="3741"/>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2733</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2734</v>
      </c>
      <c r="B20" s="2931">
        <v>299</v>
      </c>
      <c r="C20" s="2931">
        <v>252</v>
      </c>
      <c r="D20" s="2931">
        <f t="shared" si="9"/>
        <v>252</v>
      </c>
      <c r="E20" s="2931">
        <v>409</v>
      </c>
      <c r="F20" s="2932">
        <v>227</v>
      </c>
      <c r="G20" s="3746">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2735</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47"/>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2736</v>
      </c>
      <c r="B22" s="2939">
        <f t="shared" si="18"/>
        <v>288.2649053828776</v>
      </c>
      <c r="C22" s="2939">
        <f t="shared" si="18"/>
        <v>243.64564425013293</v>
      </c>
      <c r="D22" s="2939">
        <f t="shared" si="9"/>
        <v>243.64564425013293</v>
      </c>
      <c r="E22" s="2939">
        <f t="shared" si="19"/>
        <v>393.31080825986544</v>
      </c>
      <c r="F22" s="2939">
        <f t="shared" si="19"/>
        <v>223.07903790551154</v>
      </c>
      <c r="G22" s="3747"/>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2737</v>
      </c>
      <c r="B23" s="2939">
        <f t="shared" si="18"/>
        <v>282.50186729015837</v>
      </c>
      <c r="C23" s="2939">
        <f t="shared" si="18"/>
        <v>238.09796174155468</v>
      </c>
      <c r="D23" s="2939">
        <f t="shared" si="9"/>
        <v>238.09796174155468</v>
      </c>
      <c r="E23" s="2939">
        <f t="shared" si="19"/>
        <v>385.33438646014054</v>
      </c>
      <c r="F23" s="2939">
        <f t="shared" si="19"/>
        <v>221.55034055567739</v>
      </c>
      <c r="G23" s="3748"/>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2738</v>
      </c>
      <c r="B24" s="2973">
        <v>278</v>
      </c>
      <c r="C24" s="2973">
        <v>234</v>
      </c>
      <c r="D24" s="2973">
        <f t="shared" si="9"/>
        <v>234</v>
      </c>
      <c r="E24" s="2973">
        <v>379</v>
      </c>
      <c r="F24" s="2974">
        <v>220</v>
      </c>
      <c r="G24" s="3739">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2739</v>
      </c>
      <c r="B25" s="2939">
        <f>B24/(1+N24)</f>
        <v>275.49301357645425</v>
      </c>
      <c r="C25" s="2939">
        <f>C24/(1+O24)</f>
        <v>232.41954707985698</v>
      </c>
      <c r="D25" s="2939">
        <f t="shared" si="9"/>
        <v>232.41954707985698</v>
      </c>
      <c r="E25" s="2939">
        <f t="shared" ref="E25:F27" si="20">E24/(1+P24)</f>
        <v>375.32184591008121</v>
      </c>
      <c r="F25" s="2939">
        <f t="shared" si="20"/>
        <v>218.03766105054513</v>
      </c>
      <c r="G25" s="3740"/>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2740</v>
      </c>
      <c r="B26" s="2939">
        <f>B25/(1+N25)</f>
        <v>275.24529281292263</v>
      </c>
      <c r="C26" s="2939">
        <f>C25/(1+O25)</f>
        <v>231.74747938962707</v>
      </c>
      <c r="D26" s="2939">
        <f t="shared" si="9"/>
        <v>231.74747938962707</v>
      </c>
      <c r="E26" s="2939">
        <f t="shared" si="20"/>
        <v>375.35938184826603</v>
      </c>
      <c r="F26" s="2939">
        <f t="shared" si="20"/>
        <v>216.78033510692495</v>
      </c>
      <c r="G26" s="3740"/>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2741</v>
      </c>
      <c r="B27" s="2939">
        <f>B26/(1+N26)</f>
        <v>275.19025476197027</v>
      </c>
      <c r="C27" s="2975">
        <v>232</v>
      </c>
      <c r="D27" s="2975">
        <f t="shared" si="9"/>
        <v>232</v>
      </c>
      <c r="E27" s="2939">
        <f t="shared" si="20"/>
        <v>375.65990977608692</v>
      </c>
      <c r="F27" s="2939">
        <f t="shared" si="20"/>
        <v>214.12518283971252</v>
      </c>
      <c r="G27" s="3741"/>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2742</v>
      </c>
      <c r="B28" s="2931">
        <v>275</v>
      </c>
      <c r="C28" s="2931">
        <v>232</v>
      </c>
      <c r="D28" s="2931">
        <f t="shared" si="9"/>
        <v>232</v>
      </c>
      <c r="E28" s="2931">
        <v>376</v>
      </c>
      <c r="F28" s="2932">
        <v>213</v>
      </c>
      <c r="G28" s="3739">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2743</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40">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2744</v>
      </c>
      <c r="B30" s="2939">
        <f t="shared" si="21"/>
        <v>275.19335084830601</v>
      </c>
      <c r="C30" s="2939">
        <f t="shared" si="21"/>
        <v>230.18088050139744</v>
      </c>
      <c r="D30" s="2939">
        <f t="shared" si="9"/>
        <v>230.18088050139744</v>
      </c>
      <c r="E30" s="2939">
        <f t="shared" si="22"/>
        <v>377.58482925212331</v>
      </c>
      <c r="F30" s="2939">
        <f t="shared" si="22"/>
        <v>210.90687997847917</v>
      </c>
      <c r="G30" s="3740">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2745</v>
      </c>
      <c r="B31" s="2939">
        <f t="shared" si="21"/>
        <v>276.29854502841971</v>
      </c>
      <c r="C31" s="2939">
        <f t="shared" si="21"/>
        <v>229.79023709833027</v>
      </c>
      <c r="D31" s="2939">
        <f t="shared" si="9"/>
        <v>229.79023709833027</v>
      </c>
      <c r="E31" s="2939">
        <f t="shared" si="22"/>
        <v>379.78759731655936</v>
      </c>
      <c r="F31" s="2939">
        <f t="shared" si="22"/>
        <v>211.32953905659235</v>
      </c>
      <c r="G31" s="3741">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2746</v>
      </c>
      <c r="B32" s="2931">
        <v>269</v>
      </c>
      <c r="C32" s="2931">
        <v>221</v>
      </c>
      <c r="D32" s="2931">
        <f t="shared" si="9"/>
        <v>221</v>
      </c>
      <c r="E32" s="2931">
        <v>373</v>
      </c>
      <c r="F32" s="2932">
        <v>196</v>
      </c>
      <c r="G32" s="3739">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2747</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40">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2748</v>
      </c>
      <c r="B34" s="2939">
        <f t="shared" si="23"/>
        <v>242.95398227588385</v>
      </c>
      <c r="C34" s="2939">
        <f t="shared" si="23"/>
        <v>199.59137053614126</v>
      </c>
      <c r="D34" s="2939">
        <f t="shared" si="9"/>
        <v>199.59137053614126</v>
      </c>
      <c r="E34" s="2939">
        <f t="shared" si="24"/>
        <v>335.92189522342125</v>
      </c>
      <c r="F34" s="2939">
        <f t="shared" si="24"/>
        <v>183.10139991109489</v>
      </c>
      <c r="G34" s="3740">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2749</v>
      </c>
      <c r="B35" s="2939">
        <f t="shared" si="23"/>
        <v>232.06990378821649</v>
      </c>
      <c r="C35" s="2939">
        <f t="shared" si="23"/>
        <v>192.74878854286936</v>
      </c>
      <c r="D35" s="2939">
        <f t="shared" si="9"/>
        <v>192.74878854286936</v>
      </c>
      <c r="E35" s="2939">
        <f t="shared" si="24"/>
        <v>319.71247284992984</v>
      </c>
      <c r="F35" s="2939">
        <f t="shared" si="24"/>
        <v>175.67053622862409</v>
      </c>
      <c r="G35" s="3741">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2750</v>
      </c>
      <c r="B36" s="2931">
        <v>220</v>
      </c>
      <c r="C36" s="2931">
        <v>187</v>
      </c>
      <c r="D36" s="2931">
        <f t="shared" si="9"/>
        <v>187</v>
      </c>
      <c r="E36" s="2931">
        <v>301</v>
      </c>
      <c r="F36" s="2932">
        <v>168</v>
      </c>
      <c r="G36" s="3739">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2751</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40">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2752</v>
      </c>
      <c r="B38" s="2939">
        <f t="shared" si="25"/>
        <v>210.630522469011</v>
      </c>
      <c r="C38" s="2939">
        <f t="shared" si="25"/>
        <v>181.69567812247232</v>
      </c>
      <c r="D38" s="2939">
        <f t="shared" si="9"/>
        <v>181.69567812247232</v>
      </c>
      <c r="E38" s="2939">
        <f t="shared" si="26"/>
        <v>286.13517466736738</v>
      </c>
      <c r="F38" s="2939">
        <f t="shared" si="26"/>
        <v>165.47535084591149</v>
      </c>
      <c r="G38" s="3740">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2753</v>
      </c>
      <c r="B39" s="2939">
        <f t="shared" si="25"/>
        <v>208.83454537875372</v>
      </c>
      <c r="C39" s="2939">
        <f t="shared" si="25"/>
        <v>183.77230517090351</v>
      </c>
      <c r="D39" s="2939">
        <f t="shared" si="9"/>
        <v>183.77230517090351</v>
      </c>
      <c r="E39" s="2939">
        <f t="shared" si="26"/>
        <v>281.10342338870947</v>
      </c>
      <c r="F39" s="2939">
        <f t="shared" si="26"/>
        <v>168.97309388942256</v>
      </c>
      <c r="G39" s="3741">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2754</v>
      </c>
      <c r="B40" s="2973">
        <v>214</v>
      </c>
      <c r="C40" s="2973">
        <v>188</v>
      </c>
      <c r="D40" s="2973">
        <f t="shared" si="9"/>
        <v>188</v>
      </c>
      <c r="E40" s="2973">
        <v>289</v>
      </c>
      <c r="F40" s="2974">
        <v>166</v>
      </c>
      <c r="G40" s="3739">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2755</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40">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2756</v>
      </c>
      <c r="B42" s="2939">
        <f t="shared" si="27"/>
        <v>206.31694671589116</v>
      </c>
      <c r="C42" s="2939">
        <f t="shared" si="27"/>
        <v>183.61041121036101</v>
      </c>
      <c r="D42" s="2939">
        <f t="shared" si="9"/>
        <v>183.61041121036101</v>
      </c>
      <c r="E42" s="2939">
        <f t="shared" si="28"/>
        <v>276.66850301795557</v>
      </c>
      <c r="F42" s="2939">
        <f t="shared" si="28"/>
        <v>165.1360938278614</v>
      </c>
      <c r="G42" s="3740">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2757</v>
      </c>
      <c r="B43" s="2976">
        <f t="shared" si="27"/>
        <v>196.62341248059772</v>
      </c>
      <c r="C43" s="2976">
        <f t="shared" si="27"/>
        <v>170.99125648199012</v>
      </c>
      <c r="D43" s="2976">
        <f t="shared" si="9"/>
        <v>170.99125648199012</v>
      </c>
      <c r="E43" s="2976">
        <f t="shared" si="28"/>
        <v>266.07857570490052</v>
      </c>
      <c r="F43" s="2976">
        <f t="shared" si="28"/>
        <v>154.53499328828505</v>
      </c>
      <c r="G43" s="3741">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2758</v>
      </c>
      <c r="B44" s="2931">
        <v>188</v>
      </c>
      <c r="C44" s="2931">
        <v>165</v>
      </c>
      <c r="D44" s="2931">
        <f t="shared" si="9"/>
        <v>165</v>
      </c>
      <c r="E44" s="2931">
        <v>254</v>
      </c>
      <c r="F44" s="2932">
        <v>148</v>
      </c>
      <c r="G44" s="3739">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2759</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40">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2760</v>
      </c>
      <c r="B46" s="2939">
        <f t="shared" si="31"/>
        <v>168.82017748715555</v>
      </c>
      <c r="C46" s="2939">
        <f t="shared" si="31"/>
        <v>148.06267029972753</v>
      </c>
      <c r="D46" s="2939">
        <f t="shared" si="9"/>
        <v>148.06267029972753</v>
      </c>
      <c r="E46" s="2939">
        <f t="shared" si="32"/>
        <v>216.46288379323747</v>
      </c>
      <c r="F46" s="2939">
        <f t="shared" si="32"/>
        <v>134.23529411764704</v>
      </c>
      <c r="G46" s="3740">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2761</v>
      </c>
      <c r="B47" s="2939">
        <f t="shared" si="31"/>
        <v>163.84913591779542</v>
      </c>
      <c r="C47" s="2939">
        <f t="shared" si="31"/>
        <v>145.0283378746594</v>
      </c>
      <c r="D47" s="2939">
        <f t="shared" si="9"/>
        <v>145.0283378746594</v>
      </c>
      <c r="E47" s="2939">
        <f t="shared" si="32"/>
        <v>204.95180722891567</v>
      </c>
      <c r="F47" s="2939">
        <f t="shared" si="32"/>
        <v>125.95920303605313</v>
      </c>
      <c r="G47" s="3741">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2762</v>
      </c>
      <c r="B48" s="2952">
        <v>159</v>
      </c>
      <c r="C48" s="2952">
        <v>141</v>
      </c>
      <c r="D48" s="2952">
        <f t="shared" si="9"/>
        <v>141</v>
      </c>
      <c r="E48" s="2952">
        <v>195</v>
      </c>
      <c r="F48" s="2953">
        <v>122</v>
      </c>
      <c r="G48" s="3739">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2763</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40">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2764</v>
      </c>
      <c r="B50" s="2939">
        <f t="shared" si="35"/>
        <v>146.57412060301507</v>
      </c>
      <c r="C50" s="2939">
        <f t="shared" si="35"/>
        <v>136.46831955922866</v>
      </c>
      <c r="D50" s="2939">
        <f t="shared" si="9"/>
        <v>136.46831955922866</v>
      </c>
      <c r="E50" s="2939">
        <f t="shared" si="36"/>
        <v>166.73864894795128</v>
      </c>
      <c r="F50" s="2939">
        <f t="shared" si="36"/>
        <v>115.05882352941177</v>
      </c>
      <c r="G50" s="3740">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2765</v>
      </c>
      <c r="B51" s="2939">
        <f t="shared" si="35"/>
        <v>144.04145728643215</v>
      </c>
      <c r="C51" s="2939">
        <f t="shared" si="35"/>
        <v>136.12396694214877</v>
      </c>
      <c r="D51" s="2939">
        <f t="shared" si="9"/>
        <v>136.12396694214877</v>
      </c>
      <c r="E51" s="2939">
        <f t="shared" si="36"/>
        <v>158.32225913621264</v>
      </c>
      <c r="F51" s="2939">
        <f t="shared" si="36"/>
        <v>114.04278074866311</v>
      </c>
      <c r="G51" s="3741">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2766</v>
      </c>
      <c r="B52" s="2952">
        <v>138</v>
      </c>
      <c r="C52" s="2952">
        <v>131</v>
      </c>
      <c r="D52" s="2952">
        <f t="shared" si="9"/>
        <v>131</v>
      </c>
      <c r="E52" s="2952">
        <v>155</v>
      </c>
      <c r="F52" s="2953">
        <v>114</v>
      </c>
      <c r="G52" s="3739">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2767</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40">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2768</v>
      </c>
      <c r="B54" s="2939">
        <f t="shared" si="39"/>
        <v>124.29032258064517</v>
      </c>
      <c r="C54" s="2939">
        <f t="shared" si="39"/>
        <v>123.8968609865471</v>
      </c>
      <c r="D54" s="2939">
        <f t="shared" si="9"/>
        <v>123.8968609865471</v>
      </c>
      <c r="E54" s="2939">
        <f t="shared" si="40"/>
        <v>138.00507614213197</v>
      </c>
      <c r="F54" s="2939">
        <f t="shared" si="40"/>
        <v>107.96106557377048</v>
      </c>
      <c r="G54" s="3740">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2769</v>
      </c>
      <c r="B55" s="2939">
        <f t="shared" si="39"/>
        <v>122.57204301075269</v>
      </c>
      <c r="C55" s="2939">
        <f t="shared" si="39"/>
        <v>123.4932735426009</v>
      </c>
      <c r="D55" s="2939">
        <f t="shared" si="9"/>
        <v>123.4932735426009</v>
      </c>
      <c r="E55" s="2939">
        <f t="shared" si="40"/>
        <v>129.82233502538071</v>
      </c>
      <c r="F55" s="2939">
        <f t="shared" si="40"/>
        <v>107.39446721311475</v>
      </c>
      <c r="G55" s="3741">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2770</v>
      </c>
      <c r="B56" s="2973">
        <v>121</v>
      </c>
      <c r="C56" s="2973">
        <v>122</v>
      </c>
      <c r="D56" s="2973">
        <f t="shared" si="9"/>
        <v>122</v>
      </c>
      <c r="E56" s="2973">
        <v>124</v>
      </c>
      <c r="F56" s="2974">
        <v>107</v>
      </c>
      <c r="G56" s="3739">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2771</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40">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2772</v>
      </c>
      <c r="B58" s="2939">
        <f t="shared" si="43"/>
        <v>116.99099099099099</v>
      </c>
      <c r="C58" s="2939">
        <f t="shared" si="43"/>
        <v>118.84848484848486</v>
      </c>
      <c r="D58" s="2939">
        <f t="shared" si="9"/>
        <v>118.84848484848486</v>
      </c>
      <c r="E58" s="2939">
        <f t="shared" si="44"/>
        <v>117.60960960960961</v>
      </c>
      <c r="F58" s="2939">
        <f t="shared" si="44"/>
        <v>104</v>
      </c>
      <c r="G58" s="3740">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2773</v>
      </c>
      <c r="B59" s="2976">
        <f t="shared" si="43"/>
        <v>112.48648648648648</v>
      </c>
      <c r="C59" s="2976">
        <f t="shared" si="43"/>
        <v>115.21212121212122</v>
      </c>
      <c r="D59" s="2976">
        <f t="shared" si="9"/>
        <v>115.21212121212122</v>
      </c>
      <c r="E59" s="2976">
        <f t="shared" si="44"/>
        <v>110.4024024024024</v>
      </c>
      <c r="F59" s="2976">
        <f t="shared" si="44"/>
        <v>104</v>
      </c>
      <c r="G59" s="3741">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2774</v>
      </c>
      <c r="B60" s="2994">
        <v>111</v>
      </c>
      <c r="C60" s="2994">
        <v>114</v>
      </c>
      <c r="D60" s="2994">
        <f t="shared" si="9"/>
        <v>114</v>
      </c>
      <c r="E60" s="2994">
        <v>108</v>
      </c>
      <c r="F60" s="2995">
        <v>104</v>
      </c>
      <c r="G60" s="3739">
        <v>2003</v>
      </c>
      <c r="H60" s="2984">
        <v>4</v>
      </c>
      <c r="I60" s="2996"/>
      <c r="J60" s="2996"/>
      <c r="K60" s="2996"/>
      <c r="L60" s="2996"/>
      <c r="N60" s="2997"/>
      <c r="O60" s="2996"/>
      <c r="P60" s="2996"/>
      <c r="Q60" s="2996"/>
      <c r="S60" s="2997"/>
      <c r="T60" s="2996"/>
      <c r="U60" s="2996"/>
      <c r="V60" s="2996"/>
      <c r="X60" s="2988"/>
      <c r="Y60" s="2988"/>
      <c r="Z60" s="2988"/>
    </row>
    <row r="61" spans="1:26">
      <c r="A61" s="2918" t="s">
        <v>2775</v>
      </c>
      <c r="B61" s="2998">
        <f t="shared" ref="B61:C63" si="45">B62+(B$60-B$64)/4</f>
        <v>109.75</v>
      </c>
      <c r="C61" s="2998">
        <f t="shared" si="45"/>
        <v>112.25</v>
      </c>
      <c r="D61" s="2998">
        <f t="shared" si="9"/>
        <v>112.25</v>
      </c>
      <c r="E61" s="2998">
        <f t="shared" ref="E61:F63" si="46">E62+(E$60-E$64)/4</f>
        <v>107.25</v>
      </c>
      <c r="F61" s="2998">
        <f t="shared" si="46"/>
        <v>103.5</v>
      </c>
      <c r="G61" s="3740">
        <v>2003</v>
      </c>
      <c r="H61" s="2949">
        <v>3</v>
      </c>
      <c r="I61" s="2996"/>
      <c r="J61" s="2996"/>
      <c r="K61" s="2996"/>
      <c r="L61" s="2996"/>
      <c r="X61" s="2988"/>
      <c r="Y61" s="2988"/>
      <c r="Z61" s="2988"/>
    </row>
    <row r="62" spans="1:26">
      <c r="A62" s="2918" t="s">
        <v>2776</v>
      </c>
      <c r="B62" s="2998">
        <f t="shared" si="45"/>
        <v>108.5</v>
      </c>
      <c r="C62" s="2998">
        <f t="shared" si="45"/>
        <v>110.5</v>
      </c>
      <c r="D62" s="2998">
        <f t="shared" si="9"/>
        <v>110.5</v>
      </c>
      <c r="E62" s="2998">
        <f t="shared" si="46"/>
        <v>106.5</v>
      </c>
      <c r="F62" s="2998">
        <f t="shared" si="46"/>
        <v>103</v>
      </c>
      <c r="G62" s="3740">
        <v>2003</v>
      </c>
      <c r="H62" s="2924">
        <v>2</v>
      </c>
      <c r="I62" s="2996"/>
      <c r="J62" s="2996"/>
      <c r="K62" s="2996"/>
      <c r="L62" s="2996"/>
      <c r="X62" s="2988"/>
      <c r="Y62" s="2988"/>
      <c r="Z62" s="2988"/>
    </row>
    <row r="63" spans="1:26" ht="13.5" thickBot="1">
      <c r="A63" s="2918" t="s">
        <v>2777</v>
      </c>
      <c r="B63" s="2998">
        <f t="shared" si="45"/>
        <v>107.25</v>
      </c>
      <c r="C63" s="2998">
        <f t="shared" si="45"/>
        <v>108.75</v>
      </c>
      <c r="D63" s="2998">
        <f t="shared" si="9"/>
        <v>108.75</v>
      </c>
      <c r="E63" s="2998">
        <f t="shared" si="46"/>
        <v>105.75</v>
      </c>
      <c r="F63" s="2998">
        <f t="shared" si="46"/>
        <v>102.5</v>
      </c>
      <c r="G63" s="3741">
        <v>2003</v>
      </c>
      <c r="H63" s="2999">
        <v>1</v>
      </c>
      <c r="I63" s="2996"/>
      <c r="J63" s="2996"/>
      <c r="K63" s="2996"/>
      <c r="L63" s="2996"/>
      <c r="S63" s="2934"/>
      <c r="T63" s="2935"/>
      <c r="U63" s="2935"/>
      <c r="X63" s="2988"/>
      <c r="Y63" s="2988"/>
      <c r="Z63" s="2988"/>
    </row>
    <row r="64" spans="1:26" ht="13.5" thickBot="1">
      <c r="A64" s="2918" t="s">
        <v>2778</v>
      </c>
      <c r="B64" s="3000">
        <v>106</v>
      </c>
      <c r="C64" s="3000">
        <v>107</v>
      </c>
      <c r="D64" s="3000">
        <f t="shared" si="9"/>
        <v>107</v>
      </c>
      <c r="E64" s="3000">
        <v>105</v>
      </c>
      <c r="F64" s="3001">
        <v>102</v>
      </c>
      <c r="G64" s="3739">
        <v>2002</v>
      </c>
      <c r="H64" s="2944">
        <v>4</v>
      </c>
      <c r="I64" s="2996"/>
      <c r="J64" s="2996"/>
      <c r="K64" s="2996"/>
      <c r="L64" s="2996"/>
      <c r="N64" s="2997"/>
      <c r="O64" s="2996"/>
      <c r="P64" s="2996"/>
      <c r="Q64" s="2996"/>
      <c r="S64" s="2997"/>
      <c r="T64" s="2996"/>
      <c r="U64" s="2996"/>
      <c r="V64" s="2996"/>
      <c r="X64" s="2988"/>
      <c r="Y64" s="2988"/>
      <c r="Z64" s="2988"/>
    </row>
    <row r="65" spans="1:26">
      <c r="A65" s="2918" t="s">
        <v>2779</v>
      </c>
      <c r="B65" s="2998">
        <f t="shared" ref="B65:C67" si="47">B66+(B$64-B$68)/4</f>
        <v>105</v>
      </c>
      <c r="C65" s="2998">
        <f t="shared" si="47"/>
        <v>106</v>
      </c>
      <c r="D65" s="2998">
        <f t="shared" si="9"/>
        <v>106</v>
      </c>
      <c r="E65" s="2998">
        <f t="shared" ref="E65:F67" si="48">E66+(E$64-E$68)/4</f>
        <v>104.5</v>
      </c>
      <c r="F65" s="2998">
        <f t="shared" si="48"/>
        <v>101.5</v>
      </c>
      <c r="G65" s="3740">
        <v>2002</v>
      </c>
      <c r="H65" s="2949">
        <v>3</v>
      </c>
      <c r="I65" s="2996"/>
      <c r="J65" s="2996"/>
      <c r="K65" s="2996"/>
      <c r="L65" s="2996"/>
      <c r="X65" s="2988"/>
      <c r="Y65" s="2988"/>
      <c r="Z65" s="2988"/>
    </row>
    <row r="66" spans="1:26">
      <c r="A66" s="2918" t="s">
        <v>2780</v>
      </c>
      <c r="B66" s="2998">
        <f t="shared" si="47"/>
        <v>104</v>
      </c>
      <c r="C66" s="2998">
        <f t="shared" si="47"/>
        <v>105</v>
      </c>
      <c r="D66" s="2998">
        <f t="shared" si="9"/>
        <v>105</v>
      </c>
      <c r="E66" s="2998">
        <f t="shared" si="48"/>
        <v>104</v>
      </c>
      <c r="F66" s="2998">
        <f t="shared" si="48"/>
        <v>101</v>
      </c>
      <c r="G66" s="3740">
        <v>2002</v>
      </c>
      <c r="H66" s="2924">
        <v>2</v>
      </c>
      <c r="I66" s="2996"/>
      <c r="J66" s="2996"/>
      <c r="K66" s="2996"/>
      <c r="L66" s="2996"/>
      <c r="X66" s="2988"/>
      <c r="Y66" s="2988"/>
      <c r="Z66" s="2988"/>
    </row>
    <row r="67" spans="1:26" s="2960" customFormat="1" ht="13.5" thickBot="1">
      <c r="A67" s="2956" t="s">
        <v>2781</v>
      </c>
      <c r="B67" s="3002">
        <f t="shared" si="47"/>
        <v>103</v>
      </c>
      <c r="C67" s="3002">
        <f t="shared" si="47"/>
        <v>104</v>
      </c>
      <c r="D67" s="3002">
        <f t="shared" si="9"/>
        <v>104</v>
      </c>
      <c r="E67" s="3002">
        <f t="shared" si="48"/>
        <v>103.5</v>
      </c>
      <c r="F67" s="3002">
        <f t="shared" si="48"/>
        <v>100.5</v>
      </c>
      <c r="G67" s="3741">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2782</v>
      </c>
      <c r="G70" s="3012"/>
      <c r="N70" s="3012"/>
      <c r="S70" s="3012"/>
    </row>
    <row r="71" spans="1:26" s="3011" customFormat="1">
      <c r="A71" s="3011" t="s">
        <v>2783</v>
      </c>
      <c r="G71" s="3012"/>
      <c r="N71" s="3012"/>
      <c r="S71" s="3012"/>
    </row>
    <row r="72" spans="1:26" s="3011" customFormat="1">
      <c r="A72" s="3011" t="s">
        <v>2784</v>
      </c>
      <c r="G72" s="3012"/>
      <c r="I72" s="3013"/>
      <c r="J72" s="3013"/>
      <c r="K72" s="3013"/>
      <c r="L72" s="3013"/>
      <c r="N72" s="3014"/>
      <c r="O72" s="3013"/>
      <c r="P72" s="3013"/>
      <c r="Q72" s="3013"/>
      <c r="S72" s="3014"/>
      <c r="T72" s="3013"/>
      <c r="U72" s="3013"/>
      <c r="V72" s="3013"/>
    </row>
    <row r="73" spans="1:26" s="3011" customFormat="1">
      <c r="A73" s="3011" t="s">
        <v>2785</v>
      </c>
      <c r="G73" s="3012"/>
      <c r="N73" s="3012"/>
      <c r="S73" s="3012"/>
    </row>
    <row r="80" spans="1:26" ht="13.5" thickBot="1"/>
    <row r="81" spans="14:22" s="2933" customFormat="1">
      <c r="N81" s="2948"/>
      <c r="S81" s="3015" t="s">
        <v>2786</v>
      </c>
      <c r="T81" s="3016" t="s">
        <v>2787</v>
      </c>
      <c r="U81" s="3016" t="s">
        <v>2788</v>
      </c>
      <c r="V81" s="3016" t="s">
        <v>2789</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M66" sqref="M6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345</v>
      </c>
      <c r="B2" s="1079" t="e">
        <f>F66</f>
        <v>#DIV/0!</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40"/>
    </row>
    <row r="3" spans="1:30" s="741" customFormat="1" ht="28.5" customHeight="1" thickBot="1">
      <c r="A3" s="579" t="s">
        <v>346</v>
      </c>
      <c r="B3" s="951" t="e">
        <f>ROUND(IF(D3="",B2*10000/'数据-汇总表'!E3,B2*10000/D3),0)</f>
        <v>#DIV/0!</v>
      </c>
      <c r="C3" s="579" t="s">
        <v>2892</v>
      </c>
      <c r="D3" s="3057"/>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4" t="s">
        <v>390</v>
      </c>
      <c r="B4" s="745"/>
      <c r="C4" s="3677" t="s">
        <v>391</v>
      </c>
      <c r="D4" s="3678"/>
      <c r="E4" s="3679" t="s">
        <v>392</v>
      </c>
      <c r="F4" s="3680"/>
      <c r="G4" s="3677" t="s">
        <v>393</v>
      </c>
      <c r="H4" s="3678"/>
      <c r="I4" s="3677" t="s">
        <v>394</v>
      </c>
      <c r="J4" s="3678"/>
      <c r="K4" s="952" t="s">
        <v>395</v>
      </c>
      <c r="L4" s="2348"/>
      <c r="M4" s="2349"/>
      <c r="N4" s="2349"/>
      <c r="O4" s="2349"/>
      <c r="P4" s="3681" t="s">
        <v>396</v>
      </c>
      <c r="Q4" s="3682"/>
      <c r="R4" s="3687" t="s">
        <v>392</v>
      </c>
      <c r="S4" s="3688"/>
      <c r="T4" s="3687" t="s">
        <v>393</v>
      </c>
      <c r="U4" s="3688"/>
      <c r="V4" s="3693" t="s">
        <v>394</v>
      </c>
      <c r="W4" s="3693"/>
      <c r="X4" s="1317"/>
      <c r="Y4" s="3687" t="s">
        <v>396</v>
      </c>
      <c r="Z4" s="3688"/>
      <c r="AA4" s="3674" t="s">
        <v>392</v>
      </c>
      <c r="AB4" s="3675" t="s">
        <v>393</v>
      </c>
      <c r="AC4" s="3674" t="s">
        <v>394</v>
      </c>
    </row>
    <row r="5" spans="1:30" ht="15">
      <c r="A5" s="747"/>
      <c r="B5" s="748"/>
      <c r="C5" s="3607" t="s">
        <v>1131</v>
      </c>
      <c r="D5" s="3608"/>
      <c r="E5" s="3614" t="s">
        <v>1132</v>
      </c>
      <c r="F5" s="3615"/>
      <c r="G5" s="3607" t="s">
        <v>1135</v>
      </c>
      <c r="H5" s="3608"/>
      <c r="I5" s="3607" t="s">
        <v>1133</v>
      </c>
      <c r="J5" s="3608"/>
      <c r="K5" s="952"/>
      <c r="L5" s="2348"/>
      <c r="M5" s="2349"/>
      <c r="N5" s="2349"/>
      <c r="O5" s="2349"/>
      <c r="P5" s="3683"/>
      <c r="Q5" s="3684"/>
      <c r="R5" s="3689"/>
      <c r="S5" s="3690"/>
      <c r="T5" s="3689"/>
      <c r="U5" s="3690"/>
      <c r="V5" s="3693"/>
      <c r="W5" s="3693"/>
      <c r="X5" s="1317"/>
      <c r="Y5" s="3689"/>
      <c r="Z5" s="3690"/>
      <c r="AA5" s="3675"/>
      <c r="AB5" s="3675"/>
      <c r="AC5" s="3675"/>
    </row>
    <row r="6" spans="1:30" ht="15.75" thickBot="1">
      <c r="A6" s="749"/>
      <c r="B6" s="750"/>
      <c r="C6" s="3605" t="s">
        <v>1134</v>
      </c>
      <c r="D6" s="3606"/>
      <c r="E6" s="3612" t="s">
        <v>1134</v>
      </c>
      <c r="F6" s="3613"/>
      <c r="G6" s="3605" t="s">
        <v>1134</v>
      </c>
      <c r="H6" s="3606"/>
      <c r="I6" s="3605" t="s">
        <v>1134</v>
      </c>
      <c r="J6" s="3606"/>
      <c r="K6" s="952" t="s">
        <v>397</v>
      </c>
      <c r="L6" s="2348"/>
      <c r="M6" s="2349"/>
      <c r="N6" s="2349"/>
      <c r="O6" s="2349"/>
      <c r="P6" s="3685"/>
      <c r="Q6" s="3686"/>
      <c r="R6" s="3689"/>
      <c r="S6" s="3690"/>
      <c r="T6" s="3691"/>
      <c r="U6" s="3692"/>
      <c r="V6" s="3693"/>
      <c r="W6" s="3693"/>
      <c r="X6" s="1317"/>
      <c r="Y6" s="3691"/>
      <c r="Z6" s="3692"/>
      <c r="AA6" s="3676"/>
      <c r="AB6" s="3676"/>
      <c r="AC6" s="3676"/>
    </row>
    <row r="7" spans="1:30" s="407" customFormat="1" ht="15.75" thickBot="1">
      <c r="A7" s="751" t="s">
        <v>398</v>
      </c>
      <c r="B7" s="752"/>
      <c r="C7" s="753">
        <f>'数据-取费表'!B2</f>
        <v>43040</v>
      </c>
      <c r="D7" s="754">
        <v>100</v>
      </c>
      <c r="E7" s="1016">
        <v>42948</v>
      </c>
      <c r="F7" s="756">
        <f>SUMIF(70:70,YEAR(E7)&amp;"-"&amp;INT((MONTH(E7)+2)/3),71:71)</f>
        <v>0</v>
      </c>
      <c r="G7" s="1017">
        <v>42948</v>
      </c>
      <c r="H7" s="754">
        <f>SUMIF(70:70,YEAR(G7)&amp;"-"&amp;INT((MONTH(G7)+2)/3),71:71)</f>
        <v>0</v>
      </c>
      <c r="I7" s="1017">
        <v>42948</v>
      </c>
      <c r="J7" s="754">
        <f>SUMIF(70:70,YEAR(I7)&amp;"-"&amp;INT((MONTH(I7)+2)/3),71:71)</f>
        <v>0</v>
      </c>
      <c r="K7" s="953"/>
      <c r="L7" s="2350"/>
      <c r="M7" s="2351"/>
      <c r="N7" s="2351"/>
      <c r="O7" s="2351"/>
      <c r="P7" s="3698" t="s">
        <v>399</v>
      </c>
      <c r="Q7" s="3700"/>
      <c r="R7" s="1318" t="s">
        <v>65</v>
      </c>
      <c r="S7" s="1319">
        <f t="shared" ref="S7:S15" si="0">F7</f>
        <v>0</v>
      </c>
      <c r="T7" s="1318" t="s">
        <v>65</v>
      </c>
      <c r="U7" s="1319">
        <f t="shared" ref="U7:U15" si="1">H7</f>
        <v>0</v>
      </c>
      <c r="V7" s="1318" t="s">
        <v>65</v>
      </c>
      <c r="W7" s="1319">
        <f t="shared" ref="W7:W15" si="2">J7</f>
        <v>0</v>
      </c>
      <c r="X7" s="1320"/>
      <c r="Y7" s="3698" t="s">
        <v>399</v>
      </c>
      <c r="Z7" s="3699"/>
      <c r="AA7" s="1321" t="e">
        <f>D7/F7</f>
        <v>#DIV/0!</v>
      </c>
      <c r="AB7" s="1321" t="e">
        <f>D7/H7</f>
        <v>#DIV/0!</v>
      </c>
      <c r="AC7" s="1321" t="e">
        <f>D7/J7</f>
        <v>#DIV/0!</v>
      </c>
    </row>
    <row r="8" spans="1:30" s="407" customFormat="1" ht="15.75" thickBot="1">
      <c r="A8" s="751" t="s">
        <v>400</v>
      </c>
      <c r="B8" s="752"/>
      <c r="C8" s="1019" t="s">
        <v>155</v>
      </c>
      <c r="D8" s="754">
        <v>100</v>
      </c>
      <c r="E8" s="1019" t="s">
        <v>155</v>
      </c>
      <c r="F8" s="756">
        <f>SUMIF(73:73,E8,74:74)-SUMIF(73:73,C8,74:74)+100</f>
        <v>100</v>
      </c>
      <c r="G8" s="1019" t="s">
        <v>155</v>
      </c>
      <c r="H8" s="754">
        <f>SUMIF(73:73,G8,74:74)-SUMIF(73:73,C8,74:74)+100</f>
        <v>100</v>
      </c>
      <c r="I8" s="1019" t="s">
        <v>155</v>
      </c>
      <c r="J8" s="754">
        <f>SUMIF(73:73,I8,74:74)-SUMIF(73:73,C8,74:74)+100</f>
        <v>100</v>
      </c>
      <c r="K8" s="953"/>
      <c r="L8" s="2350"/>
      <c r="M8" s="2351"/>
      <c r="N8" s="2351"/>
      <c r="O8" s="2351"/>
      <c r="P8" s="3698" t="s">
        <v>435</v>
      </c>
      <c r="Q8" s="3699"/>
      <c r="R8" s="1318" t="s">
        <v>65</v>
      </c>
      <c r="S8" s="1319">
        <f t="shared" si="0"/>
        <v>100</v>
      </c>
      <c r="T8" s="1318" t="s">
        <v>65</v>
      </c>
      <c r="U8" s="1319">
        <f t="shared" si="1"/>
        <v>100</v>
      </c>
      <c r="V8" s="1318" t="s">
        <v>65</v>
      </c>
      <c r="W8" s="1319">
        <f t="shared" si="2"/>
        <v>100</v>
      </c>
      <c r="X8" s="1320"/>
      <c r="Y8" s="3698" t="s">
        <v>435</v>
      </c>
      <c r="Z8" s="3699"/>
      <c r="AA8" s="1321">
        <f t="shared" ref="AA8:AA45" si="3">D8/F8</f>
        <v>1</v>
      </c>
      <c r="AB8" s="1321">
        <f t="shared" ref="AB8:AB45" si="4">D8/H8</f>
        <v>1</v>
      </c>
      <c r="AC8" s="1321">
        <f t="shared" ref="AC8:AC45" si="5">D8/J8</f>
        <v>1</v>
      </c>
    </row>
    <row r="9" spans="1:30" s="407" customFormat="1">
      <c r="A9" s="758" t="s">
        <v>401</v>
      </c>
      <c r="B9" s="361" t="s">
        <v>419</v>
      </c>
      <c r="C9" s="1021"/>
      <c r="D9" s="425">
        <v>100</v>
      </c>
      <c r="E9" s="1021"/>
      <c r="F9" s="425">
        <f>SUMIF(75:75,E9,76:76)-SUMIF(75:75,C9,76:76)+100</f>
        <v>100</v>
      </c>
      <c r="G9" s="1021"/>
      <c r="H9" s="425">
        <f>SUMIF(75:75,G9,76:76)-SUMIF(75:75,C9,76:76)+100</f>
        <v>100</v>
      </c>
      <c r="I9" s="1021"/>
      <c r="J9" s="425">
        <f>SUMIF(75:75,I9,76:76)-SUMIF(75:75,C9,76:76)+100</f>
        <v>100</v>
      </c>
      <c r="K9" s="953"/>
      <c r="L9" s="2350"/>
      <c r="M9" s="2351"/>
      <c r="N9" s="2351"/>
      <c r="O9" s="2352"/>
      <c r="P9" s="3665" t="s">
        <v>402</v>
      </c>
      <c r="Q9" s="296" t="str">
        <f t="shared" ref="Q9:Q15" si="6">B9</f>
        <v>用途</v>
      </c>
      <c r="R9" s="1318" t="s">
        <v>65</v>
      </c>
      <c r="S9" s="1319">
        <f t="shared" si="0"/>
        <v>100</v>
      </c>
      <c r="T9" s="1318" t="s">
        <v>65</v>
      </c>
      <c r="U9" s="1319">
        <f t="shared" si="1"/>
        <v>100</v>
      </c>
      <c r="V9" s="1318" t="s">
        <v>65</v>
      </c>
      <c r="W9" s="1319">
        <f t="shared" si="2"/>
        <v>100</v>
      </c>
      <c r="X9" s="1320"/>
      <c r="Y9" s="3469" t="s">
        <v>403</v>
      </c>
      <c r="Z9" s="344" t="str">
        <f t="shared" ref="Z9:Z15" si="7">Q9</f>
        <v>用途</v>
      </c>
      <c r="AA9" s="1321">
        <f t="shared" si="3"/>
        <v>1</v>
      </c>
      <c r="AB9" s="1321">
        <f t="shared" si="4"/>
        <v>1</v>
      </c>
      <c r="AC9" s="1321">
        <f t="shared" si="5"/>
        <v>1</v>
      </c>
    </row>
    <row r="10" spans="1:30" s="769" customFormat="1" ht="27">
      <c r="A10" s="763"/>
      <c r="B10" s="764" t="s">
        <v>404</v>
      </c>
      <c r="C10" s="774"/>
      <c r="D10" s="426">
        <v>100</v>
      </c>
      <c r="E10" s="807"/>
      <c r="F10" s="426">
        <f>ROUND(100/'数据-取费表'!G16,0)</f>
        <v>114</v>
      </c>
      <c r="G10" s="805"/>
      <c r="H10" s="426">
        <f>ROUND(100/'数据-取费表'!G16,0)</f>
        <v>114</v>
      </c>
      <c r="I10" s="805"/>
      <c r="J10" s="426">
        <f>ROUND(100/'数据-取费表'!G16,0)</f>
        <v>114</v>
      </c>
      <c r="K10" s="1080"/>
      <c r="L10" s="2353"/>
      <c r="M10" s="2354"/>
      <c r="N10" s="2354"/>
      <c r="O10" s="2355"/>
      <c r="P10" s="3665"/>
      <c r="Q10" s="296" t="str">
        <f t="shared" si="6"/>
        <v>土地使用年限（年）</v>
      </c>
      <c r="R10" s="1318" t="s">
        <v>65</v>
      </c>
      <c r="S10" s="1319">
        <f t="shared" si="0"/>
        <v>114</v>
      </c>
      <c r="T10" s="1318" t="s">
        <v>65</v>
      </c>
      <c r="U10" s="1319">
        <f t="shared" si="1"/>
        <v>114</v>
      </c>
      <c r="V10" s="1318" t="s">
        <v>65</v>
      </c>
      <c r="W10" s="1319">
        <f t="shared" si="2"/>
        <v>114</v>
      </c>
      <c r="X10" s="1320"/>
      <c r="Y10" s="3469"/>
      <c r="Z10" s="344" t="str">
        <f t="shared" si="7"/>
        <v>土地使用年限（年）</v>
      </c>
      <c r="AA10" s="1321">
        <f t="shared" si="3"/>
        <v>0.8771929824561403</v>
      </c>
      <c r="AB10" s="1321">
        <f t="shared" si="4"/>
        <v>0.8771929824561403</v>
      </c>
      <c r="AC10" s="1321">
        <f t="shared" si="5"/>
        <v>0.8771929824561403</v>
      </c>
    </row>
    <row r="11" spans="1:30" ht="15">
      <c r="A11" s="770"/>
      <c r="B11" s="764" t="s">
        <v>405</v>
      </c>
      <c r="C11" s="771"/>
      <c r="D11" s="426">
        <v>100</v>
      </c>
      <c r="E11" s="771"/>
      <c r="F11" s="426">
        <f>LOOKUP(E11,80:80,81:81)-LOOKUP(C11,80:80,81:81)+100</f>
        <v>100</v>
      </c>
      <c r="G11" s="772"/>
      <c r="H11" s="426">
        <f>LOOKUP(G11,80:80,81:81)-LOOKUP(C11,80:80,81:81)+100</f>
        <v>100</v>
      </c>
      <c r="I11" s="771"/>
      <c r="J11" s="426">
        <f>LOOKUP(I11,80:80,81:81)-LOOKUP(C11,80:80,81:81)+100</f>
        <v>100</v>
      </c>
      <c r="K11" s="1081"/>
      <c r="L11" s="2356"/>
      <c r="M11" s="2349"/>
      <c r="N11" s="2349"/>
      <c r="O11" s="2357"/>
      <c r="P11" s="3665"/>
      <c r="Q11" s="296" t="str">
        <f t="shared" si="6"/>
        <v>容积率</v>
      </c>
      <c r="R11" s="1318" t="s">
        <v>65</v>
      </c>
      <c r="S11" s="1319">
        <f t="shared" si="0"/>
        <v>100</v>
      </c>
      <c r="T11" s="1318" t="s">
        <v>65</v>
      </c>
      <c r="U11" s="1319">
        <f t="shared" si="1"/>
        <v>100</v>
      </c>
      <c r="V11" s="1318" t="s">
        <v>65</v>
      </c>
      <c r="W11" s="1319">
        <f t="shared" si="2"/>
        <v>100</v>
      </c>
      <c r="X11" s="1320"/>
      <c r="Y11" s="3469"/>
      <c r="Z11" s="344" t="str">
        <f t="shared" si="7"/>
        <v>容积率</v>
      </c>
      <c r="AA11" s="1321">
        <f t="shared" si="3"/>
        <v>1</v>
      </c>
      <c r="AB11" s="1321">
        <f t="shared" si="4"/>
        <v>1</v>
      </c>
      <c r="AC11" s="1321">
        <f t="shared" si="5"/>
        <v>1</v>
      </c>
    </row>
    <row r="12" spans="1:30" s="407" customFormat="1" ht="15">
      <c r="A12" s="773"/>
      <c r="B12" s="1030" t="s">
        <v>160</v>
      </c>
      <c r="C12" s="1023"/>
      <c r="D12" s="775">
        <v>100</v>
      </c>
      <c r="E12" s="1025"/>
      <c r="F12" s="426">
        <f>SUMIF(82:82,E12,83:83)-SUMIF(82:82,C12,83:83)+100</f>
        <v>100</v>
      </c>
      <c r="G12" s="1026"/>
      <c r="H12" s="426">
        <f>SUMIF(82:82,G12,83:83)-SUMIF(82:82,C12,83:83)+100</f>
        <v>100</v>
      </c>
      <c r="I12" s="1025"/>
      <c r="J12" s="426">
        <f>SUMIF(82:82,I12,83:83)-SUMIF(82:82,C12,83:83)+100</f>
        <v>100</v>
      </c>
      <c r="K12" s="1080"/>
      <c r="L12" s="2350"/>
      <c r="M12" s="2351"/>
      <c r="N12" s="2351"/>
      <c r="O12" s="2352"/>
      <c r="P12" s="3665"/>
      <c r="Q12" s="296" t="str">
        <f t="shared" si="6"/>
        <v>配建</v>
      </c>
      <c r="R12" s="1318" t="s">
        <v>65</v>
      </c>
      <c r="S12" s="1319">
        <f t="shared" si="0"/>
        <v>100</v>
      </c>
      <c r="T12" s="1318" t="s">
        <v>65</v>
      </c>
      <c r="U12" s="1319">
        <f t="shared" si="1"/>
        <v>100</v>
      </c>
      <c r="V12" s="1318" t="s">
        <v>65</v>
      </c>
      <c r="W12" s="1319">
        <f t="shared" si="2"/>
        <v>100</v>
      </c>
      <c r="X12" s="1320"/>
      <c r="Y12" s="3469"/>
      <c r="Z12" s="344" t="str">
        <f t="shared" si="7"/>
        <v>配建</v>
      </c>
      <c r="AA12" s="1321">
        <f>D12/F12</f>
        <v>1</v>
      </c>
      <c r="AB12" s="1321">
        <f>D12/H12</f>
        <v>1</v>
      </c>
      <c r="AC12" s="1321">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8"/>
      <c r="M13" s="2349"/>
      <c r="N13" s="2349"/>
      <c r="O13" s="2357"/>
      <c r="P13" s="3665"/>
      <c r="Q13" s="296">
        <f t="shared" si="6"/>
        <v>111</v>
      </c>
      <c r="R13" s="1318" t="s">
        <v>65</v>
      </c>
      <c r="S13" s="1319">
        <f t="shared" si="0"/>
        <v>100</v>
      </c>
      <c r="T13" s="1318" t="s">
        <v>65</v>
      </c>
      <c r="U13" s="1319">
        <f t="shared" si="1"/>
        <v>100</v>
      </c>
      <c r="V13" s="1318" t="s">
        <v>65</v>
      </c>
      <c r="W13" s="1319">
        <f t="shared" si="2"/>
        <v>100</v>
      </c>
      <c r="X13" s="1320"/>
      <c r="Y13" s="3469"/>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8"/>
      <c r="M14" s="2349"/>
      <c r="N14" s="2349"/>
      <c r="O14" s="2357"/>
      <c r="P14" s="3665"/>
      <c r="Q14" s="296">
        <f t="shared" si="6"/>
        <v>111</v>
      </c>
      <c r="R14" s="1318" t="s">
        <v>65</v>
      </c>
      <c r="S14" s="1319">
        <f t="shared" si="0"/>
        <v>100</v>
      </c>
      <c r="T14" s="1318" t="s">
        <v>65</v>
      </c>
      <c r="U14" s="1319">
        <f t="shared" si="1"/>
        <v>100</v>
      </c>
      <c r="V14" s="1318" t="s">
        <v>65</v>
      </c>
      <c r="W14" s="1319">
        <f t="shared" si="2"/>
        <v>100</v>
      </c>
      <c r="X14" s="1320"/>
      <c r="Y14" s="3469"/>
      <c r="Z14" s="344">
        <f t="shared" si="7"/>
        <v>111</v>
      </c>
      <c r="AA14" s="1321">
        <f>D14/F14</f>
        <v>1</v>
      </c>
      <c r="AB14" s="1321">
        <f>D14/H14</f>
        <v>1</v>
      </c>
      <c r="AC14" s="1321">
        <f>D14/J14</f>
        <v>1</v>
      </c>
    </row>
    <row r="15" spans="1:30" ht="94.5">
      <c r="A15" s="782" t="s">
        <v>406</v>
      </c>
      <c r="B15" s="359" t="s">
        <v>286</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8"/>
      <c r="M15" s="2349"/>
      <c r="N15" s="2349"/>
      <c r="O15" s="2357"/>
      <c r="P15" s="3670" t="s">
        <v>407</v>
      </c>
      <c r="Q15" s="1322" t="str">
        <f t="shared" si="6"/>
        <v>居住社区成熟度</v>
      </c>
      <c r="R15" s="1323" t="s">
        <v>65</v>
      </c>
      <c r="S15" s="1324">
        <f t="shared" si="0"/>
        <v>100</v>
      </c>
      <c r="T15" s="1323" t="s">
        <v>65</v>
      </c>
      <c r="U15" s="1324">
        <f t="shared" si="1"/>
        <v>100</v>
      </c>
      <c r="V15" s="1323" t="s">
        <v>65</v>
      </c>
      <c r="W15" s="1324">
        <f t="shared" si="2"/>
        <v>100</v>
      </c>
      <c r="X15" s="1317"/>
      <c r="Y15" s="3670"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8"/>
      <c r="M16" s="2349"/>
      <c r="N16" s="2349"/>
      <c r="O16" s="2357"/>
      <c r="P16" s="3671"/>
      <c r="Q16" s="1322"/>
      <c r="R16" s="1323"/>
      <c r="S16" s="1324"/>
      <c r="T16" s="1323"/>
      <c r="U16" s="1324"/>
      <c r="V16" s="1323"/>
      <c r="W16" s="1324"/>
      <c r="X16" s="1317"/>
      <c r="Y16" s="3671"/>
      <c r="Z16" s="1325"/>
      <c r="AA16" s="1326">
        <v>1</v>
      </c>
      <c r="AB16" s="1326">
        <v>1</v>
      </c>
      <c r="AC16" s="1326">
        <v>1</v>
      </c>
    </row>
    <row r="17" spans="1:29" ht="81">
      <c r="A17" s="770"/>
      <c r="B17" s="793" t="s">
        <v>436</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8"/>
      <c r="M17" s="2349"/>
      <c r="N17" s="2349"/>
      <c r="O17" s="2357"/>
      <c r="P17" s="3671"/>
      <c r="Q17" s="1322" t="str">
        <f>B17</f>
        <v>商业繁华度</v>
      </c>
      <c r="R17" s="1323" t="s">
        <v>65</v>
      </c>
      <c r="S17" s="1324">
        <f>F17</f>
        <v>100</v>
      </c>
      <c r="T17" s="1323" t="s">
        <v>65</v>
      </c>
      <c r="U17" s="1324">
        <f>H17</f>
        <v>100</v>
      </c>
      <c r="V17" s="1323" t="s">
        <v>65</v>
      </c>
      <c r="W17" s="1324">
        <f>J17</f>
        <v>100</v>
      </c>
      <c r="X17" s="1317"/>
      <c r="Y17" s="3671"/>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8"/>
      <c r="M18" s="2349"/>
      <c r="N18" s="2349"/>
      <c r="O18" s="2357"/>
      <c r="P18" s="3671"/>
      <c r="Q18" s="1322"/>
      <c r="R18" s="1323"/>
      <c r="S18" s="1324"/>
      <c r="T18" s="1323"/>
      <c r="U18" s="1324"/>
      <c r="V18" s="1323"/>
      <c r="W18" s="1324"/>
      <c r="X18" s="1317"/>
      <c r="Y18" s="3671"/>
      <c r="Z18" s="1325"/>
      <c r="AA18" s="1326">
        <v>1</v>
      </c>
      <c r="AB18" s="1326">
        <v>1</v>
      </c>
      <c r="AC18" s="1326">
        <v>1</v>
      </c>
    </row>
    <row r="19" spans="1:29" ht="81">
      <c r="A19" s="770"/>
      <c r="B19" s="793" t="s">
        <v>441</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8"/>
      <c r="M19" s="2349"/>
      <c r="N19" s="2349"/>
      <c r="O19" s="2357"/>
      <c r="P19" s="3671"/>
      <c r="Q19" s="1322" t="str">
        <f>B19</f>
        <v>办公集聚程度</v>
      </c>
      <c r="R19" s="1323" t="s">
        <v>65</v>
      </c>
      <c r="S19" s="1324">
        <f>F19</f>
        <v>100</v>
      </c>
      <c r="T19" s="1323" t="s">
        <v>65</v>
      </c>
      <c r="U19" s="1324">
        <f>H19</f>
        <v>100</v>
      </c>
      <c r="V19" s="1323" t="s">
        <v>65</v>
      </c>
      <c r="W19" s="1324">
        <f>J19</f>
        <v>100</v>
      </c>
      <c r="X19" s="1317"/>
      <c r="Y19" s="3671"/>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8"/>
      <c r="M20" s="2349"/>
      <c r="N20" s="2349"/>
      <c r="O20" s="2357"/>
      <c r="P20" s="3671"/>
      <c r="Q20" s="1322"/>
      <c r="R20" s="1323"/>
      <c r="S20" s="1324"/>
      <c r="T20" s="1323"/>
      <c r="U20" s="1324"/>
      <c r="V20" s="1323"/>
      <c r="W20" s="1324"/>
      <c r="X20" s="1317"/>
      <c r="Y20" s="3671"/>
      <c r="Z20" s="1325"/>
      <c r="AA20" s="1326">
        <v>1</v>
      </c>
      <c r="AB20" s="1326">
        <v>1</v>
      </c>
      <c r="AC20" s="1326">
        <v>1</v>
      </c>
    </row>
    <row r="21" spans="1:29" ht="94.5">
      <c r="A21" s="770"/>
      <c r="B21" s="793" t="s">
        <v>456</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8"/>
      <c r="M21" s="2349"/>
      <c r="N21" s="2349"/>
      <c r="O21" s="2357"/>
      <c r="P21" s="3671"/>
      <c r="Q21" s="1322" t="str">
        <f>B21</f>
        <v>交通便捷度</v>
      </c>
      <c r="R21" s="1323" t="s">
        <v>65</v>
      </c>
      <c r="S21" s="1324">
        <f>F21</f>
        <v>100</v>
      </c>
      <c r="T21" s="1323" t="s">
        <v>65</v>
      </c>
      <c r="U21" s="1324">
        <f>H21</f>
        <v>100</v>
      </c>
      <c r="V21" s="1323" t="s">
        <v>65</v>
      </c>
      <c r="W21" s="1324">
        <f>J21</f>
        <v>100</v>
      </c>
      <c r="X21" s="1317"/>
      <c r="Y21" s="3671"/>
      <c r="Z21" s="1325" t="str">
        <f>Q21</f>
        <v>交通便捷度</v>
      </c>
      <c r="AA21" s="1326">
        <f t="shared" si="3"/>
        <v>1</v>
      </c>
      <c r="AB21" s="1326">
        <f t="shared" si="4"/>
        <v>1</v>
      </c>
      <c r="AC21" s="1326">
        <f t="shared" si="5"/>
        <v>1</v>
      </c>
    </row>
    <row r="22" spans="1:29" ht="15">
      <c r="A22" s="770"/>
      <c r="B22" s="2769"/>
      <c r="C22" s="97"/>
      <c r="D22" s="792"/>
      <c r="E22" s="98"/>
      <c r="F22" s="790"/>
      <c r="G22" s="98"/>
      <c r="H22" s="790"/>
      <c r="I22" s="99"/>
      <c r="J22" s="790"/>
      <c r="K22" s="1080"/>
      <c r="L22" s="2358"/>
      <c r="M22" s="2349"/>
      <c r="N22" s="2349"/>
      <c r="O22" s="2357"/>
      <c r="P22" s="3671"/>
      <c r="Q22" s="1322"/>
      <c r="R22" s="1323"/>
      <c r="S22" s="1324"/>
      <c r="T22" s="1323"/>
      <c r="U22" s="1324"/>
      <c r="V22" s="1323"/>
      <c r="W22" s="1324"/>
      <c r="X22" s="1317"/>
      <c r="Y22" s="3671"/>
      <c r="Z22" s="1325"/>
      <c r="AA22" s="1326">
        <v>1</v>
      </c>
      <c r="AB22" s="1326">
        <v>1</v>
      </c>
      <c r="AC22" s="1326">
        <v>1</v>
      </c>
    </row>
    <row r="23" spans="1:29" ht="27">
      <c r="A23" s="747"/>
      <c r="B23" s="793" t="s">
        <v>483</v>
      </c>
      <c r="C23" s="2774">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8"/>
      <c r="M23" s="2349"/>
      <c r="N23" s="2349"/>
      <c r="O23" s="2357"/>
      <c r="P23" s="3671"/>
      <c r="Q23" s="1322" t="str">
        <f t="shared" ref="Q23:Q37" si="8">B23</f>
        <v>区域土地利用方向</v>
      </c>
      <c r="R23" s="1323" t="s">
        <v>65</v>
      </c>
      <c r="S23" s="1324">
        <f>F23</f>
        <v>100</v>
      </c>
      <c r="T23" s="1323" t="s">
        <v>65</v>
      </c>
      <c r="U23" s="1324">
        <f>H23</f>
        <v>100</v>
      </c>
      <c r="V23" s="1323" t="s">
        <v>65</v>
      </c>
      <c r="W23" s="1324">
        <f>J23</f>
        <v>100</v>
      </c>
      <c r="X23" s="1317"/>
      <c r="Y23" s="3671"/>
      <c r="Z23" s="1325" t="str">
        <f>Q23</f>
        <v>区域土地利用方向</v>
      </c>
      <c r="AA23" s="1326">
        <f t="shared" si="3"/>
        <v>1</v>
      </c>
      <c r="AB23" s="1326">
        <f t="shared" si="4"/>
        <v>1</v>
      </c>
      <c r="AC23" s="1326">
        <f t="shared" si="5"/>
        <v>1</v>
      </c>
    </row>
    <row r="24" spans="1:29" ht="15">
      <c r="A24" s="747"/>
      <c r="B24" s="798"/>
      <c r="C24" s="182"/>
      <c r="D24" s="790"/>
      <c r="E24" s="98"/>
      <c r="F24" s="790"/>
      <c r="G24" s="99"/>
      <c r="H24" s="790"/>
      <c r="I24" s="99"/>
      <c r="J24" s="790"/>
      <c r="K24" s="1485"/>
      <c r="L24" s="2358"/>
      <c r="M24" s="2349"/>
      <c r="N24" s="2349"/>
      <c r="O24" s="2357"/>
      <c r="P24" s="3671"/>
      <c r="Q24" s="1469"/>
      <c r="R24" s="1323"/>
      <c r="S24" s="1324"/>
      <c r="T24" s="1323"/>
      <c r="U24" s="1324"/>
      <c r="V24" s="1323"/>
      <c r="W24" s="1324"/>
      <c r="X24" s="1468"/>
      <c r="Y24" s="3671"/>
      <c r="Z24" s="1470"/>
      <c r="AA24" s="1326"/>
      <c r="AB24" s="1326"/>
      <c r="AC24" s="1326"/>
    </row>
    <row r="25" spans="1:29" ht="54">
      <c r="A25" s="747"/>
      <c r="B25" s="2769" t="s">
        <v>484</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8"/>
      <c r="M25" s="2349"/>
      <c r="N25" s="2349"/>
      <c r="O25" s="2357"/>
      <c r="P25" s="3671"/>
      <c r="Q25" s="1322" t="str">
        <f t="shared" si="8"/>
        <v>自然及人文环境状况</v>
      </c>
      <c r="R25" s="1323" t="s">
        <v>65</v>
      </c>
      <c r="S25" s="1324">
        <f>F25</f>
        <v>100</v>
      </c>
      <c r="T25" s="1323" t="s">
        <v>65</v>
      </c>
      <c r="U25" s="1324">
        <f>H25</f>
        <v>100</v>
      </c>
      <c r="V25" s="1323" t="s">
        <v>65</v>
      </c>
      <c r="W25" s="1324">
        <f>J25</f>
        <v>100</v>
      </c>
      <c r="X25" s="1317"/>
      <c r="Y25" s="3671"/>
      <c r="Z25" s="1325" t="str">
        <f>Q25</f>
        <v>自然及人文环境状况</v>
      </c>
      <c r="AA25" s="1326">
        <f t="shared" si="3"/>
        <v>1</v>
      </c>
      <c r="AB25" s="1326">
        <f t="shared" si="4"/>
        <v>1</v>
      </c>
      <c r="AC25" s="1326">
        <f t="shared" si="5"/>
        <v>1</v>
      </c>
    </row>
    <row r="26" spans="1:29" ht="15">
      <c r="A26" s="747"/>
      <c r="B26" s="798"/>
      <c r="C26" s="97"/>
      <c r="D26" s="790"/>
      <c r="E26" s="192"/>
      <c r="F26" s="790"/>
      <c r="G26" s="192"/>
      <c r="H26" s="790"/>
      <c r="I26" s="97"/>
      <c r="J26" s="790"/>
      <c r="K26" s="1080"/>
      <c r="L26" s="2358"/>
      <c r="M26" s="2349"/>
      <c r="N26" s="2349"/>
      <c r="O26" s="2357"/>
      <c r="P26" s="3671"/>
      <c r="Q26" s="1322"/>
      <c r="R26" s="1323"/>
      <c r="S26" s="1324"/>
      <c r="T26" s="1323"/>
      <c r="U26" s="1324"/>
      <c r="V26" s="1323"/>
      <c r="W26" s="1324"/>
      <c r="X26" s="1317"/>
      <c r="Y26" s="3671"/>
      <c r="Z26" s="1325"/>
      <c r="AA26" s="1326">
        <v>1</v>
      </c>
      <c r="AB26" s="1326">
        <v>1</v>
      </c>
      <c r="AC26" s="1326">
        <v>1</v>
      </c>
    </row>
    <row r="27" spans="1:29" s="407" customFormat="1" ht="40.5">
      <c r="A27" s="991"/>
      <c r="B27" s="1411" t="s">
        <v>2673</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50"/>
      <c r="M27" s="2351"/>
      <c r="N27" s="2351"/>
      <c r="O27" s="2352"/>
      <c r="P27" s="3671"/>
      <c r="Q27" s="296" t="str">
        <f t="shared" si="8"/>
        <v>公共配套设施</v>
      </c>
      <c r="R27" s="1318" t="s">
        <v>65</v>
      </c>
      <c r="S27" s="1319">
        <f>F27</f>
        <v>100</v>
      </c>
      <c r="T27" s="1318" t="s">
        <v>65</v>
      </c>
      <c r="U27" s="1319">
        <f>H27</f>
        <v>100</v>
      </c>
      <c r="V27" s="1318" t="s">
        <v>65</v>
      </c>
      <c r="W27" s="1319">
        <f>J27</f>
        <v>100</v>
      </c>
      <c r="X27" s="1320"/>
      <c r="Y27" s="3671"/>
      <c r="Z27" s="344" t="str">
        <f>Q27</f>
        <v>公共配套设施</v>
      </c>
      <c r="AA27" s="1326">
        <f>D27/F27</f>
        <v>1</v>
      </c>
      <c r="AB27" s="1326">
        <f>D27/H27</f>
        <v>1</v>
      </c>
      <c r="AC27" s="1326">
        <f>D27/J27</f>
        <v>1</v>
      </c>
    </row>
    <row r="28" spans="1:29" s="407" customFormat="1" ht="15">
      <c r="A28" s="991"/>
      <c r="B28" s="798"/>
      <c r="C28" s="2775"/>
      <c r="D28" s="790"/>
      <c r="E28" s="192"/>
      <c r="F28" s="790"/>
      <c r="G28" s="192"/>
      <c r="H28" s="790"/>
      <c r="I28" s="97"/>
      <c r="J28" s="790"/>
      <c r="K28" s="1080"/>
      <c r="L28" s="2350"/>
      <c r="M28" s="2351"/>
      <c r="N28" s="2351"/>
      <c r="O28" s="2352"/>
      <c r="P28" s="3671"/>
      <c r="Q28" s="296"/>
      <c r="R28" s="1318"/>
      <c r="S28" s="1319"/>
      <c r="T28" s="1318"/>
      <c r="U28" s="1319"/>
      <c r="V28" s="1318"/>
      <c r="W28" s="1319"/>
      <c r="X28" s="1320"/>
      <c r="Y28" s="3671"/>
      <c r="Z28" s="344"/>
      <c r="AA28" s="1326">
        <v>1</v>
      </c>
      <c r="AB28" s="1326">
        <v>1</v>
      </c>
      <c r="AC28" s="1326">
        <v>1</v>
      </c>
    </row>
    <row r="29" spans="1:29" s="407" customFormat="1" ht="40.5">
      <c r="A29" s="991"/>
      <c r="B29" s="1411" t="s">
        <v>2674</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50"/>
      <c r="M29" s="2351"/>
      <c r="N29" s="2351"/>
      <c r="O29" s="2352"/>
      <c r="P29" s="3671"/>
      <c r="Q29" s="2744" t="str">
        <f t="shared" ref="Q29" si="9">B29</f>
        <v>基础设施水平</v>
      </c>
      <c r="R29" s="1318" t="s">
        <v>65</v>
      </c>
      <c r="S29" s="1319">
        <f>F29</f>
        <v>100</v>
      </c>
      <c r="T29" s="1318" t="s">
        <v>65</v>
      </c>
      <c r="U29" s="1319">
        <f>H29</f>
        <v>100</v>
      </c>
      <c r="V29" s="1318" t="s">
        <v>65</v>
      </c>
      <c r="W29" s="1319">
        <f>J29</f>
        <v>100</v>
      </c>
      <c r="X29" s="1320"/>
      <c r="Y29" s="3671"/>
      <c r="Z29" s="344" t="str">
        <f>Q29</f>
        <v>基础设施水平</v>
      </c>
      <c r="AA29" s="1326">
        <f>D29/F29</f>
        <v>1</v>
      </c>
      <c r="AB29" s="1326">
        <f>D29/H29</f>
        <v>1</v>
      </c>
      <c r="AC29" s="1326">
        <f>D29/J29</f>
        <v>1</v>
      </c>
    </row>
    <row r="30" spans="1:29" s="407" customFormat="1" ht="15">
      <c r="A30" s="991"/>
      <c r="B30" s="798"/>
      <c r="C30" s="2775"/>
      <c r="D30" s="790"/>
      <c r="E30" s="1036"/>
      <c r="F30" s="790"/>
      <c r="G30" s="1036"/>
      <c r="H30" s="790"/>
      <c r="I30" s="1036"/>
      <c r="J30" s="790"/>
      <c r="K30" s="1080"/>
      <c r="L30" s="2350"/>
      <c r="M30" s="2351"/>
      <c r="N30" s="2351"/>
      <c r="O30" s="2352"/>
      <c r="P30" s="3671"/>
      <c r="Q30" s="2744"/>
      <c r="R30" s="1318"/>
      <c r="S30" s="1319"/>
      <c r="T30" s="1318"/>
      <c r="U30" s="1319"/>
      <c r="V30" s="1318"/>
      <c r="W30" s="1319"/>
      <c r="X30" s="1320"/>
      <c r="Y30" s="3671"/>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8"/>
      <c r="M31" s="2349"/>
      <c r="N31" s="2349"/>
      <c r="O31" s="2357"/>
      <c r="P31" s="3671"/>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71"/>
      <c r="Z31" s="1325" t="str">
        <f t="shared" ref="Z31:Z45" si="13">Q31</f>
        <v>临街状况</v>
      </c>
      <c r="AA31" s="1326">
        <f t="shared" si="3"/>
        <v>1</v>
      </c>
      <c r="AB31" s="1326">
        <f t="shared" si="4"/>
        <v>1</v>
      </c>
      <c r="AC31" s="1326">
        <f t="shared" si="5"/>
        <v>1</v>
      </c>
    </row>
    <row r="32" spans="1:29" ht="27">
      <c r="A32" s="770"/>
      <c r="B32" s="2769"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8"/>
      <c r="M32" s="2349"/>
      <c r="N32" s="2349"/>
      <c r="O32" s="2357"/>
      <c r="P32" s="3671"/>
      <c r="Q32" s="1322" t="str">
        <f t="shared" si="8"/>
        <v>毗邻道路的类型与等级</v>
      </c>
      <c r="R32" s="1323" t="s">
        <v>65</v>
      </c>
      <c r="S32" s="1324">
        <f t="shared" si="10"/>
        <v>100</v>
      </c>
      <c r="T32" s="1323" t="s">
        <v>65</v>
      </c>
      <c r="U32" s="1324">
        <f t="shared" si="11"/>
        <v>100</v>
      </c>
      <c r="V32" s="1323" t="s">
        <v>65</v>
      </c>
      <c r="W32" s="1324">
        <f t="shared" si="12"/>
        <v>100</v>
      </c>
      <c r="X32" s="1317"/>
      <c r="Y32" s="3671"/>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8"/>
      <c r="M33" s="2349"/>
      <c r="N33" s="2349"/>
      <c r="O33" s="2357"/>
      <c r="P33" s="3671"/>
      <c r="Q33" s="1322"/>
      <c r="R33" s="1323"/>
      <c r="S33" s="1324"/>
      <c r="T33" s="1323"/>
      <c r="U33" s="1324"/>
      <c r="V33" s="1323"/>
      <c r="W33" s="1324"/>
      <c r="X33" s="1317"/>
      <c r="Y33" s="3671"/>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8"/>
      <c r="M34" s="2349"/>
      <c r="N34" s="2349"/>
      <c r="O34" s="2357"/>
      <c r="P34" s="3671"/>
      <c r="Q34" s="1322" t="str">
        <f t="shared" si="8"/>
        <v>土地级别</v>
      </c>
      <c r="R34" s="1323" t="s">
        <v>65</v>
      </c>
      <c r="S34" s="1324">
        <f t="shared" si="10"/>
        <v>100</v>
      </c>
      <c r="T34" s="1323" t="s">
        <v>65</v>
      </c>
      <c r="U34" s="1324">
        <f t="shared" si="11"/>
        <v>100</v>
      </c>
      <c r="V34" s="1323" t="s">
        <v>65</v>
      </c>
      <c r="W34" s="1324">
        <f t="shared" si="12"/>
        <v>100</v>
      </c>
      <c r="X34" s="1317"/>
      <c r="Y34" s="3671"/>
      <c r="Z34" s="1325" t="str">
        <f t="shared" si="13"/>
        <v>土地级别</v>
      </c>
      <c r="AA34" s="1326">
        <f t="shared" si="3"/>
        <v>1</v>
      </c>
      <c r="AB34" s="1326">
        <f t="shared" si="4"/>
        <v>1</v>
      </c>
      <c r="AC34" s="1326">
        <f t="shared" si="5"/>
        <v>1</v>
      </c>
    </row>
    <row r="35" spans="1:29" ht="15">
      <c r="A35" s="747"/>
      <c r="B35" s="2771">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8"/>
      <c r="M35" s="2349"/>
      <c r="N35" s="2349"/>
      <c r="O35" s="2357"/>
      <c r="P35" s="3671"/>
      <c r="Q35" s="1322">
        <f t="shared" si="8"/>
        <v>111</v>
      </c>
      <c r="R35" s="1323" t="s">
        <v>65</v>
      </c>
      <c r="S35" s="1324">
        <f t="shared" si="10"/>
        <v>100</v>
      </c>
      <c r="T35" s="1323" t="s">
        <v>65</v>
      </c>
      <c r="U35" s="1324">
        <f t="shared" si="11"/>
        <v>100</v>
      </c>
      <c r="V35" s="1323" t="s">
        <v>65</v>
      </c>
      <c r="W35" s="1324">
        <f t="shared" si="12"/>
        <v>100</v>
      </c>
      <c r="X35" s="1317"/>
      <c r="Y35" s="3671"/>
      <c r="Z35" s="1325">
        <f t="shared" si="13"/>
        <v>111</v>
      </c>
      <c r="AA35" s="1326">
        <f t="shared" si="3"/>
        <v>1</v>
      </c>
      <c r="AB35" s="1326">
        <f t="shared" si="4"/>
        <v>1</v>
      </c>
      <c r="AC35" s="1326">
        <f t="shared" si="5"/>
        <v>1</v>
      </c>
    </row>
    <row r="36" spans="1:29" ht="15">
      <c r="A36" s="1083"/>
      <c r="B36" s="2772">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8"/>
      <c r="M36" s="2349"/>
      <c r="N36" s="2349"/>
      <c r="O36" s="2357"/>
      <c r="P36" s="3672" t="s">
        <v>409</v>
      </c>
      <c r="Q36" s="1322">
        <f t="shared" si="8"/>
        <v>111</v>
      </c>
      <c r="R36" s="1323" t="s">
        <v>65</v>
      </c>
      <c r="S36" s="1324">
        <f t="shared" si="10"/>
        <v>100</v>
      </c>
      <c r="T36" s="1323" t="s">
        <v>65</v>
      </c>
      <c r="U36" s="1324">
        <f t="shared" si="11"/>
        <v>100</v>
      </c>
      <c r="V36" s="1323" t="s">
        <v>65</v>
      </c>
      <c r="W36" s="1324">
        <f t="shared" si="12"/>
        <v>100</v>
      </c>
      <c r="X36" s="1317"/>
      <c r="Y36" s="3673" t="s">
        <v>409</v>
      </c>
      <c r="Z36" s="1325">
        <f t="shared" si="13"/>
        <v>111</v>
      </c>
      <c r="AA36" s="1326">
        <f t="shared" si="3"/>
        <v>1</v>
      </c>
      <c r="AB36" s="1326">
        <f t="shared" si="4"/>
        <v>1</v>
      </c>
      <c r="AC36" s="1326">
        <f t="shared" si="5"/>
        <v>1</v>
      </c>
    </row>
    <row r="37" spans="1:29" s="813" customFormat="1" ht="15.75" thickBot="1">
      <c r="A37" s="1084"/>
      <c r="B37" s="2773">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6"/>
      <c r="M37" s="2359"/>
      <c r="N37" s="2359"/>
      <c r="O37" s="2360"/>
      <c r="P37" s="3673"/>
      <c r="Q37" s="1322">
        <f t="shared" si="8"/>
        <v>111</v>
      </c>
      <c r="R37" s="1328" t="s">
        <v>65</v>
      </c>
      <c r="S37" s="1329">
        <f t="shared" si="10"/>
        <v>100</v>
      </c>
      <c r="T37" s="1328" t="s">
        <v>65</v>
      </c>
      <c r="U37" s="1329">
        <f t="shared" si="11"/>
        <v>100</v>
      </c>
      <c r="V37" s="1328" t="s">
        <v>65</v>
      </c>
      <c r="W37" s="1329">
        <f t="shared" si="12"/>
        <v>100</v>
      </c>
      <c r="X37" s="1330"/>
      <c r="Y37" s="3673"/>
      <c r="Z37" s="1331">
        <f t="shared" si="13"/>
        <v>111</v>
      </c>
      <c r="AA37" s="1326">
        <f t="shared" si="3"/>
        <v>1</v>
      </c>
      <c r="AB37" s="1326">
        <f t="shared" si="4"/>
        <v>1</v>
      </c>
      <c r="AC37" s="1326">
        <f t="shared" si="5"/>
        <v>1</v>
      </c>
    </row>
    <row r="38" spans="1:29" ht="15">
      <c r="A38" s="814" t="s">
        <v>408</v>
      </c>
      <c r="B38" s="798" t="s">
        <v>486</v>
      </c>
      <c r="C38" s="1087"/>
      <c r="D38" s="809">
        <v>100</v>
      </c>
      <c r="E38" s="1087"/>
      <c r="F38" s="809">
        <f>LOOKUP(E38,117:117,118:118)-LOOKUP(C38,117:117,118:118)+100</f>
        <v>100</v>
      </c>
      <c r="G38" s="1087"/>
      <c r="H38" s="809">
        <f>LOOKUP(G38,117:117,118:118)-LOOKUP(C38,117:117,118:118)+100</f>
        <v>100</v>
      </c>
      <c r="I38" s="872"/>
      <c r="J38" s="809">
        <f>LOOKUP(I38,117:117,118:118)-LOOKUP(C38,117:117,118:118)+100</f>
        <v>100</v>
      </c>
      <c r="K38" s="955"/>
      <c r="L38" s="2358"/>
      <c r="M38" s="2349"/>
      <c r="N38" s="2349"/>
      <c r="O38" s="2357"/>
      <c r="P38" s="3673"/>
      <c r="Q38" s="1322" t="str">
        <f>B38</f>
        <v>宗地面积</v>
      </c>
      <c r="R38" s="1323" t="s">
        <v>65</v>
      </c>
      <c r="S38" s="1324">
        <f t="shared" si="10"/>
        <v>100</v>
      </c>
      <c r="T38" s="1323" t="s">
        <v>65</v>
      </c>
      <c r="U38" s="1324">
        <f t="shared" si="11"/>
        <v>100</v>
      </c>
      <c r="V38" s="1323" t="s">
        <v>65</v>
      </c>
      <c r="W38" s="1324">
        <f t="shared" si="12"/>
        <v>100</v>
      </c>
      <c r="X38" s="1317"/>
      <c r="Y38" s="3673"/>
      <c r="Z38" s="1325" t="str">
        <f t="shared" si="13"/>
        <v>宗地面积</v>
      </c>
      <c r="AA38" s="1326">
        <f t="shared" si="3"/>
        <v>1</v>
      </c>
      <c r="AB38" s="1326">
        <f t="shared" si="4"/>
        <v>1</v>
      </c>
      <c r="AC38" s="1326">
        <f t="shared" si="5"/>
        <v>1</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8"/>
      <c r="M39" s="2349"/>
      <c r="N39" s="2349"/>
      <c r="O39" s="2357"/>
      <c r="P39" s="3673"/>
      <c r="Q39" s="1322" t="str">
        <f t="shared" ref="Q39:Q45" si="14">B39</f>
        <v>宗地形状</v>
      </c>
      <c r="R39" s="1323" t="s">
        <v>65</v>
      </c>
      <c r="S39" s="1324">
        <f t="shared" si="10"/>
        <v>100</v>
      </c>
      <c r="T39" s="1323" t="s">
        <v>65</v>
      </c>
      <c r="U39" s="1324">
        <f t="shared" si="11"/>
        <v>100</v>
      </c>
      <c r="V39" s="1323" t="s">
        <v>65</v>
      </c>
      <c r="W39" s="1324">
        <f t="shared" si="12"/>
        <v>100</v>
      </c>
      <c r="X39" s="1317"/>
      <c r="Y39" s="3673"/>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8"/>
      <c r="M40" s="2349"/>
      <c r="N40" s="2349"/>
      <c r="O40" s="2357"/>
      <c r="P40" s="3673"/>
      <c r="Q40" s="1322" t="str">
        <f t="shared" si="14"/>
        <v>临街宽度及深度</v>
      </c>
      <c r="R40" s="1323" t="s">
        <v>65</v>
      </c>
      <c r="S40" s="1324">
        <f t="shared" si="10"/>
        <v>100</v>
      </c>
      <c r="T40" s="1323" t="s">
        <v>65</v>
      </c>
      <c r="U40" s="1324">
        <f t="shared" si="11"/>
        <v>100</v>
      </c>
      <c r="V40" s="1323" t="s">
        <v>65</v>
      </c>
      <c r="W40" s="1324">
        <f t="shared" si="12"/>
        <v>100</v>
      </c>
      <c r="X40" s="1317"/>
      <c r="Y40" s="3673"/>
      <c r="Z40" s="1325" t="str">
        <f t="shared" si="13"/>
        <v>临街宽度及深度</v>
      </c>
      <c r="AA40" s="1326">
        <f t="shared" si="3"/>
        <v>1</v>
      </c>
      <c r="AB40" s="1326">
        <f t="shared" si="4"/>
        <v>1</v>
      </c>
      <c r="AC40" s="1326">
        <f t="shared" si="5"/>
        <v>1</v>
      </c>
    </row>
    <row r="41" spans="1:29" s="407" customFormat="1" ht="15">
      <c r="A41" s="815"/>
      <c r="B41" s="2610" t="s">
        <v>2505</v>
      </c>
      <c r="C41" s="1041"/>
      <c r="D41" s="426">
        <v>100</v>
      </c>
      <c r="E41" s="1041"/>
      <c r="F41" s="777">
        <f>SUMIF(123:123,E41,124:124)-SUMIF(123:123,C41,124:124)+100</f>
        <v>100</v>
      </c>
      <c r="G41" s="1041"/>
      <c r="H41" s="777">
        <f>SUMIF(123:123,G41,124:124)-SUMIF(123:123,C41,124:124)+100</f>
        <v>100</v>
      </c>
      <c r="I41" s="1041"/>
      <c r="J41" s="777">
        <f>SUMIF(123:123,I41,124:124)-SUMIF(123:123,C41,124:124)+100</f>
        <v>100</v>
      </c>
      <c r="K41" s="954"/>
      <c r="L41" s="2350"/>
      <c r="M41" s="2351"/>
      <c r="N41" s="2351"/>
      <c r="O41" s="2352"/>
      <c r="P41" s="3673"/>
      <c r="Q41" s="1322" t="str">
        <f t="shared" si="14"/>
        <v>宗地开发程度</v>
      </c>
      <c r="R41" s="1318" t="s">
        <v>65</v>
      </c>
      <c r="S41" s="1319">
        <f t="shared" si="10"/>
        <v>100</v>
      </c>
      <c r="T41" s="1318" t="s">
        <v>65</v>
      </c>
      <c r="U41" s="1319">
        <f t="shared" si="11"/>
        <v>100</v>
      </c>
      <c r="V41" s="1318" t="s">
        <v>65</v>
      </c>
      <c r="W41" s="1319">
        <f t="shared" si="12"/>
        <v>100</v>
      </c>
      <c r="X41" s="1320"/>
      <c r="Y41" s="3673"/>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8"/>
      <c r="M42" s="2349"/>
      <c r="N42" s="2349"/>
      <c r="O42" s="2357"/>
      <c r="P42" s="3673" t="s">
        <v>409</v>
      </c>
      <c r="Q42" s="1322" t="str">
        <f t="shared" si="14"/>
        <v>工程地质条件</v>
      </c>
      <c r="R42" s="1323" t="s">
        <v>65</v>
      </c>
      <c r="S42" s="1324">
        <f t="shared" si="10"/>
        <v>100</v>
      </c>
      <c r="T42" s="1323" t="s">
        <v>65</v>
      </c>
      <c r="U42" s="1324">
        <f t="shared" si="11"/>
        <v>100</v>
      </c>
      <c r="V42" s="1323" t="s">
        <v>65</v>
      </c>
      <c r="W42" s="1324">
        <f t="shared" si="12"/>
        <v>100</v>
      </c>
      <c r="X42" s="1317"/>
      <c r="Y42" s="3673"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8"/>
      <c r="M43" s="2349"/>
      <c r="N43" s="2349"/>
      <c r="O43" s="2357"/>
      <c r="P43" s="3673"/>
      <c r="Q43" s="1322">
        <f t="shared" si="14"/>
        <v>111</v>
      </c>
      <c r="R43" s="1323" t="s">
        <v>65</v>
      </c>
      <c r="S43" s="1324">
        <f t="shared" si="10"/>
        <v>100</v>
      </c>
      <c r="T43" s="1323" t="s">
        <v>65</v>
      </c>
      <c r="U43" s="1324">
        <f t="shared" si="11"/>
        <v>100</v>
      </c>
      <c r="V43" s="1323" t="s">
        <v>65</v>
      </c>
      <c r="W43" s="1324">
        <f t="shared" si="12"/>
        <v>100</v>
      </c>
      <c r="X43" s="1317"/>
      <c r="Y43" s="3673"/>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8"/>
      <c r="M44" s="2349"/>
      <c r="N44" s="2349"/>
      <c r="O44" s="2357"/>
      <c r="P44" s="3673"/>
      <c r="Q44" s="1322">
        <f t="shared" si="14"/>
        <v>111</v>
      </c>
      <c r="R44" s="1323" t="s">
        <v>65</v>
      </c>
      <c r="S44" s="1324">
        <f t="shared" si="10"/>
        <v>100</v>
      </c>
      <c r="T44" s="1323" t="s">
        <v>65</v>
      </c>
      <c r="U44" s="1324">
        <f t="shared" si="11"/>
        <v>100</v>
      </c>
      <c r="V44" s="1323" t="s">
        <v>65</v>
      </c>
      <c r="W44" s="1324">
        <f t="shared" si="12"/>
        <v>100</v>
      </c>
      <c r="X44" s="1317"/>
      <c r="Y44" s="3673"/>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6"/>
      <c r="M45" s="2359"/>
      <c r="N45" s="2359"/>
      <c r="O45" s="2360"/>
      <c r="P45" s="3673"/>
      <c r="Q45" s="1322">
        <f t="shared" si="14"/>
        <v>111</v>
      </c>
      <c r="R45" s="1328" t="s">
        <v>65</v>
      </c>
      <c r="S45" s="1329">
        <f t="shared" si="10"/>
        <v>100</v>
      </c>
      <c r="T45" s="1328" t="s">
        <v>65</v>
      </c>
      <c r="U45" s="1329">
        <f t="shared" si="11"/>
        <v>100</v>
      </c>
      <c r="V45" s="1328" t="s">
        <v>65</v>
      </c>
      <c r="W45" s="1329">
        <f t="shared" si="12"/>
        <v>100</v>
      </c>
      <c r="X45" s="1330"/>
      <c r="Y45" s="3673"/>
      <c r="Z45" s="1331">
        <f t="shared" si="13"/>
        <v>111</v>
      </c>
      <c r="AA45" s="1326">
        <f t="shared" si="3"/>
        <v>1</v>
      </c>
      <c r="AB45" s="1326">
        <f t="shared" si="4"/>
        <v>1</v>
      </c>
      <c r="AC45" s="1326">
        <f t="shared" si="5"/>
        <v>1</v>
      </c>
    </row>
    <row r="46" spans="1:29" ht="15">
      <c r="A46" s="821" t="s">
        <v>490</v>
      </c>
      <c r="B46" s="207" t="s">
        <v>158</v>
      </c>
      <c r="C46" s="1090" t="s">
        <v>23</v>
      </c>
      <c r="D46" s="823"/>
      <c r="E46" s="203">
        <v>30000</v>
      </c>
      <c r="F46" s="825"/>
      <c r="G46" s="203">
        <v>30000</v>
      </c>
      <c r="H46" s="827"/>
      <c r="I46" s="203">
        <v>30000</v>
      </c>
      <c r="J46" s="827"/>
      <c r="K46" s="1399"/>
      <c r="L46" s="2361"/>
      <c r="M46" s="2362"/>
      <c r="N46" s="2349"/>
      <c r="O46" s="2362"/>
      <c r="P46" s="3665" t="str">
        <f>A46</f>
        <v>成交单价</v>
      </c>
      <c r="Q46" s="3665"/>
      <c r="R46" s="3693">
        <f>E46</f>
        <v>30000</v>
      </c>
      <c r="S46" s="3693"/>
      <c r="T46" s="3693">
        <f>G46</f>
        <v>30000</v>
      </c>
      <c r="U46" s="3693"/>
      <c r="V46" s="3693">
        <f>I46</f>
        <v>30000</v>
      </c>
      <c r="W46" s="3693"/>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61"/>
      <c r="M47" s="2362"/>
      <c r="N47" s="2362"/>
      <c r="O47" s="2362"/>
      <c r="P47" s="3665" t="str">
        <f>A47</f>
        <v>比较价值（元/平方米）</v>
      </c>
      <c r="Q47" s="3665"/>
      <c r="R47" s="3715" t="e">
        <f>ROUND(PRODUCT(R46,AA7:AA45),0)</f>
        <v>#DIV/0!</v>
      </c>
      <c r="S47" s="3715"/>
      <c r="T47" s="3715" t="e">
        <f>ROUND(PRODUCT(T46,AB7:AB45),0)</f>
        <v>#DIV/0!</v>
      </c>
      <c r="U47" s="3715"/>
      <c r="V47" s="3715" t="e">
        <f>ROUND(PRODUCT(V46,AC7:AC45),0)</f>
        <v>#DIV/0!</v>
      </c>
      <c r="W47" s="3715"/>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61"/>
      <c r="M48" s="2362"/>
      <c r="N48" s="2362"/>
      <c r="O48" s="2362"/>
      <c r="P48" s="3667" t="str">
        <f>A48</f>
        <v>估价对象XX用房的比较价值（楼面单价，元/平方米）</v>
      </c>
      <c r="Q48" s="3668"/>
      <c r="R48" s="3714" t="e">
        <f>ROUND(AVERAGE(R47:V47),0)</f>
        <v>#DIV/0!</v>
      </c>
      <c r="S48" s="3714"/>
      <c r="T48" s="3714"/>
      <c r="U48" s="3714"/>
      <c r="V48" s="3714"/>
      <c r="W48" s="3714"/>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8"/>
      <c r="L51" s="2189"/>
      <c r="M51" s="2362"/>
      <c r="N51" s="2362"/>
      <c r="O51" s="2362"/>
    </row>
    <row r="52" spans="1:15" ht="13.5" customHeight="1">
      <c r="A52" s="2362"/>
      <c r="B52" s="2362"/>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8"/>
      <c r="L52" s="2189"/>
      <c r="M52" s="2362"/>
      <c r="N52" s="2362"/>
      <c r="O52" s="2362"/>
    </row>
    <row r="53" spans="1:15" s="844" customFormat="1" ht="13.5" customHeight="1">
      <c r="A53" s="2363"/>
      <c r="B53" s="2363"/>
      <c r="C53" s="839" t="s">
        <v>414</v>
      </c>
      <c r="D53" s="843"/>
      <c r="E53" s="841">
        <f>IF(E46&lt;G46,G46/E46-1,E46/G46-1)</f>
        <v>0</v>
      </c>
      <c r="F53" s="842" t="str">
        <f>IF(OR(E53&gt;=0.3,E53&lt;=-0.3),"超过30%","")</f>
        <v/>
      </c>
      <c r="G53" s="841">
        <f>IF(G46&lt;I46,I46/G46-1,G46/I46-1)</f>
        <v>0</v>
      </c>
      <c r="H53" s="842" t="str">
        <f>IF(OR(G53&gt;=0.3,G53&lt;=-0.3),"超过30%","")</f>
        <v/>
      </c>
      <c r="I53" s="841">
        <f>IF(I46&lt;E46,E46/I46-1,I46/E46-1)</f>
        <v>0</v>
      </c>
      <c r="J53" s="842" t="str">
        <f>IF(OR(I53&gt;=0.3,I53&lt;=-0.3),"超过30%","")</f>
        <v/>
      </c>
      <c r="K53" s="2366"/>
      <c r="L53" s="2367"/>
      <c r="M53" s="2363"/>
      <c r="N53" s="2363"/>
      <c r="O53" s="2363"/>
    </row>
    <row r="54" spans="1:15" s="844"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491</v>
      </c>
      <c r="B55" s="1093" t="s">
        <v>492</v>
      </c>
      <c r="C55" s="1777" t="s">
        <v>1892</v>
      </c>
      <c r="D55" s="2393" t="s">
        <v>2330</v>
      </c>
      <c r="E55" s="1094" t="s">
        <v>493</v>
      </c>
      <c r="F55" s="2190" t="s">
        <v>494</v>
      </c>
      <c r="G55" s="3705" t="s">
        <v>2323</v>
      </c>
      <c r="H55" s="3706"/>
      <c r="I55" s="2191" t="s">
        <v>1891</v>
      </c>
      <c r="J55" s="2195">
        <f>项目基本情况!F35</f>
        <v>0</v>
      </c>
      <c r="K55" s="2376" t="s">
        <v>1893</v>
      </c>
      <c r="L55" s="2189"/>
      <c r="M55" s="2362"/>
      <c r="N55" s="2362"/>
      <c r="O55" s="2362"/>
    </row>
    <row r="56" spans="1:15" s="1100" customFormat="1">
      <c r="A56" s="1096" t="s">
        <v>495</v>
      </c>
      <c r="B56" s="1097" t="e">
        <f>C48</f>
        <v>#DIV/0!</v>
      </c>
      <c r="C56" s="1098">
        <v>1</v>
      </c>
      <c r="D56" s="2394">
        <v>1</v>
      </c>
      <c r="E56" s="1098">
        <f>'数据-汇总表'!E8+'数据-汇总表'!E9</f>
        <v>49.46</v>
      </c>
      <c r="F56" s="2186" t="e">
        <f t="shared" ref="F56:F65" si="15">ROUND(B56*E56/10000,0)</f>
        <v>#DIV/0!</v>
      </c>
      <c r="G56" s="3707"/>
      <c r="H56" s="3708"/>
      <c r="I56" s="2192">
        <v>1</v>
      </c>
      <c r="J56" s="2196">
        <v>1</v>
      </c>
      <c r="K56" s="2363"/>
      <c r="L56" s="1774"/>
      <c r="M56" s="1774"/>
      <c r="N56" s="1774"/>
      <c r="O56" s="1774"/>
    </row>
    <row r="57" spans="1:15" s="1100" customFormat="1">
      <c r="A57" s="1101" t="s">
        <v>496</v>
      </c>
      <c r="B57" s="594" t="e">
        <f>ROUND($C$48*C57*D57,0)</f>
        <v>#DIV/0!</v>
      </c>
      <c r="C57" s="532">
        <f t="shared" ref="C57:C65" si="16">IF($C$55="北京市系数",I57,J57)</f>
        <v>0.8</v>
      </c>
      <c r="D57" s="2395">
        <v>0.25</v>
      </c>
      <c r="E57" s="1102"/>
      <c r="F57" s="2186" t="e">
        <f t="shared" si="15"/>
        <v>#DIV/0!</v>
      </c>
      <c r="G57" s="3709" t="s">
        <v>2324</v>
      </c>
      <c r="H57" s="2187" t="str">
        <f>项目基本情况!B37</f>
        <v>二级</v>
      </c>
      <c r="I57" s="2192">
        <f>SUMIF(修正!A45:A56,H57,修正!B45:B56)</f>
        <v>0.8</v>
      </c>
      <c r="J57" s="2197"/>
      <c r="K57" s="2362"/>
      <c r="L57" s="1774"/>
      <c r="M57" s="1774"/>
      <c r="N57" s="1774"/>
      <c r="O57" s="1774"/>
    </row>
    <row r="58" spans="1:15" s="1100" customFormat="1">
      <c r="A58" s="1101" t="s">
        <v>497</v>
      </c>
      <c r="B58" s="594" t="e">
        <f t="shared" ref="B58:B65" si="17">ROUND($C$48*C58*D58,0)</f>
        <v>#DIV/0!</v>
      </c>
      <c r="C58" s="532">
        <f t="shared" si="16"/>
        <v>0.5</v>
      </c>
      <c r="D58" s="2395">
        <v>0.25</v>
      </c>
      <c r="E58" s="1102"/>
      <c r="F58" s="2186" t="e">
        <f t="shared" si="15"/>
        <v>#DIV/0!</v>
      </c>
      <c r="G58" s="3709"/>
      <c r="H58" s="2187" t="str">
        <f>项目基本情况!B37</f>
        <v>二级</v>
      </c>
      <c r="I58" s="2192">
        <f>SUMIF(修正!A45:A56,H58,修正!C45:C56)</f>
        <v>0.5</v>
      </c>
      <c r="J58" s="2197"/>
      <c r="K58" s="2363"/>
      <c r="L58" s="1774"/>
      <c r="M58" s="1774"/>
      <c r="N58" s="1774"/>
      <c r="O58" s="1774"/>
    </row>
    <row r="59" spans="1:15" s="1100" customFormat="1">
      <c r="A59" s="1101" t="s">
        <v>498</v>
      </c>
      <c r="B59" s="594" t="e">
        <f t="shared" si="17"/>
        <v>#DIV/0!</v>
      </c>
      <c r="C59" s="532">
        <f t="shared" si="16"/>
        <v>0.36</v>
      </c>
      <c r="D59" s="2395">
        <v>0.25</v>
      </c>
      <c r="E59" s="1102"/>
      <c r="F59" s="2186" t="e">
        <f t="shared" si="15"/>
        <v>#DIV/0!</v>
      </c>
      <c r="G59" s="3709"/>
      <c r="H59" s="2187" t="str">
        <f>项目基本情况!B37</f>
        <v>二级</v>
      </c>
      <c r="I59" s="2192">
        <f>SUMIF(修正!A45:A56,H59,修正!D45:D56)</f>
        <v>0.36</v>
      </c>
      <c r="J59" s="2197"/>
      <c r="K59" s="2362"/>
      <c r="L59" s="1774"/>
      <c r="M59" s="1774"/>
      <c r="N59" s="1774"/>
      <c r="O59" s="1774"/>
    </row>
    <row r="60" spans="1:15" s="1100" customFormat="1">
      <c r="A60" s="1101" t="s">
        <v>499</v>
      </c>
      <c r="B60" s="594" t="e">
        <f t="shared" si="17"/>
        <v>#DIV/0!</v>
      </c>
      <c r="C60" s="532">
        <f t="shared" si="16"/>
        <v>0.3</v>
      </c>
      <c r="D60" s="2395">
        <v>0.25</v>
      </c>
      <c r="E60" s="1102"/>
      <c r="F60" s="2186" t="e">
        <f t="shared" si="15"/>
        <v>#DIV/0!</v>
      </c>
      <c r="G60" s="3709"/>
      <c r="H60" s="2187" t="str">
        <f>项目基本情况!B37</f>
        <v>二级</v>
      </c>
      <c r="I60" s="2192">
        <f>SUMIF(修正!A45:A56,H60,修正!E45:E56)</f>
        <v>0.3</v>
      </c>
      <c r="J60" s="2197"/>
      <c r="K60" s="2363"/>
      <c r="L60" s="1774"/>
      <c r="M60" s="1774"/>
      <c r="N60" s="1774"/>
      <c r="O60" s="1774"/>
    </row>
    <row r="61" spans="1:15" s="1100" customFormat="1">
      <c r="A61" s="2515" t="s">
        <v>2405</v>
      </c>
      <c r="B61" s="594" t="e">
        <f t="shared" si="17"/>
        <v>#DIV/0!</v>
      </c>
      <c r="C61" s="532">
        <f t="shared" si="16"/>
        <v>0</v>
      </c>
      <c r="D61" s="2395">
        <v>0.25</v>
      </c>
      <c r="E61" s="593">
        <f>'数据-汇总表'!E11</f>
        <v>0</v>
      </c>
      <c r="F61" s="2186" t="e">
        <f t="shared" si="15"/>
        <v>#DIV/0!</v>
      </c>
      <c r="G61" s="2199" t="s">
        <v>2325</v>
      </c>
      <c r="H61" s="2187">
        <f>项目基本情况!C37</f>
        <v>0</v>
      </c>
      <c r="I61" s="2192">
        <f>SUMIF(修正!A45:A56,H61,修正!F45:F56)</f>
        <v>0</v>
      </c>
      <c r="J61" s="2197"/>
      <c r="K61" s="2362"/>
      <c r="L61" s="1774"/>
      <c r="M61" s="1774"/>
      <c r="N61" s="1774"/>
      <c r="O61" s="1774"/>
    </row>
    <row r="62" spans="1:15" s="1100" customFormat="1">
      <c r="A62" s="1101" t="s">
        <v>500</v>
      </c>
      <c r="B62" s="594" t="e">
        <f t="shared" si="17"/>
        <v>#DIV/0!</v>
      </c>
      <c r="C62" s="532">
        <f t="shared" si="16"/>
        <v>0.3</v>
      </c>
      <c r="D62" s="2395">
        <v>0.25</v>
      </c>
      <c r="E62" s="593">
        <f>'数据-汇总表'!E12</f>
        <v>2530.29</v>
      </c>
      <c r="F62" s="2186" t="e">
        <f t="shared" si="15"/>
        <v>#DIV/0!</v>
      </c>
      <c r="G62" s="2193" t="s">
        <v>40</v>
      </c>
      <c r="H62" s="2187" t="str">
        <f>IF(G62="商业",项目基本情况!B37,IF(G62="办公",项目基本情况!C37,IF(G62="住宅",项目基本情况!D37,项目基本情况!E37)))</f>
        <v>二级</v>
      </c>
      <c r="I62" s="2192">
        <f>SUMIF(修正!A45:A56,H62,修正!G45:G56)</f>
        <v>0.3</v>
      </c>
      <c r="J62" s="2197"/>
      <c r="K62" s="2363"/>
      <c r="L62" s="1774"/>
      <c r="M62" s="1774"/>
      <c r="N62" s="1774"/>
      <c r="O62" s="1774"/>
    </row>
    <row r="63" spans="1:15" s="1100" customFormat="1">
      <c r="A63" s="1101" t="s">
        <v>501</v>
      </c>
      <c r="B63" s="594" t="e">
        <f t="shared" si="17"/>
        <v>#DIV/0!</v>
      </c>
      <c r="C63" s="532">
        <f t="shared" si="16"/>
        <v>0.25</v>
      </c>
      <c r="D63" s="2395">
        <v>0.25</v>
      </c>
      <c r="E63" s="593">
        <f>'数据-汇总表'!E13</f>
        <v>0</v>
      </c>
      <c r="F63" s="2186" t="e">
        <f t="shared" si="15"/>
        <v>#DIV/0!</v>
      </c>
      <c r="G63" s="2193" t="s">
        <v>40</v>
      </c>
      <c r="H63" s="2187" t="str">
        <f>IF(G63="商业",项目基本情况!B37,IF(G63="办公",项目基本情况!C37,IF(G63="住宅",项目基本情况!D37,项目基本情况!E37)))</f>
        <v>二级</v>
      </c>
      <c r="I63" s="2192">
        <f>SUMIF(修正!A45:A56,H63,修正!H45:H56)</f>
        <v>0.25</v>
      </c>
      <c r="J63" s="2197"/>
      <c r="K63" s="2362"/>
      <c r="L63" s="1774"/>
      <c r="M63" s="1774"/>
      <c r="N63" s="1774"/>
      <c r="O63" s="1774"/>
    </row>
    <row r="64" spans="1:15" s="1100" customFormat="1">
      <c r="A64" s="1101" t="s">
        <v>502</v>
      </c>
      <c r="B64" s="594" t="e">
        <f t="shared" si="17"/>
        <v>#DIV/0!</v>
      </c>
      <c r="C64" s="532">
        <f t="shared" si="16"/>
        <v>0.25</v>
      </c>
      <c r="D64" s="2395">
        <v>0.25</v>
      </c>
      <c r="E64" s="593">
        <f>'数据-汇总表'!E14</f>
        <v>0</v>
      </c>
      <c r="F64" s="2186" t="e">
        <f t="shared" si="15"/>
        <v>#DIV/0!</v>
      </c>
      <c r="G64" s="2199" t="s">
        <v>2326</v>
      </c>
      <c r="H64" s="2187" t="str">
        <f>项目基本情况!B37</f>
        <v>二级</v>
      </c>
      <c r="I64" s="2192">
        <f>SUMIF(修正!A45:A56,H64,修正!H45:H56)</f>
        <v>0.25</v>
      </c>
      <c r="J64" s="2197"/>
      <c r="K64" s="2363"/>
      <c r="L64" s="1774"/>
      <c r="M64" s="1774"/>
      <c r="N64" s="1774"/>
      <c r="O64" s="1774"/>
    </row>
    <row r="65" spans="1:17" s="1100" customFormat="1" ht="15" thickBot="1">
      <c r="A65" s="1101" t="s">
        <v>503</v>
      </c>
      <c r="B65" s="594" t="e">
        <f t="shared" si="17"/>
        <v>#DIV/0!</v>
      </c>
      <c r="C65" s="532">
        <f t="shared" si="16"/>
        <v>0</v>
      </c>
      <c r="D65" s="2395">
        <v>0.25</v>
      </c>
      <c r="E65" s="593">
        <f>'数据-汇总表'!E15</f>
        <v>0</v>
      </c>
      <c r="F65" s="2186" t="e">
        <f t="shared" si="15"/>
        <v>#DIV/0!</v>
      </c>
      <c r="G65" s="2200" t="s">
        <v>2325</v>
      </c>
      <c r="H65" s="2201">
        <f>项目基本情况!C37</f>
        <v>0</v>
      </c>
      <c r="I65" s="2194">
        <f>SUMIF(修正!A45:A56,H65,修正!H45:H56)</f>
        <v>0</v>
      </c>
      <c r="J65" s="2198"/>
      <c r="K65" s="2362"/>
      <c r="L65" s="1774"/>
      <c r="M65" s="1774"/>
      <c r="N65" s="1774"/>
      <c r="O65" s="1774"/>
    </row>
    <row r="66" spans="1:17" s="1100" customFormat="1" ht="13.5" thickBot="1">
      <c r="A66" s="1103" t="s">
        <v>504</v>
      </c>
      <c r="B66" s="1104" t="s">
        <v>156</v>
      </c>
      <c r="C66" s="1104" t="s">
        <v>157</v>
      </c>
      <c r="D66" s="1104" t="s">
        <v>2331</v>
      </c>
      <c r="E66" s="1104">
        <f>IF(B46="楼面地价",SUM(E56:E65),'数据-汇总表'!D3)</f>
        <v>2579.75</v>
      </c>
      <c r="F66" s="1105" t="e">
        <f>IF(B46="楼面地价",SUM(F56:F65),ROUND(C48*E66/10000,0))</f>
        <v>#DIV/0!</v>
      </c>
      <c r="G66" s="1414"/>
      <c r="H66" s="1414"/>
      <c r="I66" s="1414"/>
      <c r="J66" s="1414"/>
      <c r="K66" s="2377"/>
      <c r="L66" s="1774"/>
      <c r="M66" s="1774"/>
      <c r="N66" s="1774"/>
      <c r="O66" s="1774"/>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2017-11-1</v>
      </c>
      <c r="D68" s="1308">
        <f>EDATE(C68,-3)</f>
        <v>42948</v>
      </c>
      <c r="E68" s="1308">
        <f>EDATE(D68,-3)</f>
        <v>42856</v>
      </c>
      <c r="F68" s="1308">
        <f t="shared" ref="F68:O68" si="18">EDATE(E68,-3)</f>
        <v>42767</v>
      </c>
      <c r="G68" s="1308">
        <f t="shared" si="18"/>
        <v>42675</v>
      </c>
      <c r="H68" s="1308">
        <f t="shared" si="18"/>
        <v>42583</v>
      </c>
      <c r="I68" s="1308">
        <f t="shared" si="18"/>
        <v>42491</v>
      </c>
      <c r="J68" s="1308">
        <f t="shared" si="18"/>
        <v>42401</v>
      </c>
      <c r="K68" s="1308">
        <f t="shared" si="18"/>
        <v>42309</v>
      </c>
      <c r="L68" s="1308">
        <f t="shared" si="18"/>
        <v>42217</v>
      </c>
      <c r="M68" s="1308">
        <f t="shared" si="18"/>
        <v>42125</v>
      </c>
      <c r="N68" s="1308">
        <f t="shared" si="18"/>
        <v>42036</v>
      </c>
      <c r="O68" s="1308">
        <f t="shared" si="18"/>
        <v>41944</v>
      </c>
    </row>
    <row r="69" spans="1:17" ht="21.75" thickBot="1">
      <c r="A69" s="1310" t="s">
        <v>415</v>
      </c>
      <c r="B69" s="1306"/>
      <c r="C69" s="1311"/>
      <c r="D69" s="1311"/>
      <c r="E69" s="1311"/>
      <c r="F69" s="1312"/>
      <c r="G69" s="1312"/>
      <c r="H69" s="1311"/>
      <c r="I69" s="1311"/>
      <c r="J69" s="2378"/>
      <c r="K69" s="2379"/>
      <c r="L69" s="2380"/>
      <c r="M69" s="2378"/>
      <c r="N69" s="2378"/>
      <c r="O69" s="2378"/>
      <c r="P69" s="845"/>
      <c r="Q69" s="846"/>
    </row>
    <row r="70" spans="1:17" s="850" customFormat="1" ht="15">
      <c r="A70" s="2706" t="s">
        <v>2796</v>
      </c>
      <c r="B70" s="2707"/>
      <c r="C70" s="3041" t="str">
        <f>YEAR(C68)&amp;"-"&amp;ROUNDUP(MONTH(C68)/3,0)</f>
        <v>2017-4</v>
      </c>
      <c r="D70" s="3041" t="str">
        <f>YEAR(D68)&amp;"-"&amp;ROUNDUP(MONTH(D68)/3,0)</f>
        <v>2017-3</v>
      </c>
      <c r="E70" s="3041" t="str">
        <f t="shared" ref="E70:O70" si="19">YEAR(E68)&amp;"-"&amp;ROUNDUP(MONTH(E68)/3,0)</f>
        <v>2017-2</v>
      </c>
      <c r="F70" s="3041" t="str">
        <f t="shared" si="19"/>
        <v>2017-1</v>
      </c>
      <c r="G70" s="3041" t="str">
        <f t="shared" si="19"/>
        <v>2016-4</v>
      </c>
      <c r="H70" s="3041" t="str">
        <f t="shared" si="19"/>
        <v>2016-3</v>
      </c>
      <c r="I70" s="3041" t="str">
        <f t="shared" si="19"/>
        <v>2016-2</v>
      </c>
      <c r="J70" s="3041" t="str">
        <f t="shared" si="19"/>
        <v>2016-1</v>
      </c>
      <c r="K70" s="3041" t="str">
        <f t="shared" si="19"/>
        <v>2015-4</v>
      </c>
      <c r="L70" s="3041" t="str">
        <f t="shared" si="19"/>
        <v>2015-3</v>
      </c>
      <c r="M70" s="3041" t="str">
        <f t="shared" si="19"/>
        <v>2015-2</v>
      </c>
      <c r="N70" s="3041" t="str">
        <f t="shared" si="19"/>
        <v>2015-1</v>
      </c>
      <c r="O70" s="3041" t="str">
        <f t="shared" si="19"/>
        <v>2014-4</v>
      </c>
      <c r="P70" s="849"/>
    </row>
    <row r="71" spans="1:17" s="407" customFormat="1" ht="30" customHeight="1">
      <c r="A71" s="3044" t="s">
        <v>40</v>
      </c>
      <c r="B71" s="664" t="str">
        <f>"北京市平均增长率"&amp;TEXT(SUMIF(基准地价修正!N21:N25,A71,基准地价修正!P21:P25),"0.00%")</f>
        <v>北京市平均增长率2.66%</v>
      </c>
      <c r="C71" s="945">
        <v>100</v>
      </c>
      <c r="D71" s="937"/>
      <c r="E71" s="937"/>
      <c r="F71" s="937"/>
      <c r="G71" s="937"/>
      <c r="H71" s="937"/>
      <c r="I71" s="937"/>
      <c r="J71" s="937"/>
      <c r="K71" s="937"/>
      <c r="L71" s="937"/>
      <c r="M71" s="3035"/>
      <c r="N71" s="937"/>
      <c r="O71" s="3036"/>
      <c r="P71" s="846"/>
    </row>
    <row r="72" spans="1:17" s="407" customFormat="1" ht="15.75" thickBot="1">
      <c r="A72" s="857" t="s">
        <v>416</v>
      </c>
      <c r="B72" s="858"/>
      <c r="C72" s="859"/>
      <c r="D72" s="860"/>
      <c r="E72" s="860"/>
      <c r="F72" s="860"/>
      <c r="G72" s="860"/>
      <c r="H72" s="860"/>
      <c r="I72" s="860"/>
      <c r="J72" s="860"/>
      <c r="K72" s="860"/>
      <c r="L72" s="860"/>
      <c r="M72" s="861"/>
      <c r="N72" s="860"/>
      <c r="O72" s="2381"/>
      <c r="P72" s="846"/>
      <c r="Q72" s="846"/>
    </row>
    <row r="73" spans="1:17" s="407" customFormat="1" ht="15">
      <c r="A73" s="863" t="s">
        <v>400</v>
      </c>
      <c r="B73" s="852"/>
      <c r="C73" s="864" t="s">
        <v>417</v>
      </c>
      <c r="D73" s="140"/>
      <c r="E73" s="140"/>
      <c r="F73" s="140"/>
      <c r="G73" s="140"/>
      <c r="H73" s="140"/>
      <c r="I73" s="140"/>
      <c r="J73" s="140"/>
      <c r="K73" s="140"/>
      <c r="L73" s="141"/>
      <c r="M73" s="1050"/>
      <c r="N73" s="2369"/>
      <c r="O73" s="2369"/>
      <c r="P73" s="868"/>
      <c r="Q73" s="846"/>
    </row>
    <row r="74" spans="1:17" s="407" customFormat="1" ht="15.75" thickBot="1">
      <c r="A74" s="863"/>
      <c r="B74" s="852"/>
      <c r="C74" s="981">
        <v>100</v>
      </c>
      <c r="D74" s="854"/>
      <c r="E74" s="854"/>
      <c r="F74" s="854"/>
      <c r="G74" s="854"/>
      <c r="H74" s="854"/>
      <c r="I74" s="854"/>
      <c r="J74" s="854"/>
      <c r="K74" s="854"/>
      <c r="L74" s="854"/>
      <c r="M74" s="856"/>
      <c r="N74" s="2369"/>
      <c r="O74" s="2369"/>
      <c r="P74" s="846"/>
      <c r="Q74" s="846"/>
    </row>
    <row r="75" spans="1:17">
      <c r="A75" s="869" t="s">
        <v>418</v>
      </c>
      <c r="B75" s="870" t="s">
        <v>419</v>
      </c>
      <c r="C75" s="122"/>
      <c r="D75" s="122"/>
      <c r="E75" s="122"/>
      <c r="F75" s="122"/>
      <c r="G75" s="122"/>
      <c r="H75" s="122"/>
      <c r="I75" s="122"/>
      <c r="J75" s="122"/>
      <c r="K75" s="123"/>
      <c r="L75" s="124"/>
      <c r="M75" s="125"/>
      <c r="N75" s="2370"/>
      <c r="O75" s="2370"/>
      <c r="P75" s="334"/>
      <c r="Q75" s="846"/>
    </row>
    <row r="76" spans="1:17" ht="15.75" thickBot="1">
      <c r="A76" s="876"/>
      <c r="B76" s="877"/>
      <c r="C76" s="878"/>
      <c r="D76" s="878"/>
      <c r="E76" s="878"/>
      <c r="F76" s="878"/>
      <c r="G76" s="878"/>
      <c r="H76" s="878"/>
      <c r="I76" s="878"/>
      <c r="J76" s="878"/>
      <c r="K76" s="878"/>
      <c r="L76" s="878"/>
      <c r="M76" s="879"/>
      <c r="N76" s="2371"/>
      <c r="O76" s="2371"/>
      <c r="P76" s="334"/>
      <c r="Q76" s="846"/>
    </row>
    <row r="77" spans="1:17" ht="27.75" thickTop="1">
      <c r="A77" s="876"/>
      <c r="B77" s="880" t="s">
        <v>404</v>
      </c>
      <c r="C77" s="881"/>
      <c r="D77" s="881"/>
      <c r="E77" s="881"/>
      <c r="F77" s="881"/>
      <c r="G77" s="881"/>
      <c r="H77" s="881"/>
      <c r="I77" s="881"/>
      <c r="J77" s="881"/>
      <c r="K77" s="882"/>
      <c r="L77" s="883"/>
      <c r="M77" s="884"/>
      <c r="N77" s="2370"/>
      <c r="O77" s="2370"/>
      <c r="P77" s="334"/>
      <c r="Q77" s="846"/>
    </row>
    <row r="78" spans="1:17" ht="15.75" thickBot="1">
      <c r="A78" s="876"/>
      <c r="B78" s="885"/>
      <c r="C78" s="886"/>
      <c r="D78" s="886"/>
      <c r="E78" s="886"/>
      <c r="F78" s="886"/>
      <c r="G78" s="886"/>
      <c r="H78" s="886"/>
      <c r="I78" s="886"/>
      <c r="J78" s="886"/>
      <c r="K78" s="886"/>
      <c r="L78" s="886"/>
      <c r="M78" s="887"/>
      <c r="N78" s="2371"/>
      <c r="O78" s="2371"/>
      <c r="P78" s="334"/>
      <c r="Q78" s="846"/>
    </row>
    <row r="79" spans="1:17" ht="15.75" thickTop="1">
      <c r="A79" s="876"/>
      <c r="B79" s="888" t="s">
        <v>405</v>
      </c>
      <c r="C79" s="889" t="str">
        <f>C80&amp;"（含）"&amp;"-"&amp;D80</f>
        <v>0（含）-1</v>
      </c>
      <c r="D79" s="889" t="str">
        <f t="shared" ref="D79:L79" si="20">D80&amp;"（含）"&amp;"-"&amp;E80</f>
        <v>1（含）-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1"/>
      <c r="O79" s="2371"/>
      <c r="P79" s="334"/>
      <c r="Q79" s="846"/>
    </row>
    <row r="80" spans="1:17" ht="15">
      <c r="A80" s="876"/>
      <c r="B80" s="890"/>
      <c r="C80" s="891">
        <v>0</v>
      </c>
      <c r="D80" s="891">
        <v>1</v>
      </c>
      <c r="E80" s="891"/>
      <c r="F80" s="891"/>
      <c r="G80" s="891"/>
      <c r="H80" s="891"/>
      <c r="I80" s="891"/>
      <c r="J80" s="891"/>
      <c r="K80" s="892"/>
      <c r="L80" s="893"/>
      <c r="M80" s="894"/>
      <c r="N80" s="2370"/>
      <c r="O80" s="2370"/>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1"/>
      <c r="O81" s="2371"/>
      <c r="P81" s="334"/>
      <c r="Q81" s="846"/>
    </row>
    <row r="82" spans="1:17" s="813" customFormat="1" ht="15.75" thickTop="1">
      <c r="A82" s="895"/>
      <c r="B82" s="880" t="str">
        <f>B12</f>
        <v>配建</v>
      </c>
      <c r="C82" s="139"/>
      <c r="D82" s="139"/>
      <c r="E82" s="139"/>
      <c r="F82" s="139"/>
      <c r="G82" s="139"/>
      <c r="H82" s="1058"/>
      <c r="I82" s="1058"/>
      <c r="J82" s="1058"/>
      <c r="K82" s="1058"/>
      <c r="L82" s="1059"/>
      <c r="M82" s="1060"/>
      <c r="N82" s="2372"/>
      <c r="O82" s="2372"/>
      <c r="P82" s="900"/>
      <c r="Q82" s="901"/>
    </row>
    <row r="83" spans="1:17" s="813" customFormat="1" ht="15.75" thickBot="1">
      <c r="A83" s="895"/>
      <c r="B83" s="885"/>
      <c r="C83" s="902"/>
      <c r="D83" s="878"/>
      <c r="E83" s="878"/>
      <c r="F83" s="878"/>
      <c r="G83" s="878"/>
      <c r="H83" s="878"/>
      <c r="I83" s="878"/>
      <c r="J83" s="878"/>
      <c r="K83" s="878"/>
      <c r="L83" s="878"/>
      <c r="M83" s="879"/>
      <c r="N83" s="2371"/>
      <c r="O83" s="2371"/>
      <c r="P83" s="900"/>
      <c r="Q83" s="901"/>
    </row>
    <row r="84" spans="1:17" s="813" customFormat="1" ht="15.75" thickTop="1">
      <c r="A84" s="895"/>
      <c r="B84" s="880">
        <f>B13</f>
        <v>111</v>
      </c>
      <c r="C84" s="139"/>
      <c r="D84" s="139"/>
      <c r="E84" s="139"/>
      <c r="F84" s="139"/>
      <c r="G84" s="139"/>
      <c r="H84" s="1058"/>
      <c r="I84" s="1058"/>
      <c r="J84" s="1058"/>
      <c r="K84" s="1058"/>
      <c r="L84" s="1059"/>
      <c r="M84" s="1060"/>
      <c r="N84" s="2372"/>
      <c r="O84" s="2372"/>
      <c r="P84" s="812"/>
      <c r="Q84" s="903"/>
    </row>
    <row r="85" spans="1:17" s="813" customFormat="1" ht="15.75" thickBot="1">
      <c r="A85" s="895"/>
      <c r="B85" s="885"/>
      <c r="C85" s="902"/>
      <c r="D85" s="902"/>
      <c r="E85" s="902"/>
      <c r="F85" s="902"/>
      <c r="G85" s="902"/>
      <c r="H85" s="904"/>
      <c r="I85" s="904"/>
      <c r="J85" s="904"/>
      <c r="K85" s="904"/>
      <c r="L85" s="904"/>
      <c r="M85" s="905"/>
      <c r="N85" s="2372"/>
      <c r="O85" s="2372"/>
      <c r="P85" s="900"/>
      <c r="Q85" s="901"/>
    </row>
    <row r="86" spans="1:17" s="813" customFormat="1" ht="15.75" thickTop="1">
      <c r="A86" s="895"/>
      <c r="B86" s="888">
        <f>B14</f>
        <v>111</v>
      </c>
      <c r="C86" s="140"/>
      <c r="D86" s="140"/>
      <c r="E86" s="140"/>
      <c r="F86" s="140"/>
      <c r="G86" s="140"/>
      <c r="H86" s="1065"/>
      <c r="I86" s="1065"/>
      <c r="J86" s="1065"/>
      <c r="K86" s="1065"/>
      <c r="L86" s="1066"/>
      <c r="M86" s="1067"/>
      <c r="N86" s="2372"/>
      <c r="O86" s="2372"/>
      <c r="P86" s="909"/>
      <c r="Q86" s="901"/>
    </row>
    <row r="87" spans="1:17" s="813" customFormat="1" ht="15.75" thickBot="1">
      <c r="A87" s="910"/>
      <c r="B87" s="911"/>
      <c r="C87" s="912"/>
      <c r="D87" s="912"/>
      <c r="E87" s="912"/>
      <c r="F87" s="912"/>
      <c r="G87" s="912"/>
      <c r="H87" s="913"/>
      <c r="I87" s="913"/>
      <c r="J87" s="913"/>
      <c r="K87" s="913"/>
      <c r="L87" s="913"/>
      <c r="M87" s="914"/>
      <c r="N87" s="2372"/>
      <c r="O87" s="2372"/>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70"/>
      <c r="O88" s="2370"/>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1"/>
      <c r="O89" s="2371"/>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70"/>
      <c r="O90" s="2370"/>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1"/>
      <c r="O91" s="2371"/>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70"/>
      <c r="O92" s="2370"/>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1"/>
      <c r="O93" s="2371"/>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70"/>
      <c r="O94" s="2370"/>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1"/>
      <c r="O95" s="2371"/>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9"/>
      <c r="O96" s="2369"/>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1"/>
      <c r="O97" s="2371"/>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9"/>
      <c r="O98" s="2369"/>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71"/>
      <c r="O99" s="2371"/>
      <c r="P99" s="334"/>
      <c r="Q99" s="846"/>
    </row>
    <row r="100" spans="1:17" s="813" customFormat="1" ht="15.75" thickTop="1">
      <c r="A100" s="895"/>
      <c r="B100" s="1053" t="s">
        <v>2673</v>
      </c>
      <c r="C100" s="915" t="s">
        <v>425</v>
      </c>
      <c r="D100" s="915" t="s">
        <v>426</v>
      </c>
      <c r="E100" s="915" t="s">
        <v>427</v>
      </c>
      <c r="F100" s="915" t="s">
        <v>428</v>
      </c>
      <c r="G100" s="915" t="s">
        <v>429</v>
      </c>
      <c r="H100" s="942"/>
      <c r="I100" s="942"/>
      <c r="J100" s="942"/>
      <c r="K100" s="942"/>
      <c r="L100" s="943"/>
      <c r="M100" s="944"/>
      <c r="N100" s="2372"/>
      <c r="O100" s="2372"/>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2"/>
      <c r="O101" s="2372"/>
      <c r="P101" s="900"/>
      <c r="Q101" s="901"/>
    </row>
    <row r="102" spans="1:17" s="813" customFormat="1" ht="15.75" thickTop="1">
      <c r="A102" s="895"/>
      <c r="B102" s="1055" t="s">
        <v>2660</v>
      </c>
      <c r="C102" s="213" t="s">
        <v>2661</v>
      </c>
      <c r="D102" s="213" t="s">
        <v>2662</v>
      </c>
      <c r="E102" s="213" t="s">
        <v>2663</v>
      </c>
      <c r="F102" s="213" t="s">
        <v>2664</v>
      </c>
      <c r="G102" s="213" t="s">
        <v>2665</v>
      </c>
      <c r="H102" s="942"/>
      <c r="I102" s="942"/>
      <c r="J102" s="942"/>
      <c r="K102" s="942"/>
      <c r="L102" s="942"/>
      <c r="M102" s="2770"/>
      <c r="N102" s="2372"/>
      <c r="O102" s="2372"/>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70"/>
      <c r="N103" s="2372"/>
      <c r="O103" s="2372"/>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70"/>
      <c r="O104" s="2370"/>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1"/>
      <c r="O105" s="2371"/>
      <c r="P105" s="334"/>
      <c r="Q105" s="846"/>
    </row>
    <row r="106" spans="1:17" ht="27.75" thickTop="1">
      <c r="A106" s="876"/>
      <c r="B106" s="880" t="s">
        <v>442</v>
      </c>
      <c r="C106" s="139"/>
      <c r="D106" s="139"/>
      <c r="E106" s="139"/>
      <c r="F106" s="139"/>
      <c r="G106" s="139"/>
      <c r="H106" s="131"/>
      <c r="I106" s="131"/>
      <c r="J106" s="131"/>
      <c r="K106" s="132"/>
      <c r="L106" s="133"/>
      <c r="M106" s="134"/>
      <c r="N106" s="2370"/>
      <c r="O106" s="2370"/>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1"/>
      <c r="O107" s="2371"/>
      <c r="P107" s="334"/>
      <c r="Q107" s="846"/>
    </row>
    <row r="108" spans="1:17" ht="15.75" thickTop="1">
      <c r="A108" s="876"/>
      <c r="B108" s="880" t="s">
        <v>485</v>
      </c>
      <c r="C108" s="131"/>
      <c r="D108" s="131"/>
      <c r="E108" s="131"/>
      <c r="F108" s="131"/>
      <c r="G108" s="131"/>
      <c r="H108" s="131"/>
      <c r="I108" s="131"/>
      <c r="J108" s="131"/>
      <c r="K108" s="132"/>
      <c r="L108" s="133"/>
      <c r="M108" s="134"/>
      <c r="N108" s="2370"/>
      <c r="O108" s="2370"/>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1"/>
      <c r="O109" s="2371"/>
      <c r="P109" s="334"/>
      <c r="Q109" s="846"/>
    </row>
    <row r="110" spans="1:17" ht="15.75" thickTop="1">
      <c r="A110" s="876"/>
      <c r="B110" s="888">
        <f>B35</f>
        <v>111</v>
      </c>
      <c r="C110" s="139"/>
      <c r="D110" s="139"/>
      <c r="E110" s="139"/>
      <c r="F110" s="139"/>
      <c r="G110" s="135"/>
      <c r="H110" s="135"/>
      <c r="I110" s="135"/>
      <c r="J110" s="135"/>
      <c r="K110" s="136"/>
      <c r="L110" s="137"/>
      <c r="M110" s="138"/>
      <c r="N110" s="2370"/>
      <c r="O110" s="2370"/>
      <c r="P110" s="334"/>
      <c r="Q110" s="846"/>
    </row>
    <row r="111" spans="1:17" ht="15.75" thickBot="1">
      <c r="A111" s="876"/>
      <c r="B111" s="911"/>
      <c r="C111" s="902"/>
      <c r="D111" s="902"/>
      <c r="E111" s="902"/>
      <c r="F111" s="902"/>
      <c r="G111" s="933"/>
      <c r="H111" s="933"/>
      <c r="I111" s="933"/>
      <c r="J111" s="933"/>
      <c r="K111" s="933"/>
      <c r="L111" s="933"/>
      <c r="M111" s="934"/>
      <c r="N111" s="2371"/>
      <c r="O111" s="2371"/>
      <c r="P111" s="334"/>
      <c r="Q111" s="846"/>
    </row>
    <row r="112" spans="1:17" ht="15" thickTop="1">
      <c r="A112" s="1083"/>
      <c r="B112" s="880">
        <f>B36</f>
        <v>111</v>
      </c>
      <c r="C112" s="140"/>
      <c r="D112" s="140"/>
      <c r="E112" s="140"/>
      <c r="F112" s="140"/>
      <c r="G112" s="131"/>
      <c r="H112" s="131"/>
      <c r="I112" s="131"/>
      <c r="J112" s="131"/>
      <c r="K112" s="132"/>
      <c r="L112" s="133"/>
      <c r="M112" s="134"/>
      <c r="N112" s="2370"/>
      <c r="O112" s="2370"/>
      <c r="P112" s="334"/>
      <c r="Q112" s="846"/>
    </row>
    <row r="113" spans="1:17" ht="15.75" thickBot="1">
      <c r="A113" s="876"/>
      <c r="B113" s="885"/>
      <c r="C113" s="912"/>
      <c r="D113" s="912"/>
      <c r="E113" s="912"/>
      <c r="F113" s="912"/>
      <c r="G113" s="878"/>
      <c r="H113" s="878"/>
      <c r="I113" s="878"/>
      <c r="J113" s="878"/>
      <c r="K113" s="878"/>
      <c r="L113" s="878"/>
      <c r="M113" s="879"/>
      <c r="N113" s="2371"/>
      <c r="O113" s="2371"/>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2"/>
      <c r="O114" s="2372"/>
      <c r="P114" s="900"/>
      <c r="Q114" s="901"/>
    </row>
    <row r="115" spans="1:17" s="813" customFormat="1" ht="15.75" thickBot="1">
      <c r="A115" s="895"/>
      <c r="B115" s="888"/>
      <c r="C115" s="854"/>
      <c r="D115" s="1085"/>
      <c r="E115" s="1085"/>
      <c r="F115" s="1085"/>
      <c r="G115" s="1085"/>
      <c r="H115" s="1085"/>
      <c r="I115" s="1085"/>
      <c r="J115" s="1085"/>
      <c r="K115" s="1085"/>
      <c r="L115" s="1085"/>
      <c r="M115" s="1107"/>
      <c r="N115" s="2371"/>
      <c r="O115" s="2371"/>
      <c r="P115" s="900"/>
      <c r="Q115" s="901"/>
    </row>
    <row r="116" spans="1:17">
      <c r="A116" s="869" t="s">
        <v>408</v>
      </c>
      <c r="B116" s="870" t="s">
        <v>512</v>
      </c>
      <c r="C116" s="872">
        <v>1</v>
      </c>
      <c r="D116" s="872"/>
      <c r="E116" s="872"/>
      <c r="F116" s="872"/>
      <c r="G116" s="872"/>
      <c r="H116" s="872"/>
      <c r="I116" s="872"/>
      <c r="J116" s="872"/>
      <c r="K116" s="873"/>
      <c r="L116" s="874"/>
      <c r="M116" s="875"/>
      <c r="N116" s="2370"/>
      <c r="O116" s="2370"/>
      <c r="P116" s="334"/>
      <c r="Q116" s="846"/>
    </row>
    <row r="117" spans="1:17" ht="15">
      <c r="A117" s="876"/>
      <c r="B117" s="888"/>
      <c r="C117" s="937">
        <v>0</v>
      </c>
      <c r="D117" s="937"/>
      <c r="E117" s="937"/>
      <c r="F117" s="937"/>
      <c r="G117" s="937"/>
      <c r="H117" s="937"/>
      <c r="I117" s="937"/>
      <c r="J117" s="938"/>
      <c r="K117" s="938"/>
      <c r="L117" s="939"/>
      <c r="M117" s="940"/>
      <c r="N117" s="2370"/>
      <c r="O117" s="2370"/>
      <c r="P117" s="334"/>
      <c r="Q117" s="846"/>
    </row>
    <row r="118" spans="1:17" ht="15.75" thickBot="1">
      <c r="A118" s="876"/>
      <c r="B118" s="885"/>
      <c r="C118" s="912">
        <v>1</v>
      </c>
      <c r="D118" s="933"/>
      <c r="E118" s="933"/>
      <c r="F118" s="933"/>
      <c r="G118" s="933"/>
      <c r="H118" s="933"/>
      <c r="I118" s="933"/>
      <c r="J118" s="933"/>
      <c r="K118" s="933"/>
      <c r="L118" s="933"/>
      <c r="M118" s="934"/>
      <c r="N118" s="2371"/>
      <c r="O118" s="2371"/>
      <c r="P118" s="334"/>
      <c r="Q118" s="846"/>
    </row>
    <row r="119" spans="1:17" ht="15" thickTop="1">
      <c r="A119" s="941"/>
      <c r="B119" s="880" t="s">
        <v>513</v>
      </c>
      <c r="C119" s="131"/>
      <c r="D119" s="131"/>
      <c r="E119" s="131"/>
      <c r="F119" s="131"/>
      <c r="G119" s="131"/>
      <c r="H119" s="131"/>
      <c r="I119" s="131"/>
      <c r="J119" s="131"/>
      <c r="K119" s="132"/>
      <c r="L119" s="133"/>
      <c r="M119" s="134"/>
      <c r="N119" s="2370"/>
      <c r="O119" s="2370"/>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1"/>
      <c r="O120" s="2371"/>
      <c r="P120" s="334"/>
      <c r="Q120" s="846"/>
    </row>
    <row r="121" spans="1:17" ht="15" thickTop="1">
      <c r="A121" s="941"/>
      <c r="B121" s="880" t="s">
        <v>514</v>
      </c>
      <c r="C121" s="139"/>
      <c r="D121" s="139"/>
      <c r="E121" s="139"/>
      <c r="F121" s="131"/>
      <c r="G121" s="131"/>
      <c r="H121" s="131"/>
      <c r="I121" s="131"/>
      <c r="J121" s="131"/>
      <c r="K121" s="132"/>
      <c r="L121" s="133"/>
      <c r="M121" s="134"/>
      <c r="N121" s="2370"/>
      <c r="O121" s="2370"/>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1"/>
      <c r="O122" s="2371"/>
      <c r="P122" s="334"/>
      <c r="Q122" s="846"/>
    </row>
    <row r="123" spans="1:17" s="813" customFormat="1" ht="15" thickTop="1">
      <c r="A123" s="935"/>
      <c r="B123" s="1053" t="s">
        <v>2504</v>
      </c>
      <c r="C123" s="139"/>
      <c r="D123" s="139"/>
      <c r="E123" s="139"/>
      <c r="F123" s="139"/>
      <c r="G123" s="139"/>
      <c r="H123" s="131"/>
      <c r="I123" s="131"/>
      <c r="J123" s="131"/>
      <c r="K123" s="132"/>
      <c r="L123" s="133"/>
      <c r="M123" s="134"/>
      <c r="N123" s="2372"/>
      <c r="O123" s="2372"/>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2"/>
      <c r="O124" s="2372"/>
      <c r="P124" s="900"/>
      <c r="Q124" s="901"/>
    </row>
    <row r="125" spans="1:17" ht="15" thickTop="1">
      <c r="A125" s="941"/>
      <c r="B125" s="880" t="s">
        <v>515</v>
      </c>
      <c r="C125" s="139"/>
      <c r="D125" s="139"/>
      <c r="E125" s="131"/>
      <c r="F125" s="131"/>
      <c r="G125" s="131"/>
      <c r="H125" s="131"/>
      <c r="I125" s="131"/>
      <c r="J125" s="131"/>
      <c r="K125" s="132"/>
      <c r="L125" s="133"/>
      <c r="M125" s="134"/>
      <c r="N125" s="2370"/>
      <c r="O125" s="2370"/>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1"/>
      <c r="O126" s="2371"/>
      <c r="P126" s="334"/>
      <c r="Q126" s="846"/>
    </row>
    <row r="127" spans="1:17" ht="15" thickTop="1">
      <c r="A127" s="941"/>
      <c r="B127" s="880">
        <f>B43</f>
        <v>111</v>
      </c>
      <c r="C127" s="139"/>
      <c r="D127" s="139"/>
      <c r="E127" s="139"/>
      <c r="F127" s="139"/>
      <c r="G127" s="139"/>
      <c r="H127" s="131"/>
      <c r="I127" s="131"/>
      <c r="J127" s="131"/>
      <c r="K127" s="132"/>
      <c r="L127" s="133"/>
      <c r="M127" s="134"/>
      <c r="N127" s="2370"/>
      <c r="O127" s="2370"/>
      <c r="P127" s="334"/>
      <c r="Q127" s="846"/>
    </row>
    <row r="128" spans="1:17" ht="15.75" thickBot="1">
      <c r="A128" s="876"/>
      <c r="B128" s="885"/>
      <c r="C128" s="902"/>
      <c r="D128" s="902"/>
      <c r="E128" s="902"/>
      <c r="F128" s="902"/>
      <c r="G128" s="878"/>
      <c r="H128" s="878"/>
      <c r="I128" s="878"/>
      <c r="J128" s="878"/>
      <c r="K128" s="878"/>
      <c r="L128" s="878"/>
      <c r="M128" s="879"/>
      <c r="N128" s="2371"/>
      <c r="O128" s="2371"/>
      <c r="P128" s="334"/>
      <c r="Q128" s="846"/>
    </row>
    <row r="129" spans="1:17" ht="15" thickTop="1">
      <c r="A129" s="941"/>
      <c r="B129" s="880">
        <f>B44</f>
        <v>111</v>
      </c>
      <c r="C129" s="140"/>
      <c r="D129" s="140"/>
      <c r="E129" s="140"/>
      <c r="F129" s="140"/>
      <c r="G129" s="131"/>
      <c r="H129" s="131"/>
      <c r="I129" s="131"/>
      <c r="J129" s="131"/>
      <c r="K129" s="132"/>
      <c r="L129" s="133"/>
      <c r="M129" s="134"/>
      <c r="N129" s="2370"/>
      <c r="O129" s="2370"/>
      <c r="P129" s="334"/>
      <c r="Q129" s="846"/>
    </row>
    <row r="130" spans="1:17" ht="15.75" thickBot="1">
      <c r="A130" s="876"/>
      <c r="B130" s="885"/>
      <c r="C130" s="912"/>
      <c r="D130" s="912"/>
      <c r="E130" s="912"/>
      <c r="F130" s="912"/>
      <c r="G130" s="878"/>
      <c r="H130" s="878"/>
      <c r="I130" s="878"/>
      <c r="J130" s="878"/>
      <c r="K130" s="878"/>
      <c r="L130" s="878"/>
      <c r="M130" s="879"/>
      <c r="N130" s="2371"/>
      <c r="O130" s="2371"/>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2"/>
      <c r="O131" s="2372"/>
      <c r="P131" s="900"/>
      <c r="Q131" s="901"/>
    </row>
    <row r="132" spans="1:17" s="813" customFormat="1" ht="15.75" thickBot="1">
      <c r="A132" s="910"/>
      <c r="B132" s="1108"/>
      <c r="C132" s="912"/>
      <c r="D132" s="912"/>
      <c r="E132" s="912"/>
      <c r="F132" s="912"/>
      <c r="G132" s="933"/>
      <c r="H132" s="933"/>
      <c r="I132" s="933"/>
      <c r="J132" s="933"/>
      <c r="K132" s="933"/>
      <c r="L132" s="933"/>
      <c r="M132" s="934"/>
      <c r="N132" s="2372"/>
      <c r="O132" s="2372"/>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27494</v>
      </c>
      <c r="C2" s="85" t="s">
        <v>869</v>
      </c>
      <c r="D2" s="575"/>
      <c r="E2" s="575"/>
      <c r="F2" s="575"/>
      <c r="G2" s="575"/>
    </row>
    <row r="3" spans="1:7" s="576" customFormat="1" ht="18" customHeight="1" thickBot="1">
      <c r="A3" s="579" t="s">
        <v>821</v>
      </c>
      <c r="B3" s="580">
        <f ca="1">ROUND(B2*10000/'数据-汇总表'!E3,0)</f>
        <v>106576</v>
      </c>
      <c r="C3" s="85" t="s">
        <v>870</v>
      </c>
      <c r="D3" s="575"/>
      <c r="E3" s="575"/>
      <c r="F3" s="575"/>
      <c r="G3" s="575"/>
    </row>
    <row r="4" spans="1:7" s="584" customFormat="1" ht="15.75">
      <c r="A4" s="581" t="s">
        <v>822</v>
      </c>
      <c r="B4" s="582"/>
      <c r="C4" s="582"/>
      <c r="D4" s="582"/>
      <c r="E4" s="582"/>
      <c r="F4" s="582"/>
      <c r="G4" s="583"/>
    </row>
    <row r="5" spans="1:7" s="590" customFormat="1" ht="13.5" customHeight="1">
      <c r="A5" s="631" t="s">
        <v>2511</v>
      </c>
      <c r="B5" s="586" t="s">
        <v>823</v>
      </c>
      <c r="C5" s="587">
        <f>C6+C7+C8</f>
        <v>20610</v>
      </c>
      <c r="D5" s="587" t="s">
        <v>824</v>
      </c>
      <c r="E5" s="588" t="s">
        <v>825</v>
      </c>
      <c r="F5" s="588" t="s">
        <v>826</v>
      </c>
      <c r="G5" s="589"/>
    </row>
    <row r="6" spans="1:7" s="590" customFormat="1" ht="13.5" customHeight="1">
      <c r="A6" s="1803" t="s">
        <v>1925</v>
      </c>
      <c r="B6" s="591" t="s">
        <v>827</v>
      </c>
      <c r="C6" s="592">
        <v>20000</v>
      </c>
      <c r="D6" s="593"/>
      <c r="E6" s="594"/>
      <c r="F6" s="594"/>
      <c r="G6" s="595"/>
    </row>
    <row r="7" spans="1:7" s="590" customFormat="1" ht="13.5" customHeight="1">
      <c r="A7" s="1803" t="s">
        <v>1926</v>
      </c>
      <c r="B7" s="591" t="s">
        <v>347</v>
      </c>
      <c r="C7" s="596">
        <f>ROUND(C6*F7,0)</f>
        <v>610</v>
      </c>
      <c r="D7" s="596"/>
      <c r="E7" s="594"/>
      <c r="F7" s="597">
        <f>'数据-取费表'!B48+'数据-取费表'!B49</f>
        <v>3.0499999999999999E-2</v>
      </c>
      <c r="G7" s="595"/>
    </row>
    <row r="8" spans="1:7" s="599" customFormat="1">
      <c r="A8" s="1803" t="s">
        <v>1927</v>
      </c>
      <c r="B8" s="591" t="s">
        <v>828</v>
      </c>
      <c r="C8" s="596" t="str">
        <f>IF(G8="已包含在土地购买价格中","0",'数据-取费表'!B29)</f>
        <v>0</v>
      </c>
      <c r="D8" s="598"/>
      <c r="E8" s="596"/>
      <c r="F8" s="597"/>
      <c r="G8" s="84" t="s">
        <v>2689</v>
      </c>
    </row>
    <row r="9" spans="1:7" s="590" customFormat="1" ht="13.5" customHeight="1">
      <c r="A9" s="1804" t="s">
        <v>1934</v>
      </c>
      <c r="B9" s="600" t="s">
        <v>829</v>
      </c>
      <c r="C9" s="601">
        <f>ROUND(D9*E9/10000,0)</f>
        <v>0</v>
      </c>
      <c r="D9" s="1908">
        <f>'数据-汇总表'!E5</f>
        <v>0</v>
      </c>
      <c r="E9" s="601">
        <f>'数据-取费表'!B27</f>
        <v>0</v>
      </c>
      <c r="F9" s="597"/>
      <c r="G9" s="602"/>
    </row>
    <row r="10" spans="1:7" s="590" customFormat="1" ht="13.5" customHeight="1">
      <c r="A10" s="1804" t="s">
        <v>1935</v>
      </c>
      <c r="B10" s="600" t="s">
        <v>830</v>
      </c>
      <c r="C10" s="601">
        <f>ROUND(D10*E10/10000,0)</f>
        <v>52</v>
      </c>
      <c r="D10" s="1908">
        <f>'数据-汇总表'!E6</f>
        <v>2579.75</v>
      </c>
      <c r="E10" s="601">
        <f>'数据-取费表'!B28</f>
        <v>200</v>
      </c>
      <c r="F10" s="597"/>
      <c r="G10" s="602"/>
    </row>
    <row r="11" spans="1:7" s="590" customFormat="1" ht="13.5" hidden="1" customHeight="1">
      <c r="A11" s="603" t="s">
        <v>42</v>
      </c>
      <c r="B11" s="591" t="s">
        <v>831</v>
      </c>
      <c r="C11" s="587"/>
      <c r="D11" s="1910"/>
      <c r="E11" s="594"/>
      <c r="F11" s="594"/>
      <c r="G11" s="595"/>
    </row>
    <row r="12" spans="1:7" s="590" customFormat="1" ht="13.5" hidden="1" customHeight="1">
      <c r="A12" s="603" t="s">
        <v>43</v>
      </c>
      <c r="B12" s="591" t="s">
        <v>832</v>
      </c>
      <c r="C12" s="587">
        <v>0</v>
      </c>
      <c r="D12" s="1910"/>
      <c r="E12" s="604"/>
      <c r="F12" s="597">
        <v>3.0499999999999999E-2</v>
      </c>
      <c r="G12" s="595"/>
    </row>
    <row r="13" spans="1:7" s="590" customFormat="1" ht="13.5" hidden="1" customHeight="1">
      <c r="A13" s="603" t="s">
        <v>44</v>
      </c>
      <c r="B13" s="591" t="s">
        <v>833</v>
      </c>
      <c r="C13" s="587"/>
      <c r="D13" s="1910"/>
      <c r="E13" s="594"/>
      <c r="F13" s="594"/>
      <c r="G13" s="595"/>
    </row>
    <row r="14" spans="1:7" s="590" customFormat="1" ht="13.5" hidden="1" customHeight="1">
      <c r="A14" s="603" t="s">
        <v>45</v>
      </c>
      <c r="B14" s="591" t="s">
        <v>828</v>
      </c>
      <c r="C14" s="587"/>
      <c r="D14" s="1910"/>
      <c r="E14" s="594"/>
      <c r="F14" s="594"/>
      <c r="G14" s="595" t="s">
        <v>834</v>
      </c>
    </row>
    <row r="15" spans="1:7" s="590" customFormat="1" ht="13.5" hidden="1" customHeight="1">
      <c r="A15" s="603" t="s">
        <v>46</v>
      </c>
      <c r="B15" s="591" t="s">
        <v>835</v>
      </c>
      <c r="C15" s="596"/>
      <c r="D15" s="1910"/>
      <c r="E15" s="594"/>
      <c r="F15" s="594"/>
      <c r="G15" s="595" t="s">
        <v>836</v>
      </c>
    </row>
    <row r="16" spans="1:7"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2512</v>
      </c>
      <c r="B19" s="586" t="s">
        <v>847</v>
      </c>
      <c r="C19" s="587">
        <f>IF(G19="已包含在土地取得成本中","0",ROUND(D19*E19/10000,0))</f>
        <v>52</v>
      </c>
      <c r="D19" s="1912">
        <f>'数据-汇总表'!E3</f>
        <v>2579.75</v>
      </c>
      <c r="E19" s="587">
        <f>'数据-取费表'!B31</f>
        <v>200</v>
      </c>
      <c r="F19" s="607"/>
      <c r="G19" s="84" t="s">
        <v>2534</v>
      </c>
    </row>
    <row r="20" spans="1:7" s="590" customFormat="1" ht="13.5" customHeight="1">
      <c r="A20" s="1802" t="s">
        <v>2514</v>
      </c>
      <c r="B20" s="586" t="s">
        <v>840</v>
      </c>
      <c r="C20" s="608">
        <f>ROUND((C5+C19)*F20,0)</f>
        <v>413</v>
      </c>
      <c r="D20" s="608"/>
      <c r="E20" s="608"/>
      <c r="F20" s="609">
        <f>'数据-取费表'!B37</f>
        <v>0.02</v>
      </c>
      <c r="G20" s="2620" t="s">
        <v>2525</v>
      </c>
    </row>
    <row r="21" spans="1:7" s="590" customFormat="1" ht="13.5" customHeight="1">
      <c r="A21" s="1802" t="s">
        <v>2516</v>
      </c>
      <c r="B21" s="586" t="s">
        <v>841</v>
      </c>
      <c r="C21" s="611">
        <f>F21</f>
        <v>0.02</v>
      </c>
      <c r="D21" s="612" t="s">
        <v>862</v>
      </c>
      <c r="E21" s="608"/>
      <c r="F21" s="609">
        <f>'数据-取费表'!B38</f>
        <v>0.02</v>
      </c>
      <c r="G21" s="610" t="s">
        <v>842</v>
      </c>
    </row>
    <row r="22" spans="1:7" s="590" customFormat="1" ht="13.5" customHeight="1">
      <c r="A22" s="1802" t="s">
        <v>1920</v>
      </c>
      <c r="B22" s="586" t="s">
        <v>843</v>
      </c>
      <c r="C22" s="2699">
        <f ca="1">ROUND(SUM(C23:C25),0)</f>
        <v>1505</v>
      </c>
      <c r="D22" s="611">
        <f ca="1">C26</f>
        <v>6.9999999999999999E-4</v>
      </c>
      <c r="E22" s="612" t="s">
        <v>862</v>
      </c>
      <c r="F22" s="613">
        <f ca="1">'数据-取费表'!B40</f>
        <v>4.7500000000000001E-2</v>
      </c>
      <c r="G22" s="2620" t="str">
        <f>IF('数据-取费表'!B22&lt;=1,"单利计息","复利计息")</f>
        <v>复利计息</v>
      </c>
    </row>
    <row r="23" spans="1:7" s="590" customFormat="1" ht="13.5" customHeight="1">
      <c r="A23" s="1805" t="s">
        <v>1928</v>
      </c>
      <c r="B23" s="591" t="s">
        <v>2518</v>
      </c>
      <c r="C23" s="2700">
        <f ca="1">ROUND(IF('数据-取费表'!B22&lt;=1,C5*F22*'数据-取费表'!B23,C5*(POWER((1+F22),'数据-取费表'!B23)-1)),0)</f>
        <v>1486</v>
      </c>
      <c r="D23" s="614"/>
      <c r="E23" s="614"/>
      <c r="F23" s="615"/>
      <c r="G23" s="616" t="s">
        <v>844</v>
      </c>
    </row>
    <row r="24" spans="1:7" s="590" customFormat="1" ht="13.5" customHeight="1">
      <c r="A24" s="1805" t="s">
        <v>1926</v>
      </c>
      <c r="B24" s="591" t="s">
        <v>2513</v>
      </c>
      <c r="C24" s="2700">
        <f ca="1">ROUND(IF('数据-取费表'!B22&lt;=1,C19*F22*('数据-取费表'!B19/2+'数据-取费表'!B21),C19*(POWER((1+F22),('数据-取费表'!B19/2+'数据-取费表'!B21))-1)),0)</f>
        <v>4</v>
      </c>
      <c r="D24" s="614"/>
      <c r="E24" s="614"/>
      <c r="F24" s="615"/>
      <c r="G24" s="616" t="s">
        <v>845</v>
      </c>
    </row>
    <row r="25" spans="1:7" s="590" customFormat="1" ht="24">
      <c r="A25" s="1805" t="s">
        <v>1927</v>
      </c>
      <c r="B25" s="591" t="s">
        <v>2515</v>
      </c>
      <c r="C25" s="2700">
        <f ca="1">ROUND(IF('数据-取费表'!B22&lt;=1,C20*F22*'数据-取费表'!B23/2,C20*(POWER((1+F22),'数据-取费表'!B23/2)-1)),0)</f>
        <v>15</v>
      </c>
      <c r="D25" s="614"/>
      <c r="E25" s="617"/>
      <c r="F25" s="615"/>
      <c r="G25" s="618" t="s">
        <v>846</v>
      </c>
    </row>
    <row r="26" spans="1:7" s="590" customFormat="1">
      <c r="A26" s="1805" t="s">
        <v>1929</v>
      </c>
      <c r="B26" s="591" t="s">
        <v>2517</v>
      </c>
      <c r="C26" s="614">
        <f ca="1">ROUND(IF('数据-取费表'!B22&lt;=1,F21*F22*'数据-取费表'!B23/2,F21*(POWER((1+F22),'数据-取费表'!B23/2)-1)),4)</f>
        <v>6.9999999999999999E-4</v>
      </c>
      <c r="D26" s="614"/>
      <c r="E26" s="617"/>
      <c r="F26" s="615"/>
      <c r="G26" s="619"/>
    </row>
    <row r="27" spans="1:7" s="590" customFormat="1" ht="24.75">
      <c r="A27" s="1802" t="s">
        <v>1921</v>
      </c>
      <c r="B27" s="620" t="s">
        <v>848</v>
      </c>
      <c r="C27" s="621">
        <f>C28</f>
        <v>2108</v>
      </c>
      <c r="D27" s="611">
        <f>C29</f>
        <v>2E-3</v>
      </c>
      <c r="E27" s="612" t="s">
        <v>862</v>
      </c>
      <c r="F27" s="622">
        <f>'数据-取费表'!Q16</f>
        <v>0.1</v>
      </c>
      <c r="G27" s="623" t="s">
        <v>2526</v>
      </c>
    </row>
    <row r="28" spans="1:7" s="590" customFormat="1" ht="13.5" customHeight="1">
      <c r="A28" s="1805" t="s">
        <v>1928</v>
      </c>
      <c r="B28" s="624" t="s">
        <v>2519</v>
      </c>
      <c r="C28" s="625">
        <f>ROUND((C5+C19+C20)*F27*'数据-取费表'!B21/'数据-取费表'!B20,0)</f>
        <v>2108</v>
      </c>
      <c r="D28" s="611"/>
      <c r="E28" s="612"/>
      <c r="F28" s="622"/>
      <c r="G28" s="623"/>
    </row>
    <row r="29" spans="1:7" s="590" customFormat="1" ht="13.5" customHeight="1">
      <c r="A29" s="1805" t="s">
        <v>1926</v>
      </c>
      <c r="B29" s="624" t="s">
        <v>2520</v>
      </c>
      <c r="C29" s="614">
        <f>ROUND(C21*F27*'数据-取费表'!B21/'数据-取费表'!B20,4)</f>
        <v>2E-3</v>
      </c>
      <c r="D29" s="611"/>
      <c r="E29" s="612"/>
      <c r="F29" s="622"/>
      <c r="G29" s="623"/>
    </row>
    <row r="30" spans="1:7" s="590" customFormat="1" ht="13.5" customHeight="1">
      <c r="A30" s="1802" t="s">
        <v>1922</v>
      </c>
      <c r="B30" s="586" t="s">
        <v>348</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26720</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SUM(C34:C38)</f>
        <v>687</v>
      </c>
      <c r="D33" s="608"/>
      <c r="E33" s="588"/>
      <c r="F33" s="617"/>
      <c r="G33" s="610"/>
    </row>
    <row r="34" spans="1:7" s="634" customFormat="1" ht="13.5" customHeight="1">
      <c r="A34" s="1805" t="s">
        <v>1928</v>
      </c>
      <c r="B34" s="591" t="s">
        <v>349</v>
      </c>
      <c r="C34" s="596">
        <f>IF(F34=100%,'数据-取费表'!M16-SUMIF('数据-取费表'!C:C,"公共配套",'数据-取费表'!M:M),'数据-取费表'!O16-SUMIF('数据-取费表'!C:C,"公共配套",'数据-取费表'!O:O))</f>
        <v>596</v>
      </c>
      <c r="D34" s="593"/>
      <c r="E34" s="596"/>
      <c r="F34" s="633">
        <f>IF('数据-取费表'!B24=0,1,'数据-取费表'!N16)</f>
        <v>1</v>
      </c>
      <c r="G34" s="595" t="s">
        <v>852</v>
      </c>
    </row>
    <row r="35" spans="1:7" ht="13.5" customHeight="1">
      <c r="A35" s="1805" t="s">
        <v>1930</v>
      </c>
      <c r="B35" s="591" t="s">
        <v>350</v>
      </c>
      <c r="C35" s="596">
        <f>ROUND(C34*F35,0)</f>
        <v>30</v>
      </c>
      <c r="D35" s="596"/>
      <c r="E35" s="596"/>
      <c r="F35" s="635">
        <f>'数据-取费表'!B33</f>
        <v>0.05</v>
      </c>
      <c r="G35" s="595" t="s">
        <v>853</v>
      </c>
    </row>
    <row r="36" spans="1:7" ht="24">
      <c r="A36" s="1805" t="s">
        <v>1931</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5" t="s">
        <v>1932</v>
      </c>
      <c r="B37" s="591" t="s">
        <v>854</v>
      </c>
      <c r="C37" s="625">
        <f>ROUND(E37*D37*F34/10000,0)</f>
        <v>52</v>
      </c>
      <c r="D37" s="593">
        <f>'数据-汇总表'!E3</f>
        <v>2579.75</v>
      </c>
      <c r="E37" s="625">
        <f>'数据-取费表'!B35</f>
        <v>200</v>
      </c>
      <c r="F37" s="635"/>
      <c r="G37" s="637" t="s">
        <v>855</v>
      </c>
    </row>
    <row r="38" spans="1:7" ht="13.5" customHeight="1">
      <c r="A38" s="1805" t="s">
        <v>1933</v>
      </c>
      <c r="B38" s="591" t="s">
        <v>353</v>
      </c>
      <c r="C38" s="596">
        <f>ROUND(C34*F38,0)</f>
        <v>9</v>
      </c>
      <c r="D38" s="596"/>
      <c r="E38" s="596"/>
      <c r="F38" s="635">
        <f>'数据-取费表'!B36</f>
        <v>1.4999999999999999E-2</v>
      </c>
      <c r="G38" s="595" t="s">
        <v>853</v>
      </c>
    </row>
    <row r="39" spans="1:7" s="590" customFormat="1" ht="13.5" customHeight="1">
      <c r="A39" s="1802" t="s">
        <v>1917</v>
      </c>
      <c r="B39" s="586" t="s">
        <v>840</v>
      </c>
      <c r="C39" s="608">
        <f>ROUND(C33*F20,0)</f>
        <v>14</v>
      </c>
      <c r="D39" s="608"/>
      <c r="E39" s="608"/>
      <c r="F39" s="609"/>
      <c r="G39" s="2620" t="s">
        <v>2528</v>
      </c>
    </row>
    <row r="40" spans="1:7" s="590" customFormat="1" ht="13.5" customHeight="1">
      <c r="A40" s="1802" t="s">
        <v>1918</v>
      </c>
      <c r="B40" s="586" t="s">
        <v>841</v>
      </c>
      <c r="C40" s="638">
        <f>F21</f>
        <v>0.02</v>
      </c>
      <c r="D40" s="612" t="s">
        <v>865</v>
      </c>
      <c r="E40" s="608"/>
      <c r="F40" s="609"/>
      <c r="G40" s="610" t="s">
        <v>856</v>
      </c>
    </row>
    <row r="41" spans="1:7" s="590" customFormat="1" ht="13.5" customHeight="1">
      <c r="A41" s="1802" t="s">
        <v>1919</v>
      </c>
      <c r="B41" s="586" t="s">
        <v>843</v>
      </c>
      <c r="C41" s="608">
        <f ca="1">ROUND(SUM(C42:C43),0)</f>
        <v>24</v>
      </c>
      <c r="D41" s="611">
        <f ca="1">C44</f>
        <v>6.9999999999999999E-4</v>
      </c>
      <c r="E41" s="612" t="s">
        <v>865</v>
      </c>
      <c r="F41" s="613"/>
      <c r="G41" s="2620" t="str">
        <f>IF('数据-取费表'!B22&lt;=1,"单利计息","复利计息")</f>
        <v>复利计息</v>
      </c>
    </row>
    <row r="42" spans="1:7" ht="13.5" customHeight="1">
      <c r="A42" s="1805" t="s">
        <v>1928</v>
      </c>
      <c r="B42" s="591" t="s">
        <v>2518</v>
      </c>
      <c r="C42" s="614">
        <f ca="1">ROUND(IF('数据-取费表'!B22&lt;=1,C33*F22*'数据-取费表'!B21/2,C33*(POWER((1+F22),'数据-取费表'!B21/2)-1)),0)</f>
        <v>24</v>
      </c>
      <c r="D42" s="614"/>
      <c r="E42" s="614"/>
      <c r="F42" s="615"/>
      <c r="G42" s="3717" t="s">
        <v>857</v>
      </c>
    </row>
    <row r="43" spans="1:7" ht="13.5" customHeight="1">
      <c r="A43" s="1805" t="s">
        <v>1926</v>
      </c>
      <c r="B43" s="591" t="s">
        <v>2521</v>
      </c>
      <c r="C43" s="614">
        <f ca="1">ROUND(IF('数据-取费表'!B22&lt;=1,C39*F22*'数据-取费表'!B21/2,C39*(POWER((1+F22),'数据-取费表'!B21/2)-1)),0)</f>
        <v>0</v>
      </c>
      <c r="D43" s="614"/>
      <c r="E43" s="614"/>
      <c r="F43" s="615"/>
      <c r="G43" s="3718"/>
    </row>
    <row r="44" spans="1:7" ht="13.5" customHeight="1">
      <c r="A44" s="1805" t="s">
        <v>1927</v>
      </c>
      <c r="B44" s="591" t="s">
        <v>2523</v>
      </c>
      <c r="C44" s="614">
        <f ca="1">ROUND(IF('数据-取费表'!B22&lt;=1,C40*F22*'数据-取费表'!B21/2,C40*(POWER((1+F22),'数据-取费表'!B21/2)-1)),4)</f>
        <v>6.9999999999999999E-4</v>
      </c>
      <c r="D44" s="614"/>
      <c r="E44" s="614"/>
      <c r="F44" s="615"/>
      <c r="G44" s="3719"/>
    </row>
    <row r="45" spans="1:7" s="590" customFormat="1" ht="13.5" customHeight="1">
      <c r="A45" s="1802" t="s">
        <v>1920</v>
      </c>
      <c r="B45" s="620" t="s">
        <v>848</v>
      </c>
      <c r="C45" s="621">
        <f>C46</f>
        <v>70</v>
      </c>
      <c r="D45" s="611">
        <f>C47</f>
        <v>2E-3</v>
      </c>
      <c r="E45" s="612" t="s">
        <v>865</v>
      </c>
      <c r="F45" s="622"/>
      <c r="G45" s="623" t="s">
        <v>2529</v>
      </c>
    </row>
    <row r="46" spans="1:7" s="590" customFormat="1" ht="13.5" customHeight="1">
      <c r="A46" s="1805" t="s">
        <v>1928</v>
      </c>
      <c r="B46" s="624" t="s">
        <v>2522</v>
      </c>
      <c r="C46" s="625">
        <f>ROUND((C33+C39)*F27,0)</f>
        <v>70</v>
      </c>
      <c r="D46" s="639"/>
      <c r="E46" s="612"/>
      <c r="F46" s="622"/>
      <c r="G46" s="623"/>
    </row>
    <row r="47" spans="1:7" s="590" customFormat="1" ht="13.5" customHeight="1">
      <c r="A47" s="1805" t="s">
        <v>1926</v>
      </c>
      <c r="B47" s="624" t="s">
        <v>2524</v>
      </c>
      <c r="C47" s="614">
        <f>ROUND(C40*F27,4)</f>
        <v>2E-3</v>
      </c>
      <c r="D47" s="639"/>
      <c r="E47" s="612"/>
      <c r="F47" s="622"/>
      <c r="G47" s="623"/>
    </row>
    <row r="48" spans="1:7" s="590" customFormat="1" ht="13.5" customHeight="1">
      <c r="A48" s="1802" t="s">
        <v>1921</v>
      </c>
      <c r="B48" s="586" t="s">
        <v>858</v>
      </c>
      <c r="C48" s="638">
        <f>F30</f>
        <v>5.6000000000000001E-2</v>
      </c>
      <c r="D48" s="612" t="s">
        <v>866</v>
      </c>
      <c r="E48" s="608"/>
      <c r="F48" s="613"/>
      <c r="G48" s="610" t="s">
        <v>859</v>
      </c>
    </row>
    <row r="49" spans="1:7" ht="16.5" customHeight="1">
      <c r="A49" s="1802" t="s">
        <v>1922</v>
      </c>
      <c r="B49" s="586" t="s">
        <v>867</v>
      </c>
      <c r="C49" s="608">
        <f ca="1">ROUND((C33+C39+C41+C45)/(1-C40-D41-D45-C48/(1+'数据-取费表'!B42)),0)</f>
        <v>860</v>
      </c>
      <c r="D49" s="608"/>
      <c r="E49" s="608"/>
      <c r="F49" s="640"/>
      <c r="G49" s="610" t="s">
        <v>2530</v>
      </c>
    </row>
    <row r="50" spans="1:7" s="634" customFormat="1" ht="24">
      <c r="A50" s="1802" t="s">
        <v>1923</v>
      </c>
      <c r="B50" s="586" t="s">
        <v>860</v>
      </c>
      <c r="C50" s="608"/>
      <c r="D50" s="608"/>
      <c r="E50" s="608"/>
      <c r="F50" s="640">
        <f>IF('数据-取费表'!B24=0,'数据-取费表'!N16,1)</f>
        <v>0.9</v>
      </c>
      <c r="G50" s="623" t="s">
        <v>861</v>
      </c>
    </row>
    <row r="51" spans="1:7" ht="16.5" customHeight="1">
      <c r="A51" s="1802" t="s">
        <v>1924</v>
      </c>
      <c r="B51" s="586" t="s">
        <v>868</v>
      </c>
      <c r="C51" s="608">
        <f ca="1">ROUND(C49*F50,0)</f>
        <v>774</v>
      </c>
      <c r="D51" s="608"/>
      <c r="E51" s="608"/>
      <c r="F51" s="640"/>
      <c r="G51" s="610" t="s">
        <v>354</v>
      </c>
    </row>
    <row r="52" spans="1:7" s="584" customFormat="1" ht="16.5" thickBot="1">
      <c r="A52" s="641" t="s">
        <v>355</v>
      </c>
      <c r="B52" s="642"/>
      <c r="C52" s="643">
        <f ca="1">C31+C51</f>
        <v>27494</v>
      </c>
      <c r="D52" s="642"/>
      <c r="E52" s="642"/>
      <c r="F52" s="642"/>
      <c r="G52" s="644"/>
    </row>
    <row r="55" spans="1:7" ht="15">
      <c r="B55" s="646" t="s">
        <v>356</v>
      </c>
      <c r="C55" s="647"/>
    </row>
    <row r="56" spans="1:7">
      <c r="B56" s="649" t="s">
        <v>357</v>
      </c>
      <c r="C56" s="650">
        <f ca="1">ROUND(C51/C52,3)</f>
        <v>2.8000000000000001E-2</v>
      </c>
    </row>
    <row r="57" spans="1:7">
      <c r="B57" s="649" t="s">
        <v>358</v>
      </c>
      <c r="C57" s="651">
        <f ca="1">1-C56</f>
        <v>0.97199999999999998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106"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9" t="s">
        <v>1174</v>
      </c>
      <c r="B1" s="3749"/>
      <c r="C1" s="3749"/>
      <c r="D1" s="3749"/>
      <c r="E1" s="3749"/>
      <c r="F1" s="3749"/>
      <c r="H1" s="1520" t="s">
        <v>1175</v>
      </c>
      <c r="I1" s="1521" t="s">
        <v>1176</v>
      </c>
      <c r="J1" s="1521" t="s">
        <v>1177</v>
      </c>
      <c r="K1" s="1521" t="s">
        <v>1178</v>
      </c>
      <c r="L1" s="1521" t="s">
        <v>1179</v>
      </c>
      <c r="M1" s="1521" t="s">
        <v>1180</v>
      </c>
      <c r="N1" s="1521" t="s">
        <v>1181</v>
      </c>
      <c r="O1" s="1521" t="s">
        <v>1182</v>
      </c>
      <c r="P1" s="1521" t="s">
        <v>1183</v>
      </c>
      <c r="Q1" s="1521" t="s">
        <v>1184</v>
      </c>
      <c r="R1" s="1521" t="s">
        <v>1185</v>
      </c>
      <c r="S1" s="1522" t="s">
        <v>1186</v>
      </c>
    </row>
    <row r="2" spans="1:19" ht="14.25" thickBot="1">
      <c r="A2" s="3750" t="s">
        <v>1187</v>
      </c>
      <c r="B2" s="3750"/>
      <c r="C2" s="3750"/>
      <c r="D2" s="3750"/>
      <c r="E2" s="3750"/>
      <c r="F2" s="3750"/>
      <c r="H2" s="1523" t="s">
        <v>1188</v>
      </c>
      <c r="I2" s="1524" t="s">
        <v>1189</v>
      </c>
      <c r="J2" s="1524" t="s">
        <v>1190</v>
      </c>
      <c r="K2" s="1524" t="s">
        <v>1191</v>
      </c>
      <c r="L2" s="1524" t="s">
        <v>1192</v>
      </c>
      <c r="M2" s="1524" t="s">
        <v>1193</v>
      </c>
      <c r="N2" s="1524" t="s">
        <v>1194</v>
      </c>
      <c r="O2" s="1524" t="s">
        <v>1195</v>
      </c>
      <c r="P2" s="1524" t="s">
        <v>1196</v>
      </c>
      <c r="Q2" s="1524" t="s">
        <v>1197</v>
      </c>
      <c r="R2" s="1524" t="s">
        <v>1198</v>
      </c>
      <c r="S2" s="1524" t="s">
        <v>1199</v>
      </c>
    </row>
    <row r="3" spans="1:19" s="1519" customFormat="1" ht="19.5" customHeight="1">
      <c r="A3" s="3751" t="s">
        <v>1200</v>
      </c>
      <c r="B3" s="1525"/>
      <c r="C3" s="1526" t="s">
        <v>1201</v>
      </c>
      <c r="D3" s="1526" t="s">
        <v>1202</v>
      </c>
      <c r="E3" s="1526" t="s">
        <v>1849</v>
      </c>
      <c r="F3" s="1526" t="s">
        <v>1204</v>
      </c>
      <c r="G3" s="1527"/>
      <c r="H3" s="1523" t="s">
        <v>1205</v>
      </c>
      <c r="I3" s="1524" t="s">
        <v>1206</v>
      </c>
      <c r="J3" s="1524" t="s">
        <v>1207</v>
      </c>
      <c r="K3" s="1524" t="s">
        <v>1208</v>
      </c>
      <c r="L3" s="1524" t="s">
        <v>1209</v>
      </c>
      <c r="M3" s="1524" t="s">
        <v>1210</v>
      </c>
      <c r="N3" s="1524" t="s">
        <v>1211</v>
      </c>
      <c r="O3" s="1524" t="s">
        <v>1212</v>
      </c>
      <c r="P3" s="1524" t="s">
        <v>1213</v>
      </c>
      <c r="Q3" s="1524" t="s">
        <v>1214</v>
      </c>
      <c r="R3" s="1524" t="s">
        <v>1215</v>
      </c>
      <c r="S3" s="1524" t="s">
        <v>1216</v>
      </c>
    </row>
    <row r="4" spans="1:19" s="1519" customFormat="1" ht="19.5" customHeight="1" thickBot="1">
      <c r="A4" s="3752"/>
      <c r="B4" s="1528" t="s">
        <v>1217</v>
      </c>
      <c r="C4" s="1528" t="s">
        <v>1218</v>
      </c>
      <c r="D4" s="1528" t="s">
        <v>1218</v>
      </c>
      <c r="E4" s="1528" t="s">
        <v>1218</v>
      </c>
      <c r="F4" s="1529" t="s">
        <v>1218</v>
      </c>
      <c r="G4" s="1527"/>
      <c r="H4" s="1523" t="s">
        <v>1219</v>
      </c>
      <c r="I4" s="1524" t="s">
        <v>1142</v>
      </c>
      <c r="J4" s="1524" t="s">
        <v>1220</v>
      </c>
      <c r="K4" s="1524" t="s">
        <v>1221</v>
      </c>
      <c r="L4" s="1524" t="s">
        <v>1222</v>
      </c>
      <c r="M4" s="1524" t="s">
        <v>1223</v>
      </c>
      <c r="N4" s="1524" t="s">
        <v>1224</v>
      </c>
      <c r="O4" s="1524" t="s">
        <v>1225</v>
      </c>
      <c r="P4" s="1524" t="s">
        <v>1226</v>
      </c>
      <c r="Q4" s="1524" t="s">
        <v>1227</v>
      </c>
      <c r="R4" s="1524" t="s">
        <v>1228</v>
      </c>
      <c r="S4" s="1524" t="s">
        <v>1229</v>
      </c>
    </row>
    <row r="5" spans="1:19" ht="14.25" customHeight="1" thickBot="1">
      <c r="A5" s="1530" t="s">
        <v>1956</v>
      </c>
      <c r="B5" s="1531" t="s">
        <v>1957</v>
      </c>
      <c r="C5" s="1531">
        <v>29530</v>
      </c>
      <c r="D5" s="1531">
        <v>28130</v>
      </c>
      <c r="E5" s="1531">
        <v>27930</v>
      </c>
      <c r="F5" s="1532">
        <v>11300</v>
      </c>
      <c r="G5" s="1527"/>
      <c r="H5" s="1523" t="s">
        <v>1231</v>
      </c>
      <c r="I5" s="1524" t="s">
        <v>1232</v>
      </c>
      <c r="J5" s="1524" t="s">
        <v>1233</v>
      </c>
      <c r="K5" s="1524" t="s">
        <v>1234</v>
      </c>
      <c r="L5" s="1524" t="s">
        <v>1235</v>
      </c>
      <c r="M5" s="1524" t="s">
        <v>1236</v>
      </c>
      <c r="N5" s="1524" t="s">
        <v>1237</v>
      </c>
      <c r="O5" s="1524" t="s">
        <v>1238</v>
      </c>
      <c r="P5" s="1524" t="s">
        <v>1239</v>
      </c>
      <c r="Q5" s="1524" t="s">
        <v>1240</v>
      </c>
      <c r="R5" s="1524" t="s">
        <v>1241</v>
      </c>
      <c r="S5" s="1524" t="s">
        <v>1242</v>
      </c>
    </row>
    <row r="6" spans="1:19" ht="14.25" customHeight="1" thickBot="1">
      <c r="A6" s="1530" t="s">
        <v>1230</v>
      </c>
      <c r="B6" s="1524" t="s">
        <v>1205</v>
      </c>
      <c r="C6" s="1524">
        <v>30290</v>
      </c>
      <c r="D6" s="1524">
        <v>29210</v>
      </c>
      <c r="E6" s="1524">
        <v>28860</v>
      </c>
      <c r="F6" s="1533">
        <v>12600</v>
      </c>
      <c r="G6" s="1527"/>
      <c r="H6" s="1523" t="s">
        <v>1243</v>
      </c>
      <c r="I6" s="1524" t="s">
        <v>1244</v>
      </c>
      <c r="J6" s="1524" t="s">
        <v>1245</v>
      </c>
      <c r="K6" s="1524" t="s">
        <v>1246</v>
      </c>
      <c r="L6" s="1524" t="s">
        <v>1247</v>
      </c>
      <c r="M6" s="1524" t="s">
        <v>1248</v>
      </c>
      <c r="N6" s="1524" t="s">
        <v>1249</v>
      </c>
      <c r="O6" s="1524" t="s">
        <v>1250</v>
      </c>
      <c r="P6" s="1524" t="s">
        <v>1251</v>
      </c>
      <c r="Q6" s="1524" t="s">
        <v>1252</v>
      </c>
      <c r="R6" s="1524" t="s">
        <v>1253</v>
      </c>
      <c r="S6" s="1524" t="s">
        <v>1254</v>
      </c>
    </row>
    <row r="7" spans="1:19" ht="14.25" customHeight="1" thickBot="1">
      <c r="A7" s="1530" t="s">
        <v>1230</v>
      </c>
      <c r="B7" s="1534" t="s">
        <v>1219</v>
      </c>
      <c r="C7" s="1524">
        <v>29350</v>
      </c>
      <c r="D7" s="1524">
        <v>28410</v>
      </c>
      <c r="E7" s="1524">
        <v>27990</v>
      </c>
      <c r="F7" s="1533">
        <v>12300</v>
      </c>
      <c r="G7" s="1527"/>
      <c r="I7" s="1524" t="s">
        <v>1255</v>
      </c>
      <c r="J7" s="1524" t="s">
        <v>1256</v>
      </c>
      <c r="K7" s="1524" t="s">
        <v>1257</v>
      </c>
      <c r="L7" s="1524" t="s">
        <v>1258</v>
      </c>
      <c r="M7" s="1524" t="s">
        <v>1259</v>
      </c>
      <c r="N7" s="1524" t="s">
        <v>1260</v>
      </c>
      <c r="O7" s="1524" t="s">
        <v>1261</v>
      </c>
      <c r="P7" s="1524" t="s">
        <v>1262</v>
      </c>
      <c r="Q7" s="1524" t="s">
        <v>1263</v>
      </c>
      <c r="R7" s="1524" t="s">
        <v>1264</v>
      </c>
      <c r="S7" s="1534" t="s">
        <v>1265</v>
      </c>
    </row>
    <row r="8" spans="1:19" ht="14.25" customHeight="1" thickBot="1">
      <c r="A8" s="1530" t="s">
        <v>1230</v>
      </c>
      <c r="B8" s="1524" t="s">
        <v>1231</v>
      </c>
      <c r="C8" s="1524">
        <v>30890</v>
      </c>
      <c r="D8" s="1524">
        <v>29780</v>
      </c>
      <c r="E8" s="1524">
        <v>29270</v>
      </c>
      <c r="F8" s="1533">
        <v>11600</v>
      </c>
      <c r="G8" s="1527"/>
      <c r="I8" s="1524" t="s">
        <v>1266</v>
      </c>
      <c r="J8" s="1524" t="s">
        <v>1267</v>
      </c>
      <c r="K8" s="1524" t="s">
        <v>1268</v>
      </c>
      <c r="L8" s="1524" t="s">
        <v>1269</v>
      </c>
      <c r="M8" s="1524" t="s">
        <v>1270</v>
      </c>
      <c r="N8" s="1524" t="s">
        <v>1271</v>
      </c>
      <c r="O8" s="1524" t="s">
        <v>1272</v>
      </c>
      <c r="P8" s="1524" t="s">
        <v>1273</v>
      </c>
      <c r="Q8" s="1524" t="s">
        <v>1274</v>
      </c>
      <c r="R8" s="1524" t="s">
        <v>1275</v>
      </c>
      <c r="S8" s="1524" t="s">
        <v>1276</v>
      </c>
    </row>
    <row r="9" spans="1:19" ht="14.25" customHeight="1" thickBot="1">
      <c r="A9" s="1530" t="s">
        <v>1230</v>
      </c>
      <c r="B9" s="1535" t="s">
        <v>1243</v>
      </c>
      <c r="C9" s="1536">
        <v>28140</v>
      </c>
      <c r="D9" s="1536"/>
      <c r="E9" s="1536"/>
      <c r="F9" s="1537"/>
      <c r="G9" s="1527"/>
      <c r="I9" s="1524" t="s">
        <v>1277</v>
      </c>
      <c r="J9" s="1524" t="s">
        <v>1278</v>
      </c>
      <c r="K9" s="1524" t="s">
        <v>1279</v>
      </c>
      <c r="L9" s="1524" t="s">
        <v>1280</v>
      </c>
      <c r="M9" s="1524" t="s">
        <v>1281</v>
      </c>
      <c r="N9" s="1524" t="s">
        <v>1282</v>
      </c>
      <c r="O9" s="1524" t="s">
        <v>1283</v>
      </c>
      <c r="P9" s="1524" t="s">
        <v>1284</v>
      </c>
      <c r="Q9" s="1524" t="s">
        <v>1285</v>
      </c>
      <c r="R9" s="1524" t="s">
        <v>1286</v>
      </c>
    </row>
    <row r="10" spans="1:19" ht="14.25" customHeight="1" thickBot="1">
      <c r="A10" s="1530" t="s">
        <v>1287</v>
      </c>
      <c r="B10" s="1531" t="s">
        <v>1288</v>
      </c>
      <c r="C10" s="1531">
        <v>27450</v>
      </c>
      <c r="D10" s="1531">
        <v>26180</v>
      </c>
      <c r="E10" s="1531">
        <v>25980</v>
      </c>
      <c r="F10" s="1532">
        <v>8910</v>
      </c>
      <c r="G10" s="1527"/>
      <c r="I10" s="1524" t="s">
        <v>1289</v>
      </c>
      <c r="J10" s="1524" t="s">
        <v>1290</v>
      </c>
      <c r="K10" s="1524" t="s">
        <v>1291</v>
      </c>
      <c r="L10" s="1524" t="s">
        <v>1292</v>
      </c>
      <c r="M10" s="1524" t="s">
        <v>1293</v>
      </c>
      <c r="N10" s="1524" t="s">
        <v>1294</v>
      </c>
      <c r="O10" s="1524" t="s">
        <v>1295</v>
      </c>
      <c r="P10" s="1524" t="s">
        <v>1296</v>
      </c>
      <c r="Q10" s="1524" t="s">
        <v>1297</v>
      </c>
      <c r="R10" s="1524" t="s">
        <v>1298</v>
      </c>
    </row>
    <row r="11" spans="1:19" ht="14.25" customHeight="1" thickBot="1">
      <c r="A11" s="1530" t="s">
        <v>1287</v>
      </c>
      <c r="B11" s="1534" t="s">
        <v>1206</v>
      </c>
      <c r="C11" s="1524">
        <v>22950</v>
      </c>
      <c r="D11" s="1524">
        <v>22630</v>
      </c>
      <c r="E11" s="1524">
        <v>22030</v>
      </c>
      <c r="F11" s="1538">
        <v>8330</v>
      </c>
      <c r="G11" s="1527"/>
      <c r="I11" s="1524" t="s">
        <v>1299</v>
      </c>
      <c r="J11" s="1524" t="s">
        <v>1300</v>
      </c>
      <c r="K11" s="1524" t="s">
        <v>1301</v>
      </c>
      <c r="L11" s="1524" t="s">
        <v>1302</v>
      </c>
      <c r="M11" s="1524" t="s">
        <v>1303</v>
      </c>
      <c r="N11" s="1524" t="s">
        <v>1304</v>
      </c>
      <c r="O11" s="1524" t="s">
        <v>1305</v>
      </c>
      <c r="P11" s="1524" t="s">
        <v>1306</v>
      </c>
      <c r="Q11" s="1524" t="s">
        <v>1307</v>
      </c>
      <c r="R11" s="1524" t="s">
        <v>1308</v>
      </c>
    </row>
    <row r="12" spans="1:19" ht="14.25" customHeight="1" thickBot="1">
      <c r="A12" s="1530" t="s">
        <v>1287</v>
      </c>
      <c r="B12" s="1534" t="s">
        <v>1142</v>
      </c>
      <c r="C12" s="1524">
        <v>24940</v>
      </c>
      <c r="D12" s="1524">
        <v>23180</v>
      </c>
      <c r="E12" s="1524">
        <v>22910</v>
      </c>
      <c r="F12" s="1538">
        <v>7180</v>
      </c>
      <c r="G12" s="1527"/>
      <c r="I12" s="1524" t="s">
        <v>1309</v>
      </c>
      <c r="J12" s="1524" t="s">
        <v>1310</v>
      </c>
      <c r="K12" s="1524" t="s">
        <v>1311</v>
      </c>
      <c r="L12" s="1524" t="s">
        <v>1312</v>
      </c>
      <c r="M12" s="1524" t="s">
        <v>1313</v>
      </c>
      <c r="N12" s="1524" t="s">
        <v>1314</v>
      </c>
      <c r="O12" s="1524" t="s">
        <v>1315</v>
      </c>
      <c r="P12" s="1524" t="s">
        <v>1316</v>
      </c>
      <c r="Q12" s="1524" t="s">
        <v>1317</v>
      </c>
      <c r="R12" s="1524" t="s">
        <v>1318</v>
      </c>
    </row>
    <row r="13" spans="1:19" ht="14.25" customHeight="1" thickBot="1">
      <c r="A13" s="1530" t="s">
        <v>1287</v>
      </c>
      <c r="B13" s="1534" t="s">
        <v>1232</v>
      </c>
      <c r="C13" s="1524">
        <v>24140</v>
      </c>
      <c r="D13" s="1524">
        <v>22270</v>
      </c>
      <c r="E13" s="1524">
        <v>21950</v>
      </c>
      <c r="F13" s="1538">
        <v>7600</v>
      </c>
      <c r="G13" s="1527"/>
      <c r="I13" s="1524" t="s">
        <v>1319</v>
      </c>
      <c r="J13" s="1524" t="s">
        <v>1320</v>
      </c>
      <c r="K13" s="1524" t="s">
        <v>1321</v>
      </c>
      <c r="L13" s="1524" t="s">
        <v>1322</v>
      </c>
      <c r="M13" s="1524" t="s">
        <v>1323</v>
      </c>
      <c r="N13" s="1524" t="s">
        <v>1324</v>
      </c>
      <c r="O13" s="1524" t="s">
        <v>1325</v>
      </c>
      <c r="P13" s="1524" t="s">
        <v>1326</v>
      </c>
      <c r="Q13" s="1524" t="s">
        <v>1327</v>
      </c>
      <c r="R13" s="1524" t="s">
        <v>1328</v>
      </c>
    </row>
    <row r="14" spans="1:19" ht="14.25" customHeight="1" thickBot="1">
      <c r="A14" s="1530" t="s">
        <v>1287</v>
      </c>
      <c r="B14" s="1534" t="s">
        <v>1244</v>
      </c>
      <c r="C14" s="1524">
        <v>25600</v>
      </c>
      <c r="D14" s="1524">
        <v>22260</v>
      </c>
      <c r="E14" s="1524">
        <v>22110</v>
      </c>
      <c r="F14" s="1538">
        <v>7630</v>
      </c>
      <c r="G14" s="1527"/>
      <c r="I14" s="1524" t="s">
        <v>1329</v>
      </c>
      <c r="J14" s="1524" t="s">
        <v>1330</v>
      </c>
      <c r="K14" s="1524" t="s">
        <v>1331</v>
      </c>
      <c r="L14" s="1524" t="s">
        <v>1332</v>
      </c>
      <c r="M14" s="1524" t="s">
        <v>1333</v>
      </c>
      <c r="N14" s="1524" t="s">
        <v>1334</v>
      </c>
      <c r="O14" s="1524" t="s">
        <v>1335</v>
      </c>
      <c r="P14" s="1524" t="s">
        <v>1336</v>
      </c>
      <c r="Q14" s="1524" t="s">
        <v>1337</v>
      </c>
      <c r="R14" s="1524" t="s">
        <v>1338</v>
      </c>
    </row>
    <row r="15" spans="1:19" ht="14.25" customHeight="1" thickBot="1">
      <c r="A15" s="1530" t="s">
        <v>1287</v>
      </c>
      <c r="B15" s="1534" t="s">
        <v>1255</v>
      </c>
      <c r="C15" s="1524">
        <v>24760</v>
      </c>
      <c r="D15" s="1524">
        <v>24440</v>
      </c>
      <c r="E15" s="1524">
        <v>24130</v>
      </c>
      <c r="F15" s="1538">
        <v>9480</v>
      </c>
      <c r="G15" s="1527"/>
      <c r="I15" s="1524" t="s">
        <v>1340</v>
      </c>
      <c r="J15" s="1524" t="s">
        <v>1341</v>
      </c>
      <c r="K15" s="1524" t="s">
        <v>1342</v>
      </c>
      <c r="L15" s="1524" t="s">
        <v>1343</v>
      </c>
      <c r="M15" s="1524" t="s">
        <v>1344</v>
      </c>
      <c r="N15" s="1524" t="s">
        <v>1345</v>
      </c>
      <c r="O15" s="1524" t="s">
        <v>1346</v>
      </c>
      <c r="P15" s="1524" t="s">
        <v>1347</v>
      </c>
      <c r="Q15" s="1524" t="s">
        <v>1348</v>
      </c>
      <c r="R15" s="1524" t="s">
        <v>1349</v>
      </c>
    </row>
    <row r="16" spans="1:19" ht="14.25" customHeight="1" thickBot="1">
      <c r="A16" s="1530" t="s">
        <v>1287</v>
      </c>
      <c r="B16" s="1534" t="s">
        <v>1266</v>
      </c>
      <c r="C16" s="1524">
        <v>22220</v>
      </c>
      <c r="D16" s="1524">
        <v>22310</v>
      </c>
      <c r="E16" s="1524">
        <v>22000</v>
      </c>
      <c r="F16" s="1538">
        <v>8900</v>
      </c>
      <c r="G16" s="1527"/>
      <c r="I16" s="1524" t="s">
        <v>1351</v>
      </c>
      <c r="J16" s="1524" t="s">
        <v>1352</v>
      </c>
      <c r="K16" s="1524" t="s">
        <v>1353</v>
      </c>
      <c r="L16" s="1524" t="s">
        <v>1354</v>
      </c>
      <c r="M16" s="1524" t="s">
        <v>1355</v>
      </c>
      <c r="N16" s="1524" t="s">
        <v>1356</v>
      </c>
      <c r="O16" s="1524" t="s">
        <v>1357</v>
      </c>
      <c r="P16" s="1524" t="s">
        <v>1358</v>
      </c>
      <c r="Q16" s="1524" t="s">
        <v>1359</v>
      </c>
      <c r="R16" s="1524" t="s">
        <v>1360</v>
      </c>
    </row>
    <row r="17" spans="1:18" ht="14.25" customHeight="1" thickBot="1">
      <c r="A17" s="1530" t="s">
        <v>1287</v>
      </c>
      <c r="B17" s="1534" t="s">
        <v>1277</v>
      </c>
      <c r="C17" s="1524">
        <v>24700</v>
      </c>
      <c r="D17" s="1524">
        <v>25150</v>
      </c>
      <c r="E17" s="1524">
        <v>24700</v>
      </c>
      <c r="F17" s="1539"/>
      <c r="G17" s="1527"/>
      <c r="I17" s="1524" t="s">
        <v>1361</v>
      </c>
      <c r="J17" s="1524" t="s">
        <v>1362</v>
      </c>
      <c r="K17" s="1524" t="s">
        <v>1363</v>
      </c>
      <c r="L17" s="1524" t="s">
        <v>1364</v>
      </c>
      <c r="M17" s="1524" t="s">
        <v>1365</v>
      </c>
      <c r="N17" s="1524" t="s">
        <v>1366</v>
      </c>
      <c r="O17" s="1524" t="s">
        <v>1367</v>
      </c>
      <c r="P17" s="1524" t="s">
        <v>1368</v>
      </c>
      <c r="Q17" s="1524" t="s">
        <v>1369</v>
      </c>
      <c r="R17" s="1524" t="s">
        <v>1370</v>
      </c>
    </row>
    <row r="18" spans="1:18" ht="14.25" customHeight="1" thickBot="1">
      <c r="A18" s="1530" t="s">
        <v>1287</v>
      </c>
      <c r="B18" s="1534" t="s">
        <v>1289</v>
      </c>
      <c r="C18" s="1524">
        <v>22350</v>
      </c>
      <c r="D18" s="1524">
        <v>24340</v>
      </c>
      <c r="E18" s="1524">
        <v>24100</v>
      </c>
      <c r="F18" s="1539"/>
      <c r="G18" s="1527"/>
      <c r="I18" s="1524" t="s">
        <v>1371</v>
      </c>
      <c r="J18" s="1524" t="s">
        <v>1372</v>
      </c>
      <c r="K18" s="1524" t="s">
        <v>1373</v>
      </c>
      <c r="L18" s="1524" t="s">
        <v>1374</v>
      </c>
      <c r="M18" s="1524" t="s">
        <v>1375</v>
      </c>
      <c r="N18" s="1524" t="s">
        <v>1376</v>
      </c>
      <c r="O18" s="1524" t="s">
        <v>1377</v>
      </c>
      <c r="P18" s="1524" t="s">
        <v>1378</v>
      </c>
      <c r="Q18" s="1524" t="s">
        <v>1379</v>
      </c>
      <c r="R18" s="1524" t="s">
        <v>1380</v>
      </c>
    </row>
    <row r="19" spans="1:18" ht="14.25" customHeight="1" thickBot="1">
      <c r="A19" s="1530" t="s">
        <v>1287</v>
      </c>
      <c r="B19" s="1534" t="s">
        <v>1299</v>
      </c>
      <c r="C19" s="1524">
        <v>23430</v>
      </c>
      <c r="D19" s="1524">
        <v>21580</v>
      </c>
      <c r="E19" s="1524">
        <v>21350</v>
      </c>
      <c r="F19" s="1539"/>
      <c r="G19" s="1527"/>
      <c r="I19" s="1524" t="s">
        <v>1381</v>
      </c>
      <c r="J19" s="1524" t="s">
        <v>1382</v>
      </c>
      <c r="K19" s="1524" t="s">
        <v>1383</v>
      </c>
      <c r="L19" s="1524" t="s">
        <v>1384</v>
      </c>
      <c r="M19" s="1524" t="s">
        <v>1385</v>
      </c>
      <c r="N19" s="1524" t="s">
        <v>1386</v>
      </c>
      <c r="O19" s="1524" t="s">
        <v>1387</v>
      </c>
      <c r="P19" s="1524" t="s">
        <v>1388</v>
      </c>
      <c r="Q19" s="1524" t="s">
        <v>1389</v>
      </c>
      <c r="R19" s="1524" t="s">
        <v>1390</v>
      </c>
    </row>
    <row r="20" spans="1:18" ht="14.25" customHeight="1" thickBot="1">
      <c r="A20" s="1530" t="s">
        <v>1287</v>
      </c>
      <c r="B20" s="1534" t="s">
        <v>1309</v>
      </c>
      <c r="C20" s="1524">
        <v>27660</v>
      </c>
      <c r="D20" s="1524">
        <v>24240</v>
      </c>
      <c r="E20" s="1524">
        <v>24020</v>
      </c>
      <c r="F20" s="1539"/>
      <c r="I20" s="1524" t="s">
        <v>1391</v>
      </c>
      <c r="J20" s="1524" t="s">
        <v>1392</v>
      </c>
      <c r="K20" s="1524" t="s">
        <v>1393</v>
      </c>
      <c r="L20" s="1524" t="s">
        <v>1394</v>
      </c>
      <c r="M20" s="1524" t="s">
        <v>1395</v>
      </c>
      <c r="N20" s="1524" t="s">
        <v>1396</v>
      </c>
      <c r="O20" s="1524" t="s">
        <v>1397</v>
      </c>
      <c r="P20" s="1524" t="s">
        <v>1398</v>
      </c>
      <c r="Q20" s="1524" t="s">
        <v>1399</v>
      </c>
      <c r="R20" s="1524" t="s">
        <v>1400</v>
      </c>
    </row>
    <row r="21" spans="1:18" ht="14.25" customHeight="1" thickBot="1">
      <c r="A21" s="1530" t="s">
        <v>1287</v>
      </c>
      <c r="B21" s="1534" t="s">
        <v>1319</v>
      </c>
      <c r="C21" s="1524">
        <v>24720</v>
      </c>
      <c r="D21" s="1524">
        <v>21670</v>
      </c>
      <c r="E21" s="1524">
        <v>21510</v>
      </c>
      <c r="F21" s="1539"/>
      <c r="J21" s="1524" t="s">
        <v>1401</v>
      </c>
      <c r="K21" s="1524" t="s">
        <v>1402</v>
      </c>
      <c r="L21" s="1524" t="s">
        <v>1403</v>
      </c>
      <c r="M21" s="1524" t="s">
        <v>1404</v>
      </c>
      <c r="N21" s="1524" t="s">
        <v>1405</v>
      </c>
      <c r="O21" s="1524" t="s">
        <v>1406</v>
      </c>
      <c r="P21" s="1524" t="s">
        <v>1407</v>
      </c>
      <c r="Q21" s="1524" t="s">
        <v>1408</v>
      </c>
      <c r="R21" s="1524" t="s">
        <v>1409</v>
      </c>
    </row>
    <row r="22" spans="1:18" ht="14.25" customHeight="1" thickBot="1">
      <c r="A22" s="1530" t="s">
        <v>1287</v>
      </c>
      <c r="B22" s="1534" t="s">
        <v>1410</v>
      </c>
      <c r="C22" s="1524">
        <v>26530</v>
      </c>
      <c r="D22" s="1524">
        <v>22980</v>
      </c>
      <c r="E22" s="1524">
        <v>22650</v>
      </c>
      <c r="F22" s="1539"/>
      <c r="K22" s="1524" t="s">
        <v>1411</v>
      </c>
      <c r="L22" s="1524" t="s">
        <v>1412</v>
      </c>
      <c r="M22" s="1524" t="s">
        <v>1413</v>
      </c>
      <c r="N22" s="1524" t="s">
        <v>1414</v>
      </c>
      <c r="O22" s="1524" t="s">
        <v>1415</v>
      </c>
      <c r="P22" s="1524" t="s">
        <v>1416</v>
      </c>
      <c r="Q22" s="1524" t="s">
        <v>1417</v>
      </c>
      <c r="R22" s="1534" t="s">
        <v>1418</v>
      </c>
    </row>
    <row r="23" spans="1:18" ht="14.25" customHeight="1" thickBot="1">
      <c r="A23" s="1530" t="s">
        <v>1287</v>
      </c>
      <c r="B23" s="1534" t="s">
        <v>1340</v>
      </c>
      <c r="C23" s="1524">
        <v>24700</v>
      </c>
      <c r="D23" s="1524">
        <v>27290</v>
      </c>
      <c r="E23" s="1524">
        <v>26710</v>
      </c>
      <c r="F23" s="1539"/>
      <c r="K23" s="1524" t="s">
        <v>1419</v>
      </c>
      <c r="L23" s="1524" t="s">
        <v>1420</v>
      </c>
      <c r="M23" s="1524" t="s">
        <v>1421</v>
      </c>
      <c r="N23" s="1524" t="s">
        <v>1422</v>
      </c>
      <c r="O23" s="1524" t="s">
        <v>1423</v>
      </c>
      <c r="P23" s="1524" t="s">
        <v>1424</v>
      </c>
      <c r="Q23" s="1524" t="s">
        <v>1425</v>
      </c>
    </row>
    <row r="24" spans="1:18" ht="14.25" customHeight="1" thickBot="1">
      <c r="A24" s="1530" t="s">
        <v>1287</v>
      </c>
      <c r="B24" s="1534" t="s">
        <v>1351</v>
      </c>
      <c r="C24" s="1524">
        <v>23070</v>
      </c>
      <c r="D24" s="1524">
        <v>24130</v>
      </c>
      <c r="E24" s="1524">
        <v>23860</v>
      </c>
      <c r="F24" s="1539"/>
      <c r="K24" s="1524" t="s">
        <v>1426</v>
      </c>
      <c r="L24" s="1524" t="s">
        <v>1427</v>
      </c>
      <c r="M24" s="1524" t="s">
        <v>1428</v>
      </c>
      <c r="N24" s="1524" t="s">
        <v>1429</v>
      </c>
      <c r="O24" s="1524" t="s">
        <v>1430</v>
      </c>
      <c r="P24" s="1524" t="s">
        <v>1431</v>
      </c>
      <c r="Q24" s="1524" t="s">
        <v>1432</v>
      </c>
    </row>
    <row r="25" spans="1:18" ht="14.25" customHeight="1" thickBot="1">
      <c r="A25" s="1530" t="s">
        <v>1287</v>
      </c>
      <c r="B25" s="1534" t="s">
        <v>1361</v>
      </c>
      <c r="C25" s="1524">
        <v>27550</v>
      </c>
      <c r="D25" s="1524">
        <v>25850</v>
      </c>
      <c r="E25" s="1524">
        <v>25340</v>
      </c>
      <c r="F25" s="1539"/>
      <c r="K25" s="1524" t="s">
        <v>1433</v>
      </c>
      <c r="L25" s="1524" t="s">
        <v>1434</v>
      </c>
      <c r="M25" s="1524" t="s">
        <v>1435</v>
      </c>
      <c r="N25" s="1524" t="s">
        <v>1436</v>
      </c>
      <c r="O25" s="1524" t="s">
        <v>1437</v>
      </c>
      <c r="P25" s="1524" t="s">
        <v>1438</v>
      </c>
      <c r="Q25" s="1524" t="s">
        <v>1439</v>
      </c>
    </row>
    <row r="26" spans="1:18" ht="14.25" customHeight="1" thickBot="1">
      <c r="A26" s="1530" t="s">
        <v>1287</v>
      </c>
      <c r="B26" s="1534" t="s">
        <v>1371</v>
      </c>
      <c r="C26" s="1524"/>
      <c r="D26" s="1524">
        <v>23900</v>
      </c>
      <c r="E26" s="1524">
        <v>23590</v>
      </c>
      <c r="F26" s="1539"/>
      <c r="K26" s="1524" t="s">
        <v>1440</v>
      </c>
      <c r="L26" s="1524" t="s">
        <v>1441</v>
      </c>
      <c r="M26" s="1524" t="s">
        <v>1442</v>
      </c>
      <c r="N26" s="1524" t="s">
        <v>1443</v>
      </c>
      <c r="O26" s="1524" t="s">
        <v>1444</v>
      </c>
      <c r="P26" s="1524" t="s">
        <v>1445</v>
      </c>
      <c r="Q26" s="1524" t="s">
        <v>1446</v>
      </c>
    </row>
    <row r="27" spans="1:18" ht="14.25" customHeight="1" thickBot="1">
      <c r="A27" s="1530" t="s">
        <v>1287</v>
      </c>
      <c r="B27" s="1534" t="s">
        <v>1381</v>
      </c>
      <c r="C27" s="1524"/>
      <c r="D27" s="1524">
        <v>22850</v>
      </c>
      <c r="E27" s="1524">
        <v>21920</v>
      </c>
      <c r="F27" s="1539"/>
      <c r="K27" s="1524" t="s">
        <v>1447</v>
      </c>
      <c r="L27" s="1524" t="s">
        <v>1448</v>
      </c>
      <c r="M27" s="1524" t="s">
        <v>1449</v>
      </c>
      <c r="N27" s="1524" t="s">
        <v>1450</v>
      </c>
      <c r="O27" s="1524" t="s">
        <v>1451</v>
      </c>
      <c r="P27" s="1524" t="s">
        <v>1452</v>
      </c>
      <c r="Q27" s="1524" t="s">
        <v>1453</v>
      </c>
    </row>
    <row r="28" spans="1:18" ht="14.25" customHeight="1" thickBot="1">
      <c r="A28" s="1540" t="s">
        <v>1287</v>
      </c>
      <c r="B28" s="1535" t="s">
        <v>1391</v>
      </c>
      <c r="C28" s="1536"/>
      <c r="D28" s="1536">
        <v>26610</v>
      </c>
      <c r="E28" s="1536">
        <v>26370</v>
      </c>
      <c r="F28" s="1537"/>
      <c r="K28" s="1524" t="s">
        <v>1454</v>
      </c>
      <c r="L28" s="1524" t="s">
        <v>1455</v>
      </c>
      <c r="M28" s="1524" t="s">
        <v>1456</v>
      </c>
      <c r="N28" s="1524" t="s">
        <v>1457</v>
      </c>
      <c r="O28" s="1524" t="s">
        <v>1458</v>
      </c>
      <c r="P28" s="1524" t="s">
        <v>1459</v>
      </c>
    </row>
    <row r="29" spans="1:18" ht="14.25" customHeight="1" thickBot="1">
      <c r="A29" s="1530" t="s">
        <v>1460</v>
      </c>
      <c r="B29" s="1531" t="s">
        <v>1461</v>
      </c>
      <c r="C29" s="1531">
        <v>22090</v>
      </c>
      <c r="D29" s="1531">
        <v>21860</v>
      </c>
      <c r="E29" s="1531">
        <v>19380</v>
      </c>
      <c r="F29" s="1532">
        <v>6610</v>
      </c>
      <c r="L29" s="1524" t="s">
        <v>1462</v>
      </c>
      <c r="M29" s="1524" t="s">
        <v>1463</v>
      </c>
      <c r="N29" s="1524" t="s">
        <v>1464</v>
      </c>
      <c r="O29" s="1524" t="s">
        <v>1465</v>
      </c>
      <c r="P29" s="1524" t="s">
        <v>1466</v>
      </c>
    </row>
    <row r="30" spans="1:18" ht="14.25" customHeight="1" thickBot="1">
      <c r="A30" s="1530" t="s">
        <v>1460</v>
      </c>
      <c r="B30" s="1534" t="s">
        <v>1207</v>
      </c>
      <c r="C30" s="1524">
        <v>21380</v>
      </c>
      <c r="D30" s="1524">
        <v>19930</v>
      </c>
      <c r="E30" s="1524">
        <v>19860</v>
      </c>
      <c r="F30" s="1538">
        <v>6010</v>
      </c>
      <c r="L30" s="1524" t="s">
        <v>1467</v>
      </c>
      <c r="M30" s="1524" t="s">
        <v>1468</v>
      </c>
      <c r="N30" s="1524" t="s">
        <v>1469</v>
      </c>
      <c r="O30" s="1524" t="s">
        <v>2503</v>
      </c>
      <c r="P30" s="1524" t="s">
        <v>1470</v>
      </c>
    </row>
    <row r="31" spans="1:18" ht="14.25" customHeight="1" thickBot="1">
      <c r="A31" s="1530" t="s">
        <v>1460</v>
      </c>
      <c r="B31" s="1534" t="s">
        <v>1220</v>
      </c>
      <c r="C31" s="1524">
        <v>21670</v>
      </c>
      <c r="D31" s="1524">
        <v>20660</v>
      </c>
      <c r="E31" s="1524">
        <v>20290</v>
      </c>
      <c r="F31" s="1538">
        <v>5840</v>
      </c>
      <c r="L31" s="1524" t="s">
        <v>1471</v>
      </c>
      <c r="M31" s="1524" t="s">
        <v>1472</v>
      </c>
      <c r="N31" s="1524" t="s">
        <v>1473</v>
      </c>
      <c r="O31" s="1524" t="s">
        <v>1474</v>
      </c>
      <c r="P31" s="1524" t="s">
        <v>1475</v>
      </c>
    </row>
    <row r="32" spans="1:18" ht="14.25" customHeight="1" thickBot="1">
      <c r="A32" s="1530" t="s">
        <v>1460</v>
      </c>
      <c r="B32" s="1534" t="s">
        <v>1233</v>
      </c>
      <c r="C32" s="1524">
        <v>22280</v>
      </c>
      <c r="D32" s="1524">
        <v>21800</v>
      </c>
      <c r="E32" s="1524">
        <v>17650</v>
      </c>
      <c r="F32" s="1538">
        <v>4690</v>
      </c>
      <c r="L32" s="1524" t="s">
        <v>1476</v>
      </c>
      <c r="M32" s="1524" t="s">
        <v>1477</v>
      </c>
      <c r="N32" s="1524" t="s">
        <v>1478</v>
      </c>
      <c r="O32" s="1524" t="s">
        <v>1479</v>
      </c>
      <c r="P32" s="1524" t="s">
        <v>1480</v>
      </c>
    </row>
    <row r="33" spans="1:16" ht="14.25" customHeight="1" thickBot="1">
      <c r="A33" s="1530" t="s">
        <v>1460</v>
      </c>
      <c r="B33" s="1534" t="s">
        <v>1245</v>
      </c>
      <c r="C33" s="1524">
        <v>22130</v>
      </c>
      <c r="D33" s="1524">
        <v>20460</v>
      </c>
      <c r="E33" s="1524">
        <v>18500</v>
      </c>
      <c r="F33" s="1538">
        <v>5340</v>
      </c>
      <c r="L33" s="1524" t="s">
        <v>1481</v>
      </c>
      <c r="M33" s="1524" t="s">
        <v>1482</v>
      </c>
      <c r="N33" s="1524" t="s">
        <v>1483</v>
      </c>
      <c r="O33" s="1524" t="s">
        <v>1484</v>
      </c>
      <c r="P33" s="1524" t="s">
        <v>1485</v>
      </c>
    </row>
    <row r="34" spans="1:16" ht="14.25" customHeight="1" thickBot="1">
      <c r="A34" s="1530" t="s">
        <v>1460</v>
      </c>
      <c r="B34" s="1534" t="s">
        <v>1256</v>
      </c>
      <c r="C34" s="1524">
        <v>22070</v>
      </c>
      <c r="D34" s="1524">
        <v>20110</v>
      </c>
      <c r="E34" s="1524">
        <v>18830</v>
      </c>
      <c r="F34" s="1538">
        <v>5190</v>
      </c>
      <c r="L34" s="1524" t="s">
        <v>1486</v>
      </c>
      <c r="M34" s="1524" t="s">
        <v>1487</v>
      </c>
      <c r="N34" s="1524" t="s">
        <v>1488</v>
      </c>
      <c r="O34" s="1524" t="s">
        <v>1489</v>
      </c>
      <c r="P34" s="1524" t="s">
        <v>1490</v>
      </c>
    </row>
    <row r="35" spans="1:16" ht="14.25" customHeight="1" thickBot="1">
      <c r="A35" s="1530" t="s">
        <v>1460</v>
      </c>
      <c r="B35" s="1534" t="s">
        <v>1267</v>
      </c>
      <c r="C35" s="1524">
        <v>22240</v>
      </c>
      <c r="D35" s="1524">
        <v>19550</v>
      </c>
      <c r="E35" s="1524">
        <v>19220</v>
      </c>
      <c r="F35" s="1538">
        <v>5800</v>
      </c>
      <c r="L35" s="1524" t="s">
        <v>1491</v>
      </c>
      <c r="M35" s="1524" t="s">
        <v>1492</v>
      </c>
      <c r="N35" s="1524" t="s">
        <v>1493</v>
      </c>
      <c r="O35" s="1524" t="s">
        <v>1494</v>
      </c>
      <c r="P35" s="1524" t="s">
        <v>1495</v>
      </c>
    </row>
    <row r="36" spans="1:16" ht="14.25" customHeight="1" thickBot="1">
      <c r="A36" s="1530" t="s">
        <v>1460</v>
      </c>
      <c r="B36" s="1534" t="s">
        <v>1278</v>
      </c>
      <c r="C36" s="1524">
        <v>19750</v>
      </c>
      <c r="D36" s="1524">
        <v>19790</v>
      </c>
      <c r="E36" s="1524">
        <v>18510</v>
      </c>
      <c r="F36" s="1538">
        <v>6520</v>
      </c>
      <c r="M36" s="1524" t="s">
        <v>1496</v>
      </c>
      <c r="N36" s="1524" t="s">
        <v>1497</v>
      </c>
      <c r="O36" s="1524" t="s">
        <v>1498</v>
      </c>
      <c r="P36" s="1524" t="s">
        <v>1499</v>
      </c>
    </row>
    <row r="37" spans="1:16" ht="14.25" customHeight="1" thickBot="1">
      <c r="A37" s="1530" t="s">
        <v>1460</v>
      </c>
      <c r="B37" s="1534" t="s">
        <v>1290</v>
      </c>
      <c r="C37" s="1524">
        <v>22380</v>
      </c>
      <c r="D37" s="1524">
        <v>18530</v>
      </c>
      <c r="E37" s="1524">
        <v>17930</v>
      </c>
      <c r="F37" s="1538">
        <v>6270</v>
      </c>
      <c r="M37" s="1524" t="s">
        <v>1500</v>
      </c>
      <c r="N37" s="1524" t="s">
        <v>1501</v>
      </c>
      <c r="O37" s="1524" t="s">
        <v>1502</v>
      </c>
      <c r="P37" s="1524" t="s">
        <v>1503</v>
      </c>
    </row>
    <row r="38" spans="1:16" ht="14.25" customHeight="1" thickBot="1">
      <c r="A38" s="1530" t="s">
        <v>1460</v>
      </c>
      <c r="B38" s="1534" t="s">
        <v>1300</v>
      </c>
      <c r="C38" s="1524">
        <v>20200</v>
      </c>
      <c r="D38" s="1524">
        <v>20070</v>
      </c>
      <c r="E38" s="1524">
        <v>19950</v>
      </c>
      <c r="F38" s="1538"/>
      <c r="M38" s="1524" t="s">
        <v>1504</v>
      </c>
      <c r="N38" s="1524" t="s">
        <v>1505</v>
      </c>
      <c r="O38" s="1524" t="s">
        <v>1506</v>
      </c>
      <c r="P38" s="1524" t="s">
        <v>1507</v>
      </c>
    </row>
    <row r="39" spans="1:16" ht="14.25" customHeight="1" thickBot="1">
      <c r="A39" s="1530" t="s">
        <v>1460</v>
      </c>
      <c r="B39" s="1534" t="s">
        <v>1310</v>
      </c>
      <c r="C39" s="1524">
        <v>19300</v>
      </c>
      <c r="D39" s="1524">
        <v>20360</v>
      </c>
      <c r="E39" s="1524">
        <v>20230</v>
      </c>
      <c r="F39" s="1538"/>
      <c r="M39" s="1524" t="s">
        <v>1508</v>
      </c>
      <c r="N39" s="1524" t="s">
        <v>1509</v>
      </c>
      <c r="O39" s="1524" t="s">
        <v>1510</v>
      </c>
      <c r="P39" s="1524" t="s">
        <v>1511</v>
      </c>
    </row>
    <row r="40" spans="1:16" ht="14.25" customHeight="1" thickBot="1">
      <c r="A40" s="1530" t="s">
        <v>1460</v>
      </c>
      <c r="B40" s="1534" t="s">
        <v>1320</v>
      </c>
      <c r="C40" s="1524">
        <v>20210</v>
      </c>
      <c r="D40" s="1524">
        <v>19060</v>
      </c>
      <c r="E40" s="1524">
        <v>18890</v>
      </c>
      <c r="F40" s="1538"/>
      <c r="M40" s="1524" t="s">
        <v>1512</v>
      </c>
      <c r="N40" s="1524" t="s">
        <v>1513</v>
      </c>
      <c r="O40" s="1524" t="s">
        <v>1514</v>
      </c>
      <c r="P40" s="1524" t="s">
        <v>1515</v>
      </c>
    </row>
    <row r="41" spans="1:16" ht="14.25" customHeight="1" thickBot="1">
      <c r="A41" s="1530" t="s">
        <v>1460</v>
      </c>
      <c r="B41" s="1534" t="s">
        <v>1330</v>
      </c>
      <c r="C41" s="1524">
        <v>20560</v>
      </c>
      <c r="D41" s="1524">
        <v>21040</v>
      </c>
      <c r="E41" s="1524">
        <v>20740</v>
      </c>
      <c r="F41" s="1538"/>
      <c r="M41" s="1534" t="s">
        <v>1516</v>
      </c>
      <c r="N41" s="1534" t="s">
        <v>1517</v>
      </c>
      <c r="P41" s="1534" t="s">
        <v>1518</v>
      </c>
    </row>
    <row r="42" spans="1:16" ht="14.25" customHeight="1" thickBot="1">
      <c r="A42" s="1530" t="s">
        <v>1460</v>
      </c>
      <c r="B42" s="1534" t="s">
        <v>1341</v>
      </c>
      <c r="C42" s="1524">
        <v>19280</v>
      </c>
      <c r="D42" s="1524">
        <v>22940</v>
      </c>
      <c r="E42" s="1524">
        <v>22500</v>
      </c>
      <c r="F42" s="1538"/>
      <c r="M42" s="1524" t="s">
        <v>1519</v>
      </c>
      <c r="N42" s="1524" t="s">
        <v>1520</v>
      </c>
      <c r="P42" s="1524" t="s">
        <v>1521</v>
      </c>
    </row>
    <row r="43" spans="1:16" ht="14.25" customHeight="1" thickBot="1">
      <c r="A43" s="1530" t="s">
        <v>1460</v>
      </c>
      <c r="B43" s="1534" t="s">
        <v>1352</v>
      </c>
      <c r="C43" s="1524">
        <v>21520</v>
      </c>
      <c r="D43" s="1524">
        <v>19230</v>
      </c>
      <c r="E43" s="1524">
        <v>18540</v>
      </c>
      <c r="F43" s="1538"/>
      <c r="M43" s="1524" t="s">
        <v>1522</v>
      </c>
      <c r="N43" s="1524" t="s">
        <v>1523</v>
      </c>
      <c r="P43" s="1524" t="s">
        <v>1524</v>
      </c>
    </row>
    <row r="44" spans="1:16" ht="14.25" customHeight="1" thickBot="1">
      <c r="A44" s="1530" t="s">
        <v>1460</v>
      </c>
      <c r="B44" s="1534" t="s">
        <v>1362</v>
      </c>
      <c r="C44" s="1524">
        <v>23260</v>
      </c>
      <c r="D44" s="1524">
        <v>21180</v>
      </c>
      <c r="E44" s="1524">
        <v>20730</v>
      </c>
      <c r="F44" s="1538"/>
      <c r="M44" s="1524" t="s">
        <v>1525</v>
      </c>
      <c r="N44" s="1524" t="s">
        <v>1526</v>
      </c>
      <c r="P44" s="1524" t="s">
        <v>1527</v>
      </c>
    </row>
    <row r="45" spans="1:16" ht="14.25" customHeight="1" thickBot="1">
      <c r="A45" s="1530" t="s">
        <v>1460</v>
      </c>
      <c r="B45" s="1534" t="s">
        <v>1372</v>
      </c>
      <c r="C45" s="1524">
        <v>19610</v>
      </c>
      <c r="D45" s="1524">
        <v>18090</v>
      </c>
      <c r="E45" s="1524">
        <v>17970</v>
      </c>
      <c r="F45" s="1538"/>
      <c r="M45" s="1524" t="s">
        <v>1528</v>
      </c>
      <c r="N45" s="1524" t="s">
        <v>1529</v>
      </c>
      <c r="P45" s="1524" t="s">
        <v>1530</v>
      </c>
    </row>
    <row r="46" spans="1:16" ht="14.25" customHeight="1" thickBot="1">
      <c r="A46" s="1530" t="s">
        <v>1460</v>
      </c>
      <c r="B46" s="1534" t="s">
        <v>1382</v>
      </c>
      <c r="C46" s="1524">
        <v>21660</v>
      </c>
      <c r="D46" s="1524">
        <v>19190</v>
      </c>
      <c r="E46" s="1524">
        <v>19790</v>
      </c>
      <c r="F46" s="1538"/>
      <c r="M46" s="1524" t="s">
        <v>1531</v>
      </c>
      <c r="N46" s="1524" t="s">
        <v>1532</v>
      </c>
      <c r="P46" s="1524" t="s">
        <v>1533</v>
      </c>
    </row>
    <row r="47" spans="1:16" ht="14.25" customHeight="1" thickBot="1">
      <c r="A47" s="1530" t="s">
        <v>1460</v>
      </c>
      <c r="B47" s="1534" t="s">
        <v>1392</v>
      </c>
      <c r="C47" s="1524">
        <v>18220</v>
      </c>
      <c r="D47" s="1524"/>
      <c r="E47" s="1524">
        <v>17220</v>
      </c>
      <c r="F47" s="1538"/>
      <c r="M47" s="1524" t="s">
        <v>1534</v>
      </c>
      <c r="N47" s="1524" t="s">
        <v>1535</v>
      </c>
    </row>
    <row r="48" spans="1:16" ht="14.25" customHeight="1" thickBot="1">
      <c r="A48" s="1530" t="s">
        <v>1460</v>
      </c>
      <c r="B48" s="1535" t="s">
        <v>1401</v>
      </c>
      <c r="C48" s="1536">
        <v>19430</v>
      </c>
      <c r="D48" s="1536"/>
      <c r="E48" s="1536">
        <v>17830</v>
      </c>
      <c r="F48" s="1541"/>
      <c r="M48" s="1524" t="s">
        <v>1536</v>
      </c>
      <c r="N48" s="1524" t="s">
        <v>1537</v>
      </c>
    </row>
    <row r="49" spans="1:14" ht="14.25" customHeight="1" thickBot="1">
      <c r="A49" s="1530" t="s">
        <v>1141</v>
      </c>
      <c r="B49" s="1531" t="s">
        <v>1538</v>
      </c>
      <c r="C49" s="1531">
        <v>17090</v>
      </c>
      <c r="D49" s="1531">
        <v>16950</v>
      </c>
      <c r="E49" s="1531">
        <v>16310</v>
      </c>
      <c r="F49" s="1532">
        <v>4540</v>
      </c>
      <c r="M49" s="1524" t="s">
        <v>1539</v>
      </c>
      <c r="N49" s="1524" t="s">
        <v>1540</v>
      </c>
    </row>
    <row r="50" spans="1:14" ht="14.25" customHeight="1" thickBot="1">
      <c r="A50" s="1530" t="s">
        <v>1141</v>
      </c>
      <c r="B50" s="1524" t="s">
        <v>1208</v>
      </c>
      <c r="C50" s="1524">
        <v>19040</v>
      </c>
      <c r="D50" s="1524">
        <v>16960</v>
      </c>
      <c r="E50" s="1524">
        <v>14800</v>
      </c>
      <c r="F50" s="1538">
        <v>3940</v>
      </c>
    </row>
    <row r="51" spans="1:14" ht="14.25" customHeight="1" thickBot="1">
      <c r="A51" s="1530" t="s">
        <v>1141</v>
      </c>
      <c r="B51" s="1524" t="s">
        <v>1221</v>
      </c>
      <c r="C51" s="1524">
        <v>17040</v>
      </c>
      <c r="D51" s="1524">
        <v>16930</v>
      </c>
      <c r="E51" s="1524">
        <v>15030</v>
      </c>
      <c r="F51" s="1538">
        <v>4120</v>
      </c>
    </row>
    <row r="52" spans="1:14" ht="14.25" customHeight="1" thickBot="1">
      <c r="A52" s="1530" t="s">
        <v>1141</v>
      </c>
      <c r="B52" s="1524" t="s">
        <v>1234</v>
      </c>
      <c r="C52" s="1524">
        <v>17110</v>
      </c>
      <c r="D52" s="1524">
        <v>17750</v>
      </c>
      <c r="E52" s="1524">
        <v>17310</v>
      </c>
      <c r="F52" s="1538">
        <v>3220</v>
      </c>
    </row>
    <row r="53" spans="1:14" ht="14.25" customHeight="1" thickBot="1">
      <c r="A53" s="1530" t="s">
        <v>1141</v>
      </c>
      <c r="B53" s="1524" t="s">
        <v>1246</v>
      </c>
      <c r="C53" s="1524">
        <v>17810</v>
      </c>
      <c r="D53" s="1524">
        <v>17260</v>
      </c>
      <c r="E53" s="1524">
        <v>17090</v>
      </c>
      <c r="F53" s="1538">
        <v>3520</v>
      </c>
    </row>
    <row r="54" spans="1:14" ht="14.25" customHeight="1" thickBot="1">
      <c r="A54" s="1530" t="s">
        <v>1141</v>
      </c>
      <c r="B54" s="1524" t="s">
        <v>1257</v>
      </c>
      <c r="C54" s="1524">
        <v>17410</v>
      </c>
      <c r="D54" s="1524">
        <v>16780</v>
      </c>
      <c r="E54" s="1524">
        <v>16370</v>
      </c>
      <c r="F54" s="1538">
        <v>3410</v>
      </c>
    </row>
    <row r="55" spans="1:14" ht="14.25" customHeight="1" thickBot="1">
      <c r="A55" s="1530" t="s">
        <v>1141</v>
      </c>
      <c r="B55" s="1524" t="s">
        <v>1268</v>
      </c>
      <c r="C55" s="1524">
        <v>16930</v>
      </c>
      <c r="D55" s="1524">
        <v>14720</v>
      </c>
      <c r="E55" s="1524">
        <v>15000</v>
      </c>
      <c r="F55" s="1538">
        <v>3710</v>
      </c>
    </row>
    <row r="56" spans="1:14" ht="14.25" customHeight="1" thickBot="1">
      <c r="A56" s="1530" t="s">
        <v>1141</v>
      </c>
      <c r="B56" s="1524" t="s">
        <v>1279</v>
      </c>
      <c r="C56" s="1524">
        <v>14930</v>
      </c>
      <c r="D56" s="1524">
        <v>15850</v>
      </c>
      <c r="E56" s="1524">
        <v>14320</v>
      </c>
      <c r="F56" s="1538">
        <v>3960</v>
      </c>
    </row>
    <row r="57" spans="1:14" ht="14.25" customHeight="1" thickBot="1">
      <c r="A57" s="1530" t="s">
        <v>1141</v>
      </c>
      <c r="B57" s="1524" t="s">
        <v>1291</v>
      </c>
      <c r="C57" s="1524">
        <v>16160</v>
      </c>
      <c r="D57" s="1524">
        <v>16190</v>
      </c>
      <c r="E57" s="1524">
        <v>15650</v>
      </c>
      <c r="F57" s="1538">
        <v>4200</v>
      </c>
    </row>
    <row r="58" spans="1:14" ht="14.25" customHeight="1" thickBot="1">
      <c r="A58" s="1530" t="s">
        <v>1141</v>
      </c>
      <c r="B58" s="1524" t="s">
        <v>1301</v>
      </c>
      <c r="C58" s="1524">
        <v>16360</v>
      </c>
      <c r="D58" s="1524">
        <v>14050</v>
      </c>
      <c r="E58" s="1524">
        <v>16070</v>
      </c>
      <c r="F58" s="1538">
        <v>3990</v>
      </c>
    </row>
    <row r="59" spans="1:14" ht="14.25" customHeight="1" thickBot="1">
      <c r="A59" s="1530" t="s">
        <v>1141</v>
      </c>
      <c r="B59" s="1524" t="s">
        <v>1311</v>
      </c>
      <c r="C59" s="1524">
        <v>14160</v>
      </c>
      <c r="D59" s="1524">
        <v>16620</v>
      </c>
      <c r="E59" s="1524">
        <v>13940</v>
      </c>
      <c r="F59" s="1538">
        <v>4260</v>
      </c>
    </row>
    <row r="60" spans="1:14" ht="14.25" customHeight="1" thickBot="1">
      <c r="A60" s="1530" t="s">
        <v>1141</v>
      </c>
      <c r="B60" s="1524" t="s">
        <v>1321</v>
      </c>
      <c r="C60" s="1524">
        <v>16750</v>
      </c>
      <c r="D60" s="1524">
        <v>13910</v>
      </c>
      <c r="E60" s="1524">
        <v>16550</v>
      </c>
      <c r="F60" s="1538">
        <v>4550</v>
      </c>
    </row>
    <row r="61" spans="1:14" ht="14.25" customHeight="1" thickBot="1">
      <c r="A61" s="1530" t="s">
        <v>1141</v>
      </c>
      <c r="B61" s="1524" t="s">
        <v>1331</v>
      </c>
      <c r="C61" s="1524">
        <v>14000</v>
      </c>
      <c r="D61" s="1524">
        <v>14550</v>
      </c>
      <c r="E61" s="1524">
        <v>13860</v>
      </c>
      <c r="F61" s="1542"/>
    </row>
    <row r="62" spans="1:14" ht="14.25" customHeight="1" thickBot="1">
      <c r="A62" s="1530" t="s">
        <v>1141</v>
      </c>
      <c r="B62" s="1524" t="s">
        <v>1342</v>
      </c>
      <c r="C62" s="1524">
        <v>14660</v>
      </c>
      <c r="D62" s="1524">
        <v>17450</v>
      </c>
      <c r="E62" s="1524">
        <v>14470</v>
      </c>
      <c r="F62" s="1542"/>
    </row>
    <row r="63" spans="1:14" ht="14.25" customHeight="1" thickBot="1">
      <c r="A63" s="1530" t="s">
        <v>1141</v>
      </c>
      <c r="B63" s="1524" t="s">
        <v>1353</v>
      </c>
      <c r="C63" s="1524">
        <v>17610</v>
      </c>
      <c r="D63" s="1524">
        <v>16500</v>
      </c>
      <c r="E63" s="1524">
        <v>17330</v>
      </c>
      <c r="F63" s="1542"/>
    </row>
    <row r="64" spans="1:14" ht="14.25" customHeight="1" thickBot="1">
      <c r="A64" s="1530" t="s">
        <v>1141</v>
      </c>
      <c r="B64" s="1524" t="s">
        <v>1363</v>
      </c>
      <c r="C64" s="1524">
        <v>16590</v>
      </c>
      <c r="D64" s="1524">
        <v>15130</v>
      </c>
      <c r="E64" s="1524">
        <v>16420</v>
      </c>
      <c r="F64" s="1542"/>
    </row>
    <row r="65" spans="1:6" s="1518" customFormat="1" ht="14.25" customHeight="1" thickBot="1">
      <c r="A65" s="1530" t="s">
        <v>1141</v>
      </c>
      <c r="B65" s="1524" t="s">
        <v>1373</v>
      </c>
      <c r="C65" s="1524">
        <v>15220</v>
      </c>
      <c r="D65" s="1524">
        <v>14660</v>
      </c>
      <c r="E65" s="1524">
        <v>15060</v>
      </c>
      <c r="F65" s="1538"/>
    </row>
    <row r="66" spans="1:6" s="1518" customFormat="1" ht="14.25" customHeight="1" thickBot="1">
      <c r="A66" s="1530" t="s">
        <v>1141</v>
      </c>
      <c r="B66" s="1524" t="s">
        <v>1383</v>
      </c>
      <c r="C66" s="1524">
        <v>14720</v>
      </c>
      <c r="D66" s="1524">
        <v>15970</v>
      </c>
      <c r="E66" s="1524">
        <v>14610</v>
      </c>
      <c r="F66" s="1538"/>
    </row>
    <row r="67" spans="1:6" s="1518" customFormat="1" ht="14.25" customHeight="1" thickBot="1">
      <c r="A67" s="1530" t="s">
        <v>1141</v>
      </c>
      <c r="B67" s="1524" t="s">
        <v>1393</v>
      </c>
      <c r="C67" s="1524">
        <v>16080</v>
      </c>
      <c r="D67" s="1524">
        <v>14840</v>
      </c>
      <c r="E67" s="1524">
        <v>15630</v>
      </c>
      <c r="F67" s="1538"/>
    </row>
    <row r="68" spans="1:6" s="1518" customFormat="1" ht="14.25" customHeight="1" thickBot="1">
      <c r="A68" s="1530" t="s">
        <v>1141</v>
      </c>
      <c r="B68" s="1524" t="s">
        <v>1402</v>
      </c>
      <c r="C68" s="1524">
        <v>14940</v>
      </c>
      <c r="D68" s="1524">
        <v>18000</v>
      </c>
      <c r="E68" s="1524">
        <v>14040</v>
      </c>
      <c r="F68" s="1538"/>
    </row>
    <row r="69" spans="1:6" s="1518" customFormat="1" ht="14.25" customHeight="1" thickBot="1">
      <c r="A69" s="1530" t="s">
        <v>1141</v>
      </c>
      <c r="B69" s="1524" t="s">
        <v>1411</v>
      </c>
      <c r="C69" s="1524">
        <v>18810</v>
      </c>
      <c r="D69" s="1524">
        <v>15100</v>
      </c>
      <c r="E69" s="1524">
        <v>14710</v>
      </c>
      <c r="F69" s="1538"/>
    </row>
    <row r="70" spans="1:6" s="1518" customFormat="1" ht="14.25" customHeight="1" thickBot="1">
      <c r="A70" s="1530" t="s">
        <v>1141</v>
      </c>
      <c r="B70" s="1524" t="s">
        <v>1419</v>
      </c>
      <c r="C70" s="1524">
        <v>18270</v>
      </c>
      <c r="D70" s="1524"/>
      <c r="E70" s="1524"/>
      <c r="F70" s="1538"/>
    </row>
    <row r="71" spans="1:6" s="1518" customFormat="1" ht="14.25" customHeight="1" thickBot="1">
      <c r="A71" s="1530" t="s">
        <v>1141</v>
      </c>
      <c r="B71" s="1524" t="s">
        <v>1426</v>
      </c>
      <c r="C71" s="1524">
        <v>15230</v>
      </c>
      <c r="D71" s="1524"/>
      <c r="E71" s="1524"/>
      <c r="F71" s="1538"/>
    </row>
    <row r="72" spans="1:6" s="1518" customFormat="1" ht="14.25" customHeight="1" thickBot="1">
      <c r="A72" s="1530" t="s">
        <v>1141</v>
      </c>
      <c r="B72" s="1524" t="s">
        <v>1433</v>
      </c>
      <c r="C72" s="1524"/>
      <c r="D72" s="1524"/>
      <c r="E72" s="1524"/>
      <c r="F72" s="1538">
        <v>4120</v>
      </c>
    </row>
    <row r="73" spans="1:6" s="1518" customFormat="1" ht="14.25" customHeight="1" thickBot="1">
      <c r="A73" s="1530" t="s">
        <v>1141</v>
      </c>
      <c r="B73" s="1524" t="s">
        <v>1440</v>
      </c>
      <c r="C73" s="1524"/>
      <c r="D73" s="1524"/>
      <c r="E73" s="1524"/>
      <c r="F73" s="1538">
        <v>3930</v>
      </c>
    </row>
    <row r="74" spans="1:6" s="1518" customFormat="1" ht="14.25" customHeight="1" thickBot="1">
      <c r="A74" s="1530" t="s">
        <v>1141</v>
      </c>
      <c r="B74" s="1524" t="s">
        <v>1447</v>
      </c>
      <c r="C74" s="1524"/>
      <c r="D74" s="1524"/>
      <c r="E74" s="1524"/>
      <c r="F74" s="1538">
        <v>4060</v>
      </c>
    </row>
    <row r="75" spans="1:6" s="1518" customFormat="1" ht="14.25" customHeight="1" thickBot="1">
      <c r="A75" s="1530" t="s">
        <v>1141</v>
      </c>
      <c r="B75" s="1536" t="s">
        <v>1454</v>
      </c>
      <c r="C75" s="1536"/>
      <c r="D75" s="1536"/>
      <c r="E75" s="1536"/>
      <c r="F75" s="1541">
        <v>3750</v>
      </c>
    </row>
    <row r="76" spans="1:6" s="1518" customFormat="1" ht="14.25" customHeight="1" thickBot="1">
      <c r="A76" s="1530" t="s">
        <v>1541</v>
      </c>
      <c r="B76" s="1531" t="s">
        <v>1542</v>
      </c>
      <c r="C76" s="1531">
        <v>14690</v>
      </c>
      <c r="D76" s="1531">
        <v>14640</v>
      </c>
      <c r="E76" s="1531">
        <v>14590</v>
      </c>
      <c r="F76" s="1532">
        <v>3060</v>
      </c>
    </row>
    <row r="77" spans="1:6" s="1518" customFormat="1" ht="14.25" customHeight="1" thickBot="1">
      <c r="A77" s="1530" t="s">
        <v>1541</v>
      </c>
      <c r="B77" s="1524" t="s">
        <v>1209</v>
      </c>
      <c r="C77" s="1524">
        <v>12550</v>
      </c>
      <c r="D77" s="1524">
        <v>12480</v>
      </c>
      <c r="E77" s="1524">
        <v>12450</v>
      </c>
      <c r="F77" s="1538">
        <v>2590</v>
      </c>
    </row>
    <row r="78" spans="1:6" s="1518" customFormat="1" ht="14.25" customHeight="1" thickBot="1">
      <c r="A78" s="1530" t="s">
        <v>1541</v>
      </c>
      <c r="B78" s="1524" t="s">
        <v>1222</v>
      </c>
      <c r="C78" s="1524">
        <v>14360</v>
      </c>
      <c r="D78" s="1524">
        <v>14320</v>
      </c>
      <c r="E78" s="1524">
        <v>12510</v>
      </c>
      <c r="F78" s="1538">
        <v>2700</v>
      </c>
    </row>
    <row r="79" spans="1:6" s="1518" customFormat="1" ht="14.25" customHeight="1" thickBot="1">
      <c r="A79" s="1530" t="s">
        <v>1541</v>
      </c>
      <c r="B79" s="1524" t="s">
        <v>1235</v>
      </c>
      <c r="C79" s="1524">
        <v>12590</v>
      </c>
      <c r="D79" s="1524">
        <v>12540</v>
      </c>
      <c r="E79" s="1524">
        <v>12350</v>
      </c>
      <c r="F79" s="1538">
        <v>2740</v>
      </c>
    </row>
    <row r="80" spans="1:6" s="1518" customFormat="1" ht="14.25" customHeight="1" thickBot="1">
      <c r="A80" s="1530" t="s">
        <v>1541</v>
      </c>
      <c r="B80" s="1524" t="s">
        <v>1247</v>
      </c>
      <c r="C80" s="1524">
        <v>12450</v>
      </c>
      <c r="D80" s="1524">
        <v>12370</v>
      </c>
      <c r="E80" s="1524">
        <v>10790</v>
      </c>
      <c r="F80" s="1538">
        <v>2290</v>
      </c>
    </row>
    <row r="81" spans="1:6" s="1518" customFormat="1" ht="14.25" customHeight="1" thickBot="1">
      <c r="A81" s="1530" t="s">
        <v>1541</v>
      </c>
      <c r="B81" s="1524" t="s">
        <v>1258</v>
      </c>
      <c r="C81" s="1524">
        <v>14210</v>
      </c>
      <c r="D81" s="1524">
        <v>14150</v>
      </c>
      <c r="E81" s="1524">
        <v>12730</v>
      </c>
      <c r="F81" s="1538">
        <v>2240</v>
      </c>
    </row>
    <row r="82" spans="1:6" s="1518" customFormat="1" ht="14.25" customHeight="1" thickBot="1">
      <c r="A82" s="1530" t="s">
        <v>1541</v>
      </c>
      <c r="B82" s="1524" t="s">
        <v>1269</v>
      </c>
      <c r="C82" s="1524">
        <v>10860</v>
      </c>
      <c r="D82" s="1524">
        <v>10820</v>
      </c>
      <c r="E82" s="1524">
        <v>14720</v>
      </c>
      <c r="F82" s="1538">
        <v>2490</v>
      </c>
    </row>
    <row r="83" spans="1:6" s="1518" customFormat="1" ht="14.25" customHeight="1" thickBot="1">
      <c r="A83" s="1530" t="s">
        <v>1541</v>
      </c>
      <c r="B83" s="1524" t="s">
        <v>1280</v>
      </c>
      <c r="C83" s="1524">
        <v>12810</v>
      </c>
      <c r="D83" s="1524">
        <v>12760</v>
      </c>
      <c r="E83" s="1524">
        <v>14830</v>
      </c>
      <c r="F83" s="1538">
        <v>2450</v>
      </c>
    </row>
    <row r="84" spans="1:6" s="1518" customFormat="1" ht="14.25" customHeight="1" thickBot="1">
      <c r="A84" s="1530" t="s">
        <v>1541</v>
      </c>
      <c r="B84" s="1524" t="s">
        <v>1292</v>
      </c>
      <c r="C84" s="1524">
        <v>14950</v>
      </c>
      <c r="D84" s="1524">
        <v>14810</v>
      </c>
      <c r="E84" s="1524">
        <v>12590</v>
      </c>
      <c r="F84" s="1538">
        <v>2540</v>
      </c>
    </row>
    <row r="85" spans="1:6" s="1518" customFormat="1" ht="14.25" customHeight="1" thickBot="1">
      <c r="A85" s="1530" t="s">
        <v>1541</v>
      </c>
      <c r="B85" s="1524" t="s">
        <v>1302</v>
      </c>
      <c r="C85" s="1524">
        <v>14960</v>
      </c>
      <c r="D85" s="1524">
        <v>14890</v>
      </c>
      <c r="E85" s="1524">
        <v>12840</v>
      </c>
      <c r="F85" s="1538">
        <v>2840</v>
      </c>
    </row>
    <row r="86" spans="1:6" s="1518" customFormat="1" ht="14.25" customHeight="1" thickBot="1">
      <c r="A86" s="1530" t="s">
        <v>1541</v>
      </c>
      <c r="B86" s="1524" t="s">
        <v>1312</v>
      </c>
      <c r="C86" s="1524">
        <v>12730</v>
      </c>
      <c r="D86" s="1524">
        <v>12660</v>
      </c>
      <c r="E86" s="1524">
        <v>13310</v>
      </c>
      <c r="F86" s="1538">
        <v>3140</v>
      </c>
    </row>
    <row r="87" spans="1:6" s="1518" customFormat="1" ht="14.25" customHeight="1" thickBot="1">
      <c r="A87" s="1530" t="s">
        <v>1541</v>
      </c>
      <c r="B87" s="1524" t="s">
        <v>1322</v>
      </c>
      <c r="C87" s="1524">
        <v>12940</v>
      </c>
      <c r="D87" s="1524">
        <v>12890</v>
      </c>
      <c r="E87" s="1524">
        <v>11580</v>
      </c>
      <c r="F87" s="1542"/>
    </row>
    <row r="88" spans="1:6" s="1518" customFormat="1" ht="14.25" customHeight="1" thickBot="1">
      <c r="A88" s="1530" t="s">
        <v>1541</v>
      </c>
      <c r="B88" s="1524" t="s">
        <v>1332</v>
      </c>
      <c r="C88" s="1524">
        <v>13430</v>
      </c>
      <c r="D88" s="1524">
        <v>13360</v>
      </c>
      <c r="E88" s="1524">
        <v>12790</v>
      </c>
      <c r="F88" s="1542"/>
    </row>
    <row r="89" spans="1:6" s="1518" customFormat="1" ht="14.25" customHeight="1" thickBot="1">
      <c r="A89" s="1530" t="s">
        <v>1541</v>
      </c>
      <c r="B89" s="1524" t="s">
        <v>1343</v>
      </c>
      <c r="C89" s="1524">
        <v>11680</v>
      </c>
      <c r="D89" s="1524">
        <v>11630</v>
      </c>
      <c r="E89" s="1524">
        <v>11320</v>
      </c>
      <c r="F89" s="1542"/>
    </row>
    <row r="90" spans="1:6" s="1518" customFormat="1" ht="14.25" customHeight="1" thickBot="1">
      <c r="A90" s="1530" t="s">
        <v>1541</v>
      </c>
      <c r="B90" s="1524" t="s">
        <v>1354</v>
      </c>
      <c r="C90" s="1524">
        <v>12890</v>
      </c>
      <c r="D90" s="1524">
        <v>12820</v>
      </c>
      <c r="E90" s="1524">
        <v>12710</v>
      </c>
      <c r="F90" s="1542"/>
    </row>
    <row r="91" spans="1:6" s="1518" customFormat="1" ht="14.25" customHeight="1" thickBot="1">
      <c r="A91" s="1530" t="s">
        <v>1541</v>
      </c>
      <c r="B91" s="1524" t="s">
        <v>1364</v>
      </c>
      <c r="C91" s="1524">
        <v>11410</v>
      </c>
      <c r="D91" s="1524">
        <v>11360</v>
      </c>
      <c r="E91" s="1524">
        <v>12670</v>
      </c>
      <c r="F91" s="1542"/>
    </row>
    <row r="92" spans="1:6" s="1518" customFormat="1" ht="14.25" customHeight="1" thickBot="1">
      <c r="A92" s="1530" t="s">
        <v>1541</v>
      </c>
      <c r="B92" s="1524" t="s">
        <v>1374</v>
      </c>
      <c r="C92" s="1524">
        <v>12770</v>
      </c>
      <c r="D92" s="1524">
        <v>12740</v>
      </c>
      <c r="E92" s="1524">
        <v>11970</v>
      </c>
      <c r="F92" s="1542"/>
    </row>
    <row r="93" spans="1:6" s="1518" customFormat="1" ht="14.25" customHeight="1" thickBot="1">
      <c r="A93" s="1530" t="s">
        <v>1541</v>
      </c>
      <c r="B93" s="1524" t="s">
        <v>1384</v>
      </c>
      <c r="C93" s="1524">
        <v>12740</v>
      </c>
      <c r="D93" s="1524">
        <v>12700</v>
      </c>
      <c r="E93" s="1524">
        <v>12540</v>
      </c>
      <c r="F93" s="1542"/>
    </row>
    <row r="94" spans="1:6" s="1518" customFormat="1" ht="14.25" customHeight="1" thickBot="1">
      <c r="A94" s="1530" t="s">
        <v>1541</v>
      </c>
      <c r="B94" s="1524" t="s">
        <v>1394</v>
      </c>
      <c r="C94" s="1524">
        <v>12020</v>
      </c>
      <c r="D94" s="1524">
        <v>11990</v>
      </c>
      <c r="E94" s="1524">
        <v>13110</v>
      </c>
      <c r="F94" s="1542"/>
    </row>
    <row r="95" spans="1:6" s="1518" customFormat="1" ht="14.25" customHeight="1" thickBot="1">
      <c r="A95" s="1530" t="s">
        <v>1541</v>
      </c>
      <c r="B95" s="1524" t="s">
        <v>1403</v>
      </c>
      <c r="C95" s="1524">
        <v>12620</v>
      </c>
      <c r="D95" s="1524">
        <v>12580</v>
      </c>
      <c r="E95" s="1524">
        <v>13160</v>
      </c>
      <c r="F95" s="1538"/>
    </row>
    <row r="96" spans="1:6" s="1518" customFormat="1" ht="14.25" customHeight="1" thickBot="1">
      <c r="A96" s="1530" t="s">
        <v>1541</v>
      </c>
      <c r="B96" s="1524" t="s">
        <v>1412</v>
      </c>
      <c r="C96" s="1524">
        <v>13200</v>
      </c>
      <c r="D96" s="1524">
        <v>13150</v>
      </c>
      <c r="E96" s="1524">
        <v>12900</v>
      </c>
      <c r="F96" s="1538"/>
    </row>
    <row r="97" spans="1:6" s="1518" customFormat="1" ht="14.25" customHeight="1" thickBot="1">
      <c r="A97" s="1530" t="s">
        <v>1541</v>
      </c>
      <c r="B97" s="1524" t="s">
        <v>1420</v>
      </c>
      <c r="C97" s="1524">
        <v>13270</v>
      </c>
      <c r="D97" s="1524">
        <v>13210</v>
      </c>
      <c r="E97" s="1524">
        <v>11080</v>
      </c>
      <c r="F97" s="1538"/>
    </row>
    <row r="98" spans="1:6" s="1518" customFormat="1" ht="14.25" customHeight="1" thickBot="1">
      <c r="A98" s="1530" t="s">
        <v>1541</v>
      </c>
      <c r="B98" s="1524" t="s">
        <v>1427</v>
      </c>
      <c r="C98" s="1524">
        <v>13010</v>
      </c>
      <c r="D98" s="1524">
        <v>12930</v>
      </c>
      <c r="E98" s="1524">
        <v>12840</v>
      </c>
      <c r="F98" s="1538"/>
    </row>
    <row r="99" spans="1:6" s="1518" customFormat="1" ht="14.25" customHeight="1" thickBot="1">
      <c r="A99" s="1530" t="s">
        <v>1541</v>
      </c>
      <c r="B99" s="1524" t="s">
        <v>1434</v>
      </c>
      <c r="C99" s="1524">
        <v>11190</v>
      </c>
      <c r="D99" s="1524">
        <v>11130</v>
      </c>
      <c r="E99" s="1524"/>
      <c r="F99" s="1538"/>
    </row>
    <row r="100" spans="1:6" s="1518" customFormat="1" ht="14.25" customHeight="1" thickBot="1">
      <c r="A100" s="1530" t="s">
        <v>1541</v>
      </c>
      <c r="B100" s="1524" t="s">
        <v>1441</v>
      </c>
      <c r="C100" s="1524">
        <v>14280</v>
      </c>
      <c r="D100" s="1524">
        <v>14180</v>
      </c>
      <c r="E100" s="1524"/>
      <c r="F100" s="1538"/>
    </row>
    <row r="101" spans="1:6" s="1518" customFormat="1" ht="14.25" customHeight="1" thickBot="1">
      <c r="A101" s="1530" t="s">
        <v>1541</v>
      </c>
      <c r="B101" s="1524" t="s">
        <v>1448</v>
      </c>
      <c r="C101" s="1524">
        <v>12960</v>
      </c>
      <c r="D101" s="1524">
        <v>12890</v>
      </c>
      <c r="E101" s="1524"/>
      <c r="F101" s="1538"/>
    </row>
    <row r="102" spans="1:6" s="1518" customFormat="1" ht="14.25" customHeight="1" thickBot="1">
      <c r="A102" s="1530" t="s">
        <v>1541</v>
      </c>
      <c r="B102" s="1524" t="s">
        <v>1455</v>
      </c>
      <c r="C102" s="1524"/>
      <c r="D102" s="1524"/>
      <c r="E102" s="1524"/>
      <c r="F102" s="1538">
        <v>3100</v>
      </c>
    </row>
    <row r="103" spans="1:6" s="1518" customFormat="1" ht="14.25" customHeight="1" thickBot="1">
      <c r="A103" s="1530" t="s">
        <v>1541</v>
      </c>
      <c r="B103" s="1524" t="s">
        <v>1462</v>
      </c>
      <c r="C103" s="1524"/>
      <c r="D103" s="1524"/>
      <c r="E103" s="1524"/>
      <c r="F103" s="1538">
        <v>2320</v>
      </c>
    </row>
    <row r="104" spans="1:6" s="1518" customFormat="1" ht="14.25" customHeight="1" thickBot="1">
      <c r="A104" s="1530" t="s">
        <v>1541</v>
      </c>
      <c r="B104" s="1524" t="s">
        <v>1467</v>
      </c>
      <c r="C104" s="1524"/>
      <c r="D104" s="1524"/>
      <c r="E104" s="1524"/>
      <c r="F104" s="1538">
        <v>2320</v>
      </c>
    </row>
    <row r="105" spans="1:6" s="1518" customFormat="1" ht="14.25" customHeight="1" thickBot="1">
      <c r="A105" s="1530" t="s">
        <v>1541</v>
      </c>
      <c r="B105" s="1524" t="s">
        <v>1471</v>
      </c>
      <c r="C105" s="1524"/>
      <c r="D105" s="1524"/>
      <c r="E105" s="1524"/>
      <c r="F105" s="1538">
        <v>2320</v>
      </c>
    </row>
    <row r="106" spans="1:6" s="1518" customFormat="1" ht="14.25" customHeight="1" thickBot="1">
      <c r="A106" s="1530" t="s">
        <v>1541</v>
      </c>
      <c r="B106" s="1524" t="s">
        <v>1476</v>
      </c>
      <c r="C106" s="1524"/>
      <c r="D106" s="1524"/>
      <c r="E106" s="1524"/>
      <c r="F106" s="1538">
        <v>2320</v>
      </c>
    </row>
    <row r="107" spans="1:6" s="1518" customFormat="1" ht="14.25" customHeight="1" thickBot="1">
      <c r="A107" s="1530" t="s">
        <v>1541</v>
      </c>
      <c r="B107" s="1524" t="s">
        <v>1481</v>
      </c>
      <c r="C107" s="1524"/>
      <c r="D107" s="1524"/>
      <c r="E107" s="1524"/>
      <c r="F107" s="1538">
        <v>2280</v>
      </c>
    </row>
    <row r="108" spans="1:6" s="1518" customFormat="1" ht="14.25" customHeight="1" thickBot="1">
      <c r="A108" s="1530" t="s">
        <v>1541</v>
      </c>
      <c r="B108" s="1524" t="s">
        <v>1486</v>
      </c>
      <c r="C108" s="1524"/>
      <c r="D108" s="1524"/>
      <c r="E108" s="1524"/>
      <c r="F108" s="1538">
        <v>2280</v>
      </c>
    </row>
    <row r="109" spans="1:6" s="1518" customFormat="1" ht="14.25" customHeight="1" thickBot="1">
      <c r="A109" s="1530" t="s">
        <v>1541</v>
      </c>
      <c r="B109" s="1536" t="s">
        <v>1491</v>
      </c>
      <c r="C109" s="1536"/>
      <c r="D109" s="1536"/>
      <c r="E109" s="1536"/>
      <c r="F109" s="1541">
        <v>2280</v>
      </c>
    </row>
    <row r="110" spans="1:6" s="1518" customFormat="1" ht="14.25" customHeight="1" thickBot="1">
      <c r="A110" s="1530" t="s">
        <v>203</v>
      </c>
      <c r="B110" s="1531" t="s">
        <v>1543</v>
      </c>
      <c r="C110" s="1531">
        <v>10520</v>
      </c>
      <c r="D110" s="1531">
        <v>10490</v>
      </c>
      <c r="E110" s="1531">
        <v>10760</v>
      </c>
      <c r="F110" s="1532">
        <v>2160</v>
      </c>
    </row>
    <row r="111" spans="1:6" s="1518" customFormat="1" ht="14.25" customHeight="1" thickBot="1">
      <c r="A111" s="1530" t="s">
        <v>203</v>
      </c>
      <c r="B111" s="1524" t="s">
        <v>1210</v>
      </c>
      <c r="C111" s="1524">
        <v>10090</v>
      </c>
      <c r="D111" s="1524">
        <v>10060</v>
      </c>
      <c r="E111" s="1524">
        <v>10300</v>
      </c>
      <c r="F111" s="1538">
        <v>2010</v>
      </c>
    </row>
    <row r="112" spans="1:6" s="1518" customFormat="1" ht="14.25" customHeight="1" thickBot="1">
      <c r="A112" s="1530" t="s">
        <v>203</v>
      </c>
      <c r="B112" s="1524" t="s">
        <v>1223</v>
      </c>
      <c r="C112" s="1524">
        <v>9910</v>
      </c>
      <c r="D112" s="1524">
        <v>9850</v>
      </c>
      <c r="E112" s="1524">
        <v>9960</v>
      </c>
      <c r="F112" s="1538">
        <v>2090</v>
      </c>
    </row>
    <row r="113" spans="1:6" s="1518" customFormat="1" ht="14.25" customHeight="1" thickBot="1">
      <c r="A113" s="1530" t="s">
        <v>203</v>
      </c>
      <c r="B113" s="1524" t="s">
        <v>1236</v>
      </c>
      <c r="C113" s="1524">
        <v>11430</v>
      </c>
      <c r="D113" s="1524">
        <v>11400</v>
      </c>
      <c r="E113" s="1524">
        <v>11710</v>
      </c>
      <c r="F113" s="1538">
        <v>2050</v>
      </c>
    </row>
    <row r="114" spans="1:6" s="1518" customFormat="1" ht="14.25" customHeight="1" thickBot="1">
      <c r="A114" s="1530" t="s">
        <v>203</v>
      </c>
      <c r="B114" s="1524" t="s">
        <v>1248</v>
      </c>
      <c r="C114" s="1524">
        <v>11390</v>
      </c>
      <c r="D114" s="1524">
        <v>11350</v>
      </c>
      <c r="E114" s="1524">
        <v>11640</v>
      </c>
      <c r="F114" s="1538">
        <v>1620</v>
      </c>
    </row>
    <row r="115" spans="1:6" s="1518" customFormat="1" ht="14.25" customHeight="1" thickBot="1">
      <c r="A115" s="1530" t="s">
        <v>203</v>
      </c>
      <c r="B115" s="1524" t="s">
        <v>1259</v>
      </c>
      <c r="C115" s="1524">
        <v>9930</v>
      </c>
      <c r="D115" s="1524">
        <v>9900</v>
      </c>
      <c r="E115" s="1524">
        <v>10160</v>
      </c>
      <c r="F115" s="1538">
        <v>1580</v>
      </c>
    </row>
    <row r="116" spans="1:6" s="1518" customFormat="1" ht="14.25" customHeight="1" thickBot="1">
      <c r="A116" s="1530" t="s">
        <v>203</v>
      </c>
      <c r="B116" s="1524" t="s">
        <v>1270</v>
      </c>
      <c r="C116" s="1524">
        <v>9150</v>
      </c>
      <c r="D116" s="1524">
        <v>9120</v>
      </c>
      <c r="E116" s="1524">
        <v>9380</v>
      </c>
      <c r="F116" s="1538">
        <v>1750</v>
      </c>
    </row>
    <row r="117" spans="1:6" s="1518" customFormat="1" ht="14.25" customHeight="1" thickBot="1">
      <c r="A117" s="1530" t="s">
        <v>203</v>
      </c>
      <c r="B117" s="1524" t="s">
        <v>1281</v>
      </c>
      <c r="C117" s="1524">
        <v>10680</v>
      </c>
      <c r="D117" s="1524">
        <v>10650</v>
      </c>
      <c r="E117" s="1524">
        <v>10970</v>
      </c>
      <c r="F117" s="1538">
        <v>1730</v>
      </c>
    </row>
    <row r="118" spans="1:6" s="1518" customFormat="1" ht="14.25" customHeight="1" thickBot="1">
      <c r="A118" s="1530" t="s">
        <v>203</v>
      </c>
      <c r="B118" s="1524" t="s">
        <v>1293</v>
      </c>
      <c r="C118" s="1524">
        <v>10080</v>
      </c>
      <c r="D118" s="1524">
        <v>10050</v>
      </c>
      <c r="E118" s="1524">
        <v>10350</v>
      </c>
      <c r="F118" s="1538">
        <v>1920</v>
      </c>
    </row>
    <row r="119" spans="1:6" s="1518" customFormat="1" ht="14.25" customHeight="1" thickBot="1">
      <c r="A119" s="1530" t="s">
        <v>203</v>
      </c>
      <c r="B119" s="1524" t="s">
        <v>1303</v>
      </c>
      <c r="C119" s="1524">
        <v>9450</v>
      </c>
      <c r="D119" s="1524">
        <v>9410</v>
      </c>
      <c r="E119" s="1524">
        <v>9680</v>
      </c>
      <c r="F119" s="1538">
        <v>1880</v>
      </c>
    </row>
    <row r="120" spans="1:6" s="1518" customFormat="1" ht="14.25" customHeight="1" thickBot="1">
      <c r="A120" s="1530" t="s">
        <v>203</v>
      </c>
      <c r="B120" s="1524" t="s">
        <v>1313</v>
      </c>
      <c r="C120" s="1524">
        <v>8730</v>
      </c>
      <c r="D120" s="1524">
        <v>8700</v>
      </c>
      <c r="E120" s="1524">
        <v>8950</v>
      </c>
      <c r="F120" s="1538">
        <v>1830</v>
      </c>
    </row>
    <row r="121" spans="1:6" s="1518" customFormat="1" ht="14.25" customHeight="1" thickBot="1">
      <c r="A121" s="1530" t="s">
        <v>203</v>
      </c>
      <c r="B121" s="1524" t="s">
        <v>1323</v>
      </c>
      <c r="C121" s="1524">
        <v>10070</v>
      </c>
      <c r="D121" s="1524">
        <v>10040</v>
      </c>
      <c r="E121" s="1524">
        <v>10270</v>
      </c>
      <c r="F121" s="1538">
        <v>1960</v>
      </c>
    </row>
    <row r="122" spans="1:6" s="1518" customFormat="1" ht="14.25" customHeight="1" thickBot="1">
      <c r="A122" s="1530" t="s">
        <v>203</v>
      </c>
      <c r="B122" s="1524" t="s">
        <v>1333</v>
      </c>
      <c r="C122" s="1524">
        <v>10500</v>
      </c>
      <c r="D122" s="1524">
        <v>10470</v>
      </c>
      <c r="E122" s="1524">
        <v>10780</v>
      </c>
      <c r="F122" s="1538">
        <v>2180</v>
      </c>
    </row>
    <row r="123" spans="1:6" s="1518" customFormat="1" ht="14.25" customHeight="1" thickBot="1">
      <c r="A123" s="1530" t="s">
        <v>203</v>
      </c>
      <c r="B123" s="1524" t="s">
        <v>1344</v>
      </c>
      <c r="C123" s="1524">
        <v>10390</v>
      </c>
      <c r="D123" s="1524">
        <v>10360</v>
      </c>
      <c r="E123" s="1524">
        <v>10660</v>
      </c>
      <c r="F123" s="1538">
        <v>2040</v>
      </c>
    </row>
    <row r="124" spans="1:6" s="1518" customFormat="1" ht="14.25" customHeight="1" thickBot="1">
      <c r="A124" s="1530" t="s">
        <v>203</v>
      </c>
      <c r="B124" s="1524" t="s">
        <v>1355</v>
      </c>
      <c r="C124" s="1524">
        <v>10390</v>
      </c>
      <c r="D124" s="1524">
        <v>10360</v>
      </c>
      <c r="E124" s="1524">
        <v>10680</v>
      </c>
      <c r="F124" s="1542"/>
    </row>
    <row r="125" spans="1:6" s="1518" customFormat="1" ht="14.25" customHeight="1" thickBot="1">
      <c r="A125" s="1530" t="s">
        <v>203</v>
      </c>
      <c r="B125" s="1524" t="s">
        <v>1365</v>
      </c>
      <c r="C125" s="1524">
        <v>10440</v>
      </c>
      <c r="D125" s="1524">
        <v>10410</v>
      </c>
      <c r="E125" s="1524">
        <v>10710</v>
      </c>
      <c r="F125" s="1542"/>
    </row>
    <row r="126" spans="1:6" s="1518" customFormat="1" ht="14.25" customHeight="1" thickBot="1">
      <c r="A126" s="1530" t="s">
        <v>203</v>
      </c>
      <c r="B126" s="1524" t="s">
        <v>1375</v>
      </c>
      <c r="C126" s="1524">
        <v>10780</v>
      </c>
      <c r="D126" s="1524">
        <v>10750</v>
      </c>
      <c r="E126" s="1524">
        <v>11080</v>
      </c>
      <c r="F126" s="1542"/>
    </row>
    <row r="127" spans="1:6" s="1518" customFormat="1" ht="14.25" customHeight="1" thickBot="1">
      <c r="A127" s="1530" t="s">
        <v>203</v>
      </c>
      <c r="B127" s="1524" t="s">
        <v>1385</v>
      </c>
      <c r="C127" s="1524">
        <v>10100</v>
      </c>
      <c r="D127" s="1524">
        <v>10070</v>
      </c>
      <c r="E127" s="1524">
        <v>10350</v>
      </c>
      <c r="F127" s="1542"/>
    </row>
    <row r="128" spans="1:6" s="1518" customFormat="1" ht="14.25" customHeight="1" thickBot="1">
      <c r="A128" s="1530" t="s">
        <v>203</v>
      </c>
      <c r="B128" s="1524" t="s">
        <v>1395</v>
      </c>
      <c r="C128" s="1524">
        <v>9200</v>
      </c>
      <c r="D128" s="1524">
        <v>9160</v>
      </c>
      <c r="E128" s="1524">
        <v>9660</v>
      </c>
      <c r="F128" s="1542"/>
    </row>
    <row r="129" spans="1:6" s="1518" customFormat="1" ht="14.25" customHeight="1" thickBot="1">
      <c r="A129" s="1530" t="s">
        <v>203</v>
      </c>
      <c r="B129" s="1524" t="s">
        <v>1404</v>
      </c>
      <c r="C129" s="1524">
        <v>10340</v>
      </c>
      <c r="D129" s="1524">
        <v>10310</v>
      </c>
      <c r="E129" s="1524">
        <v>10580</v>
      </c>
      <c r="F129" s="1542"/>
    </row>
    <row r="130" spans="1:6" s="1518" customFormat="1" ht="14.25" customHeight="1" thickBot="1">
      <c r="A130" s="1530" t="s">
        <v>203</v>
      </c>
      <c r="B130" s="1524" t="s">
        <v>1413</v>
      </c>
      <c r="C130" s="1524">
        <v>9680</v>
      </c>
      <c r="D130" s="1524">
        <v>9660</v>
      </c>
      <c r="E130" s="1524">
        <v>9950</v>
      </c>
      <c r="F130" s="1542"/>
    </row>
    <row r="131" spans="1:6" s="1518" customFormat="1" ht="14.25" customHeight="1" thickBot="1">
      <c r="A131" s="1530" t="s">
        <v>203</v>
      </c>
      <c r="B131" s="1524" t="s">
        <v>1421</v>
      </c>
      <c r="C131" s="1524">
        <v>9540</v>
      </c>
      <c r="D131" s="1524">
        <v>9510</v>
      </c>
      <c r="E131" s="1524">
        <v>9790</v>
      </c>
      <c r="F131" s="1542"/>
    </row>
    <row r="132" spans="1:6" s="1518" customFormat="1" ht="14.25" customHeight="1" thickBot="1">
      <c r="A132" s="1530" t="s">
        <v>203</v>
      </c>
      <c r="B132" s="1524" t="s">
        <v>1428</v>
      </c>
      <c r="C132" s="1524">
        <v>9320</v>
      </c>
      <c r="D132" s="1524">
        <v>9290</v>
      </c>
      <c r="E132" s="1524">
        <v>9570</v>
      </c>
      <c r="F132" s="1542"/>
    </row>
    <row r="133" spans="1:6" s="1518" customFormat="1" ht="14.25" customHeight="1" thickBot="1">
      <c r="A133" s="1530" t="s">
        <v>203</v>
      </c>
      <c r="B133" s="1524" t="s">
        <v>1435</v>
      </c>
      <c r="C133" s="1524">
        <v>10310</v>
      </c>
      <c r="D133" s="1524">
        <v>10280</v>
      </c>
      <c r="E133" s="1524">
        <v>10530</v>
      </c>
      <c r="F133" s="1542"/>
    </row>
    <row r="134" spans="1:6" s="1518" customFormat="1" ht="14.25" customHeight="1" thickBot="1">
      <c r="A134" s="1530" t="s">
        <v>203</v>
      </c>
      <c r="B134" s="1524" t="s">
        <v>1442</v>
      </c>
      <c r="C134" s="1524">
        <v>10370</v>
      </c>
      <c r="D134" s="1524">
        <v>10310</v>
      </c>
      <c r="E134" s="1524">
        <v>10240</v>
      </c>
      <c r="F134" s="1538">
        <v>2060</v>
      </c>
    </row>
    <row r="135" spans="1:6" s="1518" customFormat="1" ht="14.25" customHeight="1" thickBot="1">
      <c r="A135" s="1530" t="s">
        <v>203</v>
      </c>
      <c r="B135" s="1524" t="s">
        <v>1449</v>
      </c>
      <c r="C135" s="1524">
        <v>9300</v>
      </c>
      <c r="D135" s="1524">
        <v>9270</v>
      </c>
      <c r="E135" s="1524">
        <v>9350</v>
      </c>
      <c r="F135" s="1542"/>
    </row>
    <row r="136" spans="1:6" s="1518" customFormat="1" ht="14.25" customHeight="1" thickBot="1">
      <c r="A136" s="1530" t="s">
        <v>203</v>
      </c>
      <c r="B136" s="1524" t="s">
        <v>1456</v>
      </c>
      <c r="C136" s="1524">
        <v>10160</v>
      </c>
      <c r="D136" s="1524">
        <v>10110</v>
      </c>
      <c r="E136" s="1524">
        <v>10080</v>
      </c>
      <c r="F136" s="1542"/>
    </row>
    <row r="137" spans="1:6" s="1518" customFormat="1" ht="14.25" customHeight="1" thickBot="1">
      <c r="A137" s="1530" t="s">
        <v>203</v>
      </c>
      <c r="B137" s="1524" t="s">
        <v>1463</v>
      </c>
      <c r="C137" s="1524">
        <v>9200</v>
      </c>
      <c r="D137" s="1524">
        <v>9170</v>
      </c>
      <c r="E137" s="1524">
        <v>9450</v>
      </c>
      <c r="F137" s="1542"/>
    </row>
    <row r="138" spans="1:6" s="1518" customFormat="1" ht="14.25" customHeight="1" thickBot="1">
      <c r="A138" s="1530" t="s">
        <v>203</v>
      </c>
      <c r="B138" s="1524" t="s">
        <v>1468</v>
      </c>
      <c r="C138" s="1524">
        <v>9690</v>
      </c>
      <c r="D138" s="1524">
        <v>9660</v>
      </c>
      <c r="E138" s="1524">
        <v>9840</v>
      </c>
      <c r="F138" s="1542"/>
    </row>
    <row r="139" spans="1:6" s="1518" customFormat="1" ht="14.25" customHeight="1" thickBot="1">
      <c r="A139" s="1530" t="s">
        <v>203</v>
      </c>
      <c r="B139" s="1524" t="s">
        <v>1472</v>
      </c>
      <c r="C139" s="1524">
        <v>10290</v>
      </c>
      <c r="D139" s="1524">
        <v>10260</v>
      </c>
      <c r="E139" s="1524">
        <v>10550</v>
      </c>
      <c r="F139" s="1538">
        <v>1700</v>
      </c>
    </row>
    <row r="140" spans="1:6" s="1518" customFormat="1" ht="14.25" customHeight="1" thickBot="1">
      <c r="A140" s="1530" t="s">
        <v>203</v>
      </c>
      <c r="B140" s="1524" t="s">
        <v>1477</v>
      </c>
      <c r="C140" s="1524">
        <v>9740</v>
      </c>
      <c r="D140" s="1524">
        <v>9710</v>
      </c>
      <c r="E140" s="1524">
        <v>10000</v>
      </c>
      <c r="F140" s="1538">
        <v>2000</v>
      </c>
    </row>
    <row r="141" spans="1:6" s="1518" customFormat="1" ht="14.25" customHeight="1" thickBot="1">
      <c r="A141" s="1530" t="s">
        <v>203</v>
      </c>
      <c r="B141" s="1524" t="s">
        <v>1482</v>
      </c>
      <c r="C141" s="1524">
        <v>9810</v>
      </c>
      <c r="D141" s="1524">
        <v>9770</v>
      </c>
      <c r="E141" s="1524">
        <v>10060</v>
      </c>
      <c r="F141" s="1542"/>
    </row>
    <row r="142" spans="1:6" s="1518" customFormat="1" ht="14.25" customHeight="1" thickBot="1">
      <c r="A142" s="1530" t="s">
        <v>203</v>
      </c>
      <c r="B142" s="1524" t="s">
        <v>1487</v>
      </c>
      <c r="C142" s="1524">
        <v>9300</v>
      </c>
      <c r="D142" s="1524">
        <v>9270</v>
      </c>
      <c r="E142" s="1524">
        <v>9530</v>
      </c>
      <c r="F142" s="1542"/>
    </row>
    <row r="143" spans="1:6" s="1518" customFormat="1" ht="14.25" customHeight="1" thickBot="1">
      <c r="A143" s="1530" t="s">
        <v>203</v>
      </c>
      <c r="B143" s="1524" t="s">
        <v>1492</v>
      </c>
      <c r="C143" s="1524">
        <v>10080</v>
      </c>
      <c r="D143" s="1524">
        <v>10050</v>
      </c>
      <c r="E143" s="1524">
        <v>10340</v>
      </c>
      <c r="F143" s="1542"/>
    </row>
    <row r="144" spans="1:6" s="1518" customFormat="1" ht="14.25" customHeight="1" thickBot="1">
      <c r="A144" s="1530" t="s">
        <v>203</v>
      </c>
      <c r="B144" s="1524" t="s">
        <v>1496</v>
      </c>
      <c r="C144" s="1524">
        <v>9820</v>
      </c>
      <c r="D144" s="1524">
        <v>9750</v>
      </c>
      <c r="E144" s="1524">
        <v>9900</v>
      </c>
      <c r="F144" s="1542"/>
    </row>
    <row r="145" spans="1:6" s="1518" customFormat="1" ht="14.25" customHeight="1" thickBot="1">
      <c r="A145" s="1530" t="s">
        <v>203</v>
      </c>
      <c r="B145" s="1524" t="s">
        <v>1500</v>
      </c>
      <c r="C145" s="1524"/>
      <c r="D145" s="1524"/>
      <c r="E145" s="1524"/>
      <c r="F145" s="1538">
        <v>1740</v>
      </c>
    </row>
    <row r="146" spans="1:6" s="1518" customFormat="1" ht="14.25" customHeight="1" thickBot="1">
      <c r="A146" s="1530" t="s">
        <v>203</v>
      </c>
      <c r="B146" s="1524" t="s">
        <v>1504</v>
      </c>
      <c r="C146" s="1524"/>
      <c r="D146" s="1524"/>
      <c r="E146" s="1524"/>
      <c r="F146" s="1538">
        <v>1740</v>
      </c>
    </row>
    <row r="147" spans="1:6" s="1518" customFormat="1" ht="14.25" customHeight="1" thickBot="1">
      <c r="A147" s="1530" t="s">
        <v>203</v>
      </c>
      <c r="B147" s="1524" t="s">
        <v>1508</v>
      </c>
      <c r="C147" s="1524"/>
      <c r="D147" s="1524"/>
      <c r="E147" s="1524"/>
      <c r="F147" s="1538">
        <v>1740</v>
      </c>
    </row>
    <row r="148" spans="1:6" s="1518" customFormat="1" ht="14.25" customHeight="1" thickBot="1">
      <c r="A148" s="1530" t="s">
        <v>203</v>
      </c>
      <c r="B148" s="1524" t="s">
        <v>1512</v>
      </c>
      <c r="C148" s="1524"/>
      <c r="D148" s="1524"/>
      <c r="E148" s="1524"/>
      <c r="F148" s="1538">
        <v>1740</v>
      </c>
    </row>
    <row r="149" spans="1:6" s="1518" customFormat="1" ht="14.25" customHeight="1" thickBot="1">
      <c r="A149" s="1530" t="s">
        <v>203</v>
      </c>
      <c r="B149" s="1524" t="s">
        <v>1516</v>
      </c>
      <c r="C149" s="1524"/>
      <c r="D149" s="1524"/>
      <c r="E149" s="1524"/>
      <c r="F149" s="1538">
        <v>1740</v>
      </c>
    </row>
    <row r="150" spans="1:6" s="1518" customFormat="1" ht="14.25" customHeight="1" thickBot="1">
      <c r="A150" s="1530" t="s">
        <v>203</v>
      </c>
      <c r="B150" s="1524" t="s">
        <v>1519</v>
      </c>
      <c r="C150" s="1524"/>
      <c r="D150" s="1524"/>
      <c r="E150" s="1524"/>
      <c r="F150" s="1538">
        <v>1610</v>
      </c>
    </row>
    <row r="151" spans="1:6" s="1518" customFormat="1" ht="14.25" customHeight="1" thickBot="1">
      <c r="A151" s="1530" t="s">
        <v>203</v>
      </c>
      <c r="B151" s="1524" t="s">
        <v>1522</v>
      </c>
      <c r="C151" s="1524"/>
      <c r="D151" s="1524"/>
      <c r="E151" s="1524"/>
      <c r="F151" s="1538">
        <v>1610</v>
      </c>
    </row>
    <row r="152" spans="1:6" s="1518" customFormat="1" ht="14.25" customHeight="1" thickBot="1">
      <c r="A152" s="1530" t="s">
        <v>203</v>
      </c>
      <c r="B152" s="1524" t="s">
        <v>1525</v>
      </c>
      <c r="C152" s="1524"/>
      <c r="D152" s="1524"/>
      <c r="E152" s="1524"/>
      <c r="F152" s="1538">
        <v>1610</v>
      </c>
    </row>
    <row r="153" spans="1:6" s="1518" customFormat="1" ht="14.25" customHeight="1" thickBot="1">
      <c r="A153" s="1530" t="s">
        <v>203</v>
      </c>
      <c r="B153" s="1524" t="s">
        <v>1528</v>
      </c>
      <c r="C153" s="1524"/>
      <c r="D153" s="1524"/>
      <c r="E153" s="1524"/>
      <c r="F153" s="1538">
        <v>1610</v>
      </c>
    </row>
    <row r="154" spans="1:6" s="1518" customFormat="1" ht="14.25" customHeight="1" thickBot="1">
      <c r="A154" s="1530" t="s">
        <v>203</v>
      </c>
      <c r="B154" s="1524" t="s">
        <v>1531</v>
      </c>
      <c r="C154" s="1524"/>
      <c r="D154" s="1524"/>
      <c r="E154" s="1524"/>
      <c r="F154" s="1538">
        <v>1610</v>
      </c>
    </row>
    <row r="155" spans="1:6" s="1518" customFormat="1" ht="14.25" customHeight="1" thickBot="1">
      <c r="A155" s="1530" t="s">
        <v>203</v>
      </c>
      <c r="B155" s="1524" t="s">
        <v>1534</v>
      </c>
      <c r="C155" s="1524"/>
      <c r="D155" s="1524"/>
      <c r="E155" s="1524"/>
      <c r="F155" s="1538">
        <v>1800</v>
      </c>
    </row>
    <row r="156" spans="1:6" s="1518" customFormat="1" ht="14.25" customHeight="1" thickBot="1">
      <c r="A156" s="1530" t="s">
        <v>203</v>
      </c>
      <c r="B156" s="1524" t="s">
        <v>1536</v>
      </c>
      <c r="C156" s="1524"/>
      <c r="D156" s="1524"/>
      <c r="E156" s="1524"/>
      <c r="F156" s="1538">
        <v>1910</v>
      </c>
    </row>
    <row r="157" spans="1:6" s="1518" customFormat="1" ht="14.25" customHeight="1" thickBot="1">
      <c r="A157" s="1530" t="s">
        <v>203</v>
      </c>
      <c r="B157" s="1536" t="s">
        <v>1539</v>
      </c>
      <c r="C157" s="1536"/>
      <c r="D157" s="1536"/>
      <c r="E157" s="1536"/>
      <c r="F157" s="1541">
        <v>1500</v>
      </c>
    </row>
    <row r="158" spans="1:6" s="1518" customFormat="1" ht="14.25" customHeight="1" thickBot="1">
      <c r="A158" s="1530" t="s">
        <v>1544</v>
      </c>
      <c r="B158" s="1531" t="s">
        <v>1545</v>
      </c>
      <c r="C158" s="1531">
        <v>8170</v>
      </c>
      <c r="D158" s="1531">
        <v>8140</v>
      </c>
      <c r="E158" s="1531">
        <v>8590</v>
      </c>
      <c r="F158" s="1532">
        <v>1450</v>
      </c>
    </row>
    <row r="159" spans="1:6" s="1518" customFormat="1" ht="14.25" customHeight="1" thickBot="1">
      <c r="A159" s="1530" t="s">
        <v>1544</v>
      </c>
      <c r="B159" s="1524" t="s">
        <v>1211</v>
      </c>
      <c r="C159" s="1524">
        <v>7410</v>
      </c>
      <c r="D159" s="1524">
        <v>7370</v>
      </c>
      <c r="E159" s="1524">
        <v>8030</v>
      </c>
      <c r="F159" s="1538">
        <v>1510</v>
      </c>
    </row>
    <row r="160" spans="1:6" s="1518" customFormat="1" ht="14.25" customHeight="1" thickBot="1">
      <c r="A160" s="1530" t="s">
        <v>1544</v>
      </c>
      <c r="B160" s="1524" t="s">
        <v>1224</v>
      </c>
      <c r="C160" s="1524">
        <v>7240</v>
      </c>
      <c r="D160" s="1524">
        <v>7210</v>
      </c>
      <c r="E160" s="1524">
        <v>7860</v>
      </c>
      <c r="F160" s="1538">
        <v>1370</v>
      </c>
    </row>
    <row r="161" spans="1:6" s="1518" customFormat="1" ht="14.25" customHeight="1" thickBot="1">
      <c r="A161" s="1530" t="s">
        <v>1544</v>
      </c>
      <c r="B161" s="1524" t="s">
        <v>1237</v>
      </c>
      <c r="C161" s="1524">
        <v>7720</v>
      </c>
      <c r="D161" s="1524">
        <v>7690</v>
      </c>
      <c r="E161" s="1524">
        <v>8200</v>
      </c>
      <c r="F161" s="1538">
        <v>1190</v>
      </c>
    </row>
    <row r="162" spans="1:6" s="1518" customFormat="1" ht="14.25" customHeight="1" thickBot="1">
      <c r="A162" s="1530" t="s">
        <v>1544</v>
      </c>
      <c r="B162" s="1524" t="s">
        <v>1249</v>
      </c>
      <c r="C162" s="1524">
        <v>6900</v>
      </c>
      <c r="D162" s="1524">
        <v>6870</v>
      </c>
      <c r="E162" s="1524">
        <v>7500</v>
      </c>
      <c r="F162" s="1538">
        <v>1390</v>
      </c>
    </row>
    <row r="163" spans="1:6" s="1518" customFormat="1" ht="14.25" customHeight="1" thickBot="1">
      <c r="A163" s="1530" t="s">
        <v>1544</v>
      </c>
      <c r="B163" s="1524" t="s">
        <v>1260</v>
      </c>
      <c r="C163" s="1524">
        <v>7120</v>
      </c>
      <c r="D163" s="1524">
        <v>7090</v>
      </c>
      <c r="E163" s="1524">
        <v>7690</v>
      </c>
      <c r="F163" s="1538">
        <v>1230</v>
      </c>
    </row>
    <row r="164" spans="1:6" s="1518" customFormat="1" ht="14.25" customHeight="1" thickBot="1">
      <c r="A164" s="1530" t="s">
        <v>1544</v>
      </c>
      <c r="B164" s="1524" t="s">
        <v>1271</v>
      </c>
      <c r="C164" s="1524">
        <v>6560</v>
      </c>
      <c r="D164" s="1524">
        <v>6530</v>
      </c>
      <c r="E164" s="1524">
        <v>7110</v>
      </c>
      <c r="F164" s="1538">
        <v>1340</v>
      </c>
    </row>
    <row r="165" spans="1:6" s="1518" customFormat="1" ht="14.25" customHeight="1" thickBot="1">
      <c r="A165" s="1530" t="s">
        <v>1544</v>
      </c>
      <c r="B165" s="1524" t="s">
        <v>1282</v>
      </c>
      <c r="C165" s="1524">
        <v>7450</v>
      </c>
      <c r="D165" s="1524">
        <v>7430</v>
      </c>
      <c r="E165" s="1524">
        <v>8110</v>
      </c>
      <c r="F165" s="1538">
        <v>1290</v>
      </c>
    </row>
    <row r="166" spans="1:6" s="1518" customFormat="1" ht="14.25" customHeight="1" thickBot="1">
      <c r="A166" s="1530" t="s">
        <v>1544</v>
      </c>
      <c r="B166" s="1524" t="s">
        <v>1294</v>
      </c>
      <c r="C166" s="1524">
        <v>7490</v>
      </c>
      <c r="D166" s="1524">
        <v>7460</v>
      </c>
      <c r="E166" s="1524">
        <v>8150</v>
      </c>
      <c r="F166" s="1538">
        <v>1350</v>
      </c>
    </row>
    <row r="167" spans="1:6" s="1518" customFormat="1" ht="14.25" customHeight="1" thickBot="1">
      <c r="A167" s="1530" t="s">
        <v>1544</v>
      </c>
      <c r="B167" s="1524" t="s">
        <v>1304</v>
      </c>
      <c r="C167" s="1524">
        <v>7540</v>
      </c>
      <c r="D167" s="1524">
        <v>7510</v>
      </c>
      <c r="E167" s="1524">
        <v>8030</v>
      </c>
      <c r="F167" s="1542"/>
    </row>
    <row r="168" spans="1:6" s="1518" customFormat="1" ht="14.25" customHeight="1" thickBot="1">
      <c r="A168" s="1530" t="s">
        <v>1544</v>
      </c>
      <c r="B168" s="1524" t="s">
        <v>1314</v>
      </c>
      <c r="C168" s="1524">
        <v>7210</v>
      </c>
      <c r="D168" s="1524">
        <v>7180</v>
      </c>
      <c r="E168" s="1524">
        <v>7830</v>
      </c>
      <c r="F168" s="1542"/>
    </row>
    <row r="169" spans="1:6" s="1518" customFormat="1" ht="14.25" customHeight="1" thickBot="1">
      <c r="A169" s="1530" t="s">
        <v>1544</v>
      </c>
      <c r="B169" s="1524" t="s">
        <v>1324</v>
      </c>
      <c r="C169" s="1524">
        <v>7040</v>
      </c>
      <c r="D169" s="1524">
        <v>7020</v>
      </c>
      <c r="E169" s="1524">
        <v>7670</v>
      </c>
      <c r="F169" s="1542"/>
    </row>
    <row r="170" spans="1:6" s="1518" customFormat="1" ht="14.25" customHeight="1" thickBot="1">
      <c r="A170" s="1530" t="s">
        <v>1544</v>
      </c>
      <c r="B170" s="1524" t="s">
        <v>1334</v>
      </c>
      <c r="C170" s="1524">
        <v>8040</v>
      </c>
      <c r="D170" s="1524">
        <v>7190</v>
      </c>
      <c r="E170" s="1524">
        <v>7850</v>
      </c>
      <c r="F170" s="1542"/>
    </row>
    <row r="171" spans="1:6" s="1518" customFormat="1" ht="14.25" customHeight="1" thickBot="1">
      <c r="A171" s="1530" t="s">
        <v>1544</v>
      </c>
      <c r="B171" s="1524" t="s">
        <v>1345</v>
      </c>
      <c r="C171" s="1524">
        <v>7860</v>
      </c>
      <c r="D171" s="1524">
        <v>7720</v>
      </c>
      <c r="E171" s="1524">
        <v>8150</v>
      </c>
      <c r="F171" s="1538">
        <v>1110</v>
      </c>
    </row>
    <row r="172" spans="1:6" s="1518" customFormat="1" ht="14.25" customHeight="1" thickBot="1">
      <c r="A172" s="1530" t="s">
        <v>1544</v>
      </c>
      <c r="B172" s="1524" t="s">
        <v>1356</v>
      </c>
      <c r="C172" s="1524">
        <v>7210</v>
      </c>
      <c r="D172" s="1524">
        <v>7170</v>
      </c>
      <c r="E172" s="1524">
        <v>7320</v>
      </c>
      <c r="F172" s="1542"/>
    </row>
    <row r="173" spans="1:6" s="1518" customFormat="1" ht="14.25" customHeight="1" thickBot="1">
      <c r="A173" s="1530" t="s">
        <v>1544</v>
      </c>
      <c r="B173" s="1524" t="s">
        <v>1366</v>
      </c>
      <c r="C173" s="1524">
        <v>6860</v>
      </c>
      <c r="D173" s="1524">
        <v>6810</v>
      </c>
      <c r="E173" s="1524">
        <v>7440</v>
      </c>
      <c r="F173" s="1542"/>
    </row>
    <row r="174" spans="1:6" s="1518" customFormat="1" ht="14.25" customHeight="1" thickBot="1">
      <c r="A174" s="1530" t="s">
        <v>1544</v>
      </c>
      <c r="B174" s="1524" t="s">
        <v>1376</v>
      </c>
      <c r="C174" s="1524">
        <v>7120</v>
      </c>
      <c r="D174" s="1524">
        <v>7090</v>
      </c>
      <c r="E174" s="1524">
        <v>7500</v>
      </c>
      <c r="F174" s="1538">
        <v>1490</v>
      </c>
    </row>
    <row r="175" spans="1:6" s="1518" customFormat="1" ht="14.25" customHeight="1" thickBot="1">
      <c r="A175" s="1530" t="s">
        <v>1544</v>
      </c>
      <c r="B175" s="1524" t="s">
        <v>1386</v>
      </c>
      <c r="C175" s="1524">
        <v>7850</v>
      </c>
      <c r="D175" s="1524">
        <v>7820</v>
      </c>
      <c r="E175" s="1524">
        <v>8120</v>
      </c>
      <c r="F175" s="1538">
        <v>1530</v>
      </c>
    </row>
    <row r="176" spans="1:6" s="1518" customFormat="1" ht="14.25" customHeight="1" thickBot="1">
      <c r="A176" s="1530" t="s">
        <v>1544</v>
      </c>
      <c r="B176" s="1524" t="s">
        <v>1396</v>
      </c>
      <c r="C176" s="1524">
        <v>7620</v>
      </c>
      <c r="D176" s="1524">
        <v>7570</v>
      </c>
      <c r="E176" s="1524">
        <v>7990</v>
      </c>
      <c r="F176" s="1538">
        <v>1480</v>
      </c>
    </row>
    <row r="177" spans="1:6" s="1518" customFormat="1" ht="14.25" customHeight="1" thickBot="1">
      <c r="A177" s="1530" t="s">
        <v>1544</v>
      </c>
      <c r="B177" s="1524" t="s">
        <v>1405</v>
      </c>
      <c r="C177" s="1524">
        <v>8590</v>
      </c>
      <c r="D177" s="1524">
        <v>8570</v>
      </c>
      <c r="E177" s="1524">
        <v>8740</v>
      </c>
      <c r="F177" s="1538">
        <v>1540</v>
      </c>
    </row>
    <row r="178" spans="1:6" s="1518" customFormat="1" ht="14.25" customHeight="1" thickBot="1">
      <c r="A178" s="1530" t="s">
        <v>1544</v>
      </c>
      <c r="B178" s="1524" t="s">
        <v>1414</v>
      </c>
      <c r="C178" s="1524">
        <v>7510</v>
      </c>
      <c r="D178" s="1524">
        <v>7470</v>
      </c>
      <c r="E178" s="1524">
        <v>8090</v>
      </c>
      <c r="F178" s="1538">
        <v>1320</v>
      </c>
    </row>
    <row r="179" spans="1:6" s="1518" customFormat="1" ht="14.25" customHeight="1" thickBot="1">
      <c r="A179" s="1530" t="s">
        <v>1544</v>
      </c>
      <c r="B179" s="1524" t="s">
        <v>1422</v>
      </c>
      <c r="C179" s="1524">
        <v>6380</v>
      </c>
      <c r="D179" s="1524">
        <v>6340</v>
      </c>
      <c r="E179" s="1524">
        <v>6810</v>
      </c>
      <c r="F179" s="1542"/>
    </row>
    <row r="180" spans="1:6" s="1518" customFormat="1" ht="14.25" customHeight="1" thickBot="1">
      <c r="A180" s="1530" t="s">
        <v>1544</v>
      </c>
      <c r="B180" s="1524" t="s">
        <v>1429</v>
      </c>
      <c r="C180" s="1524">
        <v>7830</v>
      </c>
      <c r="D180" s="1524">
        <v>7800</v>
      </c>
      <c r="E180" s="1524">
        <v>7780</v>
      </c>
      <c r="F180" s="1538">
        <v>1440</v>
      </c>
    </row>
    <row r="181" spans="1:6" s="1518" customFormat="1" ht="14.25" customHeight="1" thickBot="1">
      <c r="A181" s="1530" t="s">
        <v>1544</v>
      </c>
      <c r="B181" s="1524" t="s">
        <v>1436</v>
      </c>
      <c r="C181" s="1524">
        <v>7110</v>
      </c>
      <c r="D181" s="1524">
        <v>7080</v>
      </c>
      <c r="E181" s="1524">
        <v>7730</v>
      </c>
      <c r="F181" s="1538">
        <v>1350</v>
      </c>
    </row>
    <row r="182" spans="1:6" s="1518" customFormat="1" ht="14.25" customHeight="1" thickBot="1">
      <c r="A182" s="1530" t="s">
        <v>1544</v>
      </c>
      <c r="B182" s="1524" t="s">
        <v>1443</v>
      </c>
      <c r="C182" s="1524">
        <v>7310</v>
      </c>
      <c r="D182" s="1524">
        <v>7280</v>
      </c>
      <c r="E182" s="1524">
        <v>7950</v>
      </c>
      <c r="F182" s="1538">
        <v>1220</v>
      </c>
    </row>
    <row r="183" spans="1:6" s="1518" customFormat="1" ht="14.25" customHeight="1" thickBot="1">
      <c r="A183" s="1530" t="s">
        <v>1544</v>
      </c>
      <c r="B183" s="1524" t="s">
        <v>1450</v>
      </c>
      <c r="C183" s="1524">
        <v>7470</v>
      </c>
      <c r="D183" s="1524">
        <v>7440</v>
      </c>
      <c r="E183" s="1524">
        <v>7880</v>
      </c>
      <c r="F183" s="1542"/>
    </row>
    <row r="184" spans="1:6" s="1518" customFormat="1" ht="14.25" customHeight="1" thickBot="1">
      <c r="A184" s="1530" t="s">
        <v>1544</v>
      </c>
      <c r="B184" s="1524" t="s">
        <v>1457</v>
      </c>
      <c r="C184" s="1524">
        <v>6960</v>
      </c>
      <c r="D184" s="1524">
        <v>6930</v>
      </c>
      <c r="E184" s="1524">
        <v>7570</v>
      </c>
      <c r="F184" s="1542"/>
    </row>
    <row r="185" spans="1:6" s="1518" customFormat="1" ht="14.25" customHeight="1" thickBot="1">
      <c r="A185" s="1530" t="s">
        <v>1544</v>
      </c>
      <c r="B185" s="1524" t="s">
        <v>1464</v>
      </c>
      <c r="C185" s="1524">
        <v>7260</v>
      </c>
      <c r="D185" s="1524">
        <v>7230</v>
      </c>
      <c r="E185" s="1524">
        <v>7710</v>
      </c>
      <c r="F185" s="1538">
        <v>1360</v>
      </c>
    </row>
    <row r="186" spans="1:6" s="1518" customFormat="1" ht="14.25" customHeight="1" thickBot="1">
      <c r="A186" s="1530" t="s">
        <v>1544</v>
      </c>
      <c r="B186" s="1524" t="s">
        <v>1469</v>
      </c>
      <c r="C186" s="1524"/>
      <c r="D186" s="1524"/>
      <c r="E186" s="1524"/>
      <c r="F186" s="1538">
        <v>1560</v>
      </c>
    </row>
    <row r="187" spans="1:6" s="1518" customFormat="1" ht="14.25" customHeight="1" thickBot="1">
      <c r="A187" s="1530" t="s">
        <v>1544</v>
      </c>
      <c r="B187" s="1524" t="s">
        <v>1473</v>
      </c>
      <c r="C187" s="1524"/>
      <c r="D187" s="1524"/>
      <c r="E187" s="1524"/>
      <c r="F187" s="1538">
        <v>1560</v>
      </c>
    </row>
    <row r="188" spans="1:6" s="1518" customFormat="1" ht="14.25" customHeight="1" thickBot="1">
      <c r="A188" s="1530" t="s">
        <v>1544</v>
      </c>
      <c r="B188" s="1524" t="s">
        <v>1478</v>
      </c>
      <c r="C188" s="1524"/>
      <c r="D188" s="1524"/>
      <c r="E188" s="1524"/>
      <c r="F188" s="1538">
        <v>1560</v>
      </c>
    </row>
    <row r="189" spans="1:6" s="1518" customFormat="1" ht="14.25" customHeight="1" thickBot="1">
      <c r="A189" s="1530" t="s">
        <v>1544</v>
      </c>
      <c r="B189" s="1524" t="s">
        <v>1483</v>
      </c>
      <c r="C189" s="1524"/>
      <c r="D189" s="1524"/>
      <c r="E189" s="1524"/>
      <c r="F189" s="1538">
        <v>1320</v>
      </c>
    </row>
    <row r="190" spans="1:6" s="1518" customFormat="1" ht="14.25" customHeight="1" thickBot="1">
      <c r="A190" s="1530" t="s">
        <v>1544</v>
      </c>
      <c r="B190" s="1524" t="s">
        <v>1488</v>
      </c>
      <c r="C190" s="1524"/>
      <c r="D190" s="1524"/>
      <c r="E190" s="1524"/>
      <c r="F190" s="1538">
        <v>1320</v>
      </c>
    </row>
    <row r="191" spans="1:6" s="1518" customFormat="1" ht="14.25" customHeight="1" thickBot="1">
      <c r="A191" s="1530" t="s">
        <v>1544</v>
      </c>
      <c r="B191" s="1524" t="s">
        <v>1493</v>
      </c>
      <c r="C191" s="1524"/>
      <c r="D191" s="1524"/>
      <c r="E191" s="1524"/>
      <c r="F191" s="1538">
        <v>1320</v>
      </c>
    </row>
    <row r="192" spans="1:6" s="1518" customFormat="1" ht="14.25" customHeight="1" thickBot="1">
      <c r="A192" s="1530" t="s">
        <v>1544</v>
      </c>
      <c r="B192" s="1524" t="s">
        <v>1497</v>
      </c>
      <c r="C192" s="1524"/>
      <c r="D192" s="1524"/>
      <c r="E192" s="1524"/>
      <c r="F192" s="1538">
        <v>1100</v>
      </c>
    </row>
    <row r="193" spans="1:6" s="1518" customFormat="1" ht="14.25" customHeight="1" thickBot="1">
      <c r="A193" s="1530" t="s">
        <v>1544</v>
      </c>
      <c r="B193" s="1524" t="s">
        <v>1501</v>
      </c>
      <c r="C193" s="1524"/>
      <c r="D193" s="1524"/>
      <c r="E193" s="1524"/>
      <c r="F193" s="1538">
        <v>1100</v>
      </c>
    </row>
    <row r="194" spans="1:6" s="1518" customFormat="1" ht="14.25" customHeight="1" thickBot="1">
      <c r="A194" s="1530" t="s">
        <v>1544</v>
      </c>
      <c r="B194" s="1524" t="s">
        <v>1505</v>
      </c>
      <c r="C194" s="1524"/>
      <c r="D194" s="1524"/>
      <c r="E194" s="1524"/>
      <c r="F194" s="1538">
        <v>1080</v>
      </c>
    </row>
    <row r="195" spans="1:6" s="1518" customFormat="1" ht="14.25" customHeight="1" thickBot="1">
      <c r="A195" s="1530" t="s">
        <v>1544</v>
      </c>
      <c r="B195" s="1524" t="s">
        <v>1509</v>
      </c>
      <c r="C195" s="1524"/>
      <c r="D195" s="1524"/>
      <c r="E195" s="1524"/>
      <c r="F195" s="1538">
        <v>1270</v>
      </c>
    </row>
    <row r="196" spans="1:6" s="1518" customFormat="1" ht="14.25" customHeight="1" thickBot="1">
      <c r="A196" s="1530" t="s">
        <v>1544</v>
      </c>
      <c r="B196" s="1524" t="s">
        <v>1513</v>
      </c>
      <c r="C196" s="1524"/>
      <c r="D196" s="1524"/>
      <c r="E196" s="1524"/>
      <c r="F196" s="1538">
        <v>1150</v>
      </c>
    </row>
    <row r="197" spans="1:6" s="1518" customFormat="1" ht="14.25" customHeight="1" thickBot="1">
      <c r="A197" s="1530" t="s">
        <v>1544</v>
      </c>
      <c r="B197" s="1524" t="s">
        <v>1517</v>
      </c>
      <c r="C197" s="1524"/>
      <c r="D197" s="1524"/>
      <c r="E197" s="1524"/>
      <c r="F197" s="1538">
        <v>1330</v>
      </c>
    </row>
    <row r="198" spans="1:6" s="1518" customFormat="1" ht="14.25" customHeight="1" thickBot="1">
      <c r="A198" s="1530" t="s">
        <v>1544</v>
      </c>
      <c r="B198" s="1524" t="s">
        <v>1520</v>
      </c>
      <c r="C198" s="1524"/>
      <c r="D198" s="1524"/>
      <c r="E198" s="1524"/>
      <c r="F198" s="1538">
        <v>1170</v>
      </c>
    </row>
    <row r="199" spans="1:6" s="1518" customFormat="1" ht="14.25" customHeight="1" thickBot="1">
      <c r="A199" s="1530" t="s">
        <v>1544</v>
      </c>
      <c r="B199" s="1524" t="s">
        <v>1523</v>
      </c>
      <c r="C199" s="1524"/>
      <c r="D199" s="1524"/>
      <c r="E199" s="1524"/>
      <c r="F199" s="1538">
        <v>1120</v>
      </c>
    </row>
    <row r="200" spans="1:6" s="1518" customFormat="1" ht="14.25" customHeight="1" thickBot="1">
      <c r="A200" s="1530" t="s">
        <v>1544</v>
      </c>
      <c r="B200" s="1524" t="s">
        <v>1526</v>
      </c>
      <c r="C200" s="1524"/>
      <c r="D200" s="1524"/>
      <c r="E200" s="1524"/>
      <c r="F200" s="1538">
        <v>1120</v>
      </c>
    </row>
    <row r="201" spans="1:6" s="1518" customFormat="1" ht="14.25" customHeight="1" thickBot="1">
      <c r="A201" s="1530" t="s">
        <v>1544</v>
      </c>
      <c r="B201" s="1524" t="s">
        <v>1529</v>
      </c>
      <c r="C201" s="1524"/>
      <c r="D201" s="1524"/>
      <c r="E201" s="1524"/>
      <c r="F201" s="1538">
        <v>1540</v>
      </c>
    </row>
    <row r="202" spans="1:6" s="1518" customFormat="1" ht="14.25" customHeight="1" thickBot="1">
      <c r="A202" s="1530" t="s">
        <v>1544</v>
      </c>
      <c r="B202" s="1524" t="s">
        <v>1532</v>
      </c>
      <c r="C202" s="1524"/>
      <c r="D202" s="1524"/>
      <c r="E202" s="1524"/>
      <c r="F202" s="1538">
        <v>1310</v>
      </c>
    </row>
    <row r="203" spans="1:6" s="1518" customFormat="1" ht="14.25" customHeight="1" thickBot="1">
      <c r="A203" s="1530" t="s">
        <v>1544</v>
      </c>
      <c r="B203" s="1524" t="s">
        <v>1535</v>
      </c>
      <c r="C203" s="1524"/>
      <c r="D203" s="1524"/>
      <c r="E203" s="1524"/>
      <c r="F203" s="1538">
        <v>1310</v>
      </c>
    </row>
    <row r="204" spans="1:6" s="1518" customFormat="1" ht="14.25" customHeight="1" thickBot="1">
      <c r="A204" s="1530" t="s">
        <v>1544</v>
      </c>
      <c r="B204" s="1524" t="s">
        <v>1537</v>
      </c>
      <c r="C204" s="1524"/>
      <c r="D204" s="1524"/>
      <c r="E204" s="1524"/>
      <c r="F204" s="1538">
        <v>1080</v>
      </c>
    </row>
    <row r="205" spans="1:6" s="1518" customFormat="1" ht="14.25" customHeight="1" thickBot="1">
      <c r="A205" s="1530" t="s">
        <v>1544</v>
      </c>
      <c r="B205" s="1524" t="s">
        <v>1540</v>
      </c>
      <c r="C205" s="1524"/>
      <c r="D205" s="1524"/>
      <c r="E205" s="1524"/>
      <c r="F205" s="1538">
        <v>1080</v>
      </c>
    </row>
    <row r="206" spans="1:6" s="1518" customFormat="1" ht="14.25" customHeight="1" thickBot="1">
      <c r="A206" s="1530" t="s">
        <v>1546</v>
      </c>
      <c r="B206" s="1531" t="s">
        <v>1547</v>
      </c>
      <c r="C206" s="1531">
        <v>5450</v>
      </c>
      <c r="D206" s="1531">
        <v>5430</v>
      </c>
      <c r="E206" s="1531">
        <v>5700</v>
      </c>
      <c r="F206" s="1532">
        <v>1020</v>
      </c>
    </row>
    <row r="207" spans="1:6" s="1518" customFormat="1" ht="14.25" customHeight="1" thickBot="1">
      <c r="A207" s="1530" t="s">
        <v>1546</v>
      </c>
      <c r="B207" s="1524" t="s">
        <v>1212</v>
      </c>
      <c r="C207" s="1524">
        <v>5860</v>
      </c>
      <c r="D207" s="1524">
        <v>5820</v>
      </c>
      <c r="E207" s="1524">
        <v>6050</v>
      </c>
      <c r="F207" s="1538">
        <v>1080</v>
      </c>
    </row>
    <row r="208" spans="1:6" s="1518" customFormat="1" ht="14.25" customHeight="1" thickBot="1">
      <c r="A208" s="1530" t="s">
        <v>1546</v>
      </c>
      <c r="B208" s="1524" t="s">
        <v>1225</v>
      </c>
      <c r="C208" s="1524">
        <v>4630</v>
      </c>
      <c r="D208" s="1524">
        <v>4600</v>
      </c>
      <c r="E208" s="1524">
        <v>4840</v>
      </c>
      <c r="F208" s="1538">
        <v>900</v>
      </c>
    </row>
    <row r="209" spans="1:6" s="1518" customFormat="1" ht="14.25" customHeight="1" thickBot="1">
      <c r="A209" s="1530" t="s">
        <v>1546</v>
      </c>
      <c r="B209" s="1524" t="s">
        <v>1238</v>
      </c>
      <c r="C209" s="1524">
        <v>5320</v>
      </c>
      <c r="D209" s="1524">
        <v>5270</v>
      </c>
      <c r="E209" s="1524">
        <v>5540</v>
      </c>
      <c r="F209" s="1538">
        <v>980</v>
      </c>
    </row>
    <row r="210" spans="1:6" s="1518" customFormat="1" ht="14.25" customHeight="1" thickBot="1">
      <c r="A210" s="1530" t="s">
        <v>1546</v>
      </c>
      <c r="B210" s="1524" t="s">
        <v>1250</v>
      </c>
      <c r="C210" s="1524">
        <v>5760</v>
      </c>
      <c r="D210" s="1524">
        <v>5710</v>
      </c>
      <c r="E210" s="1524">
        <v>6010</v>
      </c>
      <c r="F210" s="1538">
        <v>870</v>
      </c>
    </row>
    <row r="211" spans="1:6" s="1518" customFormat="1" ht="14.25" customHeight="1" thickBot="1">
      <c r="A211" s="1530" t="s">
        <v>1546</v>
      </c>
      <c r="B211" s="1524" t="s">
        <v>1261</v>
      </c>
      <c r="C211" s="1524">
        <v>4160</v>
      </c>
      <c r="D211" s="1524">
        <v>4100</v>
      </c>
      <c r="E211" s="1524">
        <v>4270</v>
      </c>
      <c r="F211" s="1538">
        <v>790</v>
      </c>
    </row>
    <row r="212" spans="1:6" s="1518" customFormat="1" ht="14.25" customHeight="1" thickBot="1">
      <c r="A212" s="1530" t="s">
        <v>1546</v>
      </c>
      <c r="B212" s="1524" t="s">
        <v>1272</v>
      </c>
      <c r="C212" s="1524">
        <v>4880</v>
      </c>
      <c r="D212" s="1524">
        <v>4850</v>
      </c>
      <c r="E212" s="1524">
        <v>5110</v>
      </c>
      <c r="F212" s="1538">
        <v>940</v>
      </c>
    </row>
    <row r="213" spans="1:6" s="1518" customFormat="1" ht="14.25" customHeight="1" thickBot="1">
      <c r="A213" s="1530" t="s">
        <v>1546</v>
      </c>
      <c r="B213" s="1524" t="s">
        <v>1283</v>
      </c>
      <c r="C213" s="1524">
        <v>4640</v>
      </c>
      <c r="D213" s="1524">
        <v>4590</v>
      </c>
      <c r="E213" s="1524">
        <v>4700</v>
      </c>
      <c r="F213" s="1538">
        <v>1030</v>
      </c>
    </row>
    <row r="214" spans="1:6" s="1518" customFormat="1" ht="14.25" customHeight="1" thickBot="1">
      <c r="A214" s="1530" t="s">
        <v>1546</v>
      </c>
      <c r="B214" s="1524" t="s">
        <v>1295</v>
      </c>
      <c r="C214" s="1524">
        <v>4540</v>
      </c>
      <c r="D214" s="1524">
        <v>4490</v>
      </c>
      <c r="E214" s="1524">
        <v>4610</v>
      </c>
      <c r="F214" s="1542"/>
    </row>
    <row r="215" spans="1:6" s="1518" customFormat="1" ht="14.25" customHeight="1" thickBot="1">
      <c r="A215" s="1530" t="s">
        <v>1546</v>
      </c>
      <c r="B215" s="1524" t="s">
        <v>1305</v>
      </c>
      <c r="C215" s="1524">
        <v>5280</v>
      </c>
      <c r="D215" s="1524">
        <v>5250</v>
      </c>
      <c r="E215" s="1524">
        <v>5520</v>
      </c>
      <c r="F215" s="1538">
        <v>1000</v>
      </c>
    </row>
    <row r="216" spans="1:6" s="1518" customFormat="1" ht="14.25" customHeight="1" thickBot="1">
      <c r="A216" s="1530" t="s">
        <v>1546</v>
      </c>
      <c r="B216" s="1524" t="s">
        <v>1315</v>
      </c>
      <c r="C216" s="1524">
        <v>5100</v>
      </c>
      <c r="D216" s="1524">
        <v>5050</v>
      </c>
      <c r="E216" s="1524">
        <v>5300</v>
      </c>
      <c r="F216" s="1538">
        <v>950</v>
      </c>
    </row>
    <row r="217" spans="1:6" s="1518" customFormat="1" ht="14.25" customHeight="1" thickBot="1">
      <c r="A217" s="1530" t="s">
        <v>1546</v>
      </c>
      <c r="B217" s="1524" t="s">
        <v>1325</v>
      </c>
      <c r="C217" s="1524">
        <v>5370</v>
      </c>
      <c r="D217" s="1524">
        <v>5320</v>
      </c>
      <c r="E217" s="1524">
        <v>5410</v>
      </c>
      <c r="F217" s="1538">
        <v>950</v>
      </c>
    </row>
    <row r="218" spans="1:6" s="1518" customFormat="1" ht="14.25" customHeight="1" thickBot="1">
      <c r="A218" s="1530" t="s">
        <v>1546</v>
      </c>
      <c r="B218" s="1524" t="s">
        <v>1335</v>
      </c>
      <c r="C218" s="1524">
        <v>5540</v>
      </c>
      <c r="D218" s="1524">
        <v>5480</v>
      </c>
      <c r="E218" s="1524">
        <v>5740</v>
      </c>
      <c r="F218" s="1538">
        <v>1020</v>
      </c>
    </row>
    <row r="219" spans="1:6" s="1518" customFormat="1" ht="14.25" customHeight="1" thickBot="1">
      <c r="A219" s="1530" t="s">
        <v>1546</v>
      </c>
      <c r="B219" s="1524" t="s">
        <v>1346</v>
      </c>
      <c r="C219" s="1524">
        <v>5140</v>
      </c>
      <c r="D219" s="1524">
        <v>5100</v>
      </c>
      <c r="E219" s="1524">
        <v>5350</v>
      </c>
      <c r="F219" s="1538">
        <v>1120</v>
      </c>
    </row>
    <row r="220" spans="1:6" s="1518" customFormat="1" ht="14.25" customHeight="1" thickBot="1">
      <c r="A220" s="1530" t="s">
        <v>1546</v>
      </c>
      <c r="B220" s="1524" t="s">
        <v>1357</v>
      </c>
      <c r="C220" s="1524">
        <v>5040</v>
      </c>
      <c r="D220" s="1524">
        <v>5000</v>
      </c>
      <c r="E220" s="1524">
        <v>5240</v>
      </c>
      <c r="F220" s="1538">
        <v>980</v>
      </c>
    </row>
    <row r="221" spans="1:6" s="1518" customFormat="1" ht="14.25" customHeight="1" thickBot="1">
      <c r="A221" s="1530" t="s">
        <v>1546</v>
      </c>
      <c r="B221" s="1524" t="s">
        <v>1367</v>
      </c>
      <c r="C221" s="1543"/>
      <c r="D221" s="1543"/>
      <c r="E221" s="1543"/>
      <c r="F221" s="1538">
        <v>1070</v>
      </c>
    </row>
    <row r="222" spans="1:6" s="1518" customFormat="1" ht="14.25" customHeight="1" thickBot="1">
      <c r="A222" s="1530" t="s">
        <v>1546</v>
      </c>
      <c r="B222" s="1524" t="s">
        <v>1377</v>
      </c>
      <c r="C222" s="1543"/>
      <c r="D222" s="1543"/>
      <c r="E222" s="1543"/>
      <c r="F222" s="1538">
        <v>870</v>
      </c>
    </row>
    <row r="223" spans="1:6" s="1518" customFormat="1" ht="14.25" customHeight="1" thickBot="1">
      <c r="A223" s="1530" t="s">
        <v>1546</v>
      </c>
      <c r="B223" s="1524" t="s">
        <v>1387</v>
      </c>
      <c r="C223" s="1543"/>
      <c r="D223" s="1543"/>
      <c r="E223" s="1543"/>
      <c r="F223" s="1538">
        <v>940</v>
      </c>
    </row>
    <row r="224" spans="1:6" s="1518" customFormat="1" ht="14.25" customHeight="1" thickBot="1">
      <c r="A224" s="1530" t="s">
        <v>1546</v>
      </c>
      <c r="B224" s="1524" t="s">
        <v>1397</v>
      </c>
      <c r="C224" s="1543"/>
      <c r="D224" s="1543"/>
      <c r="E224" s="1543"/>
      <c r="F224" s="1538">
        <v>990</v>
      </c>
    </row>
    <row r="225" spans="1:6" s="1518" customFormat="1" ht="14.25" customHeight="1" thickBot="1">
      <c r="A225" s="1530" t="s">
        <v>1546</v>
      </c>
      <c r="B225" s="1524" t="s">
        <v>1406</v>
      </c>
      <c r="C225" s="1524">
        <v>5730</v>
      </c>
      <c r="D225" s="1524">
        <v>5680</v>
      </c>
      <c r="E225" s="1524">
        <v>6020</v>
      </c>
      <c r="F225" s="1538">
        <v>1000</v>
      </c>
    </row>
    <row r="226" spans="1:6" s="1518" customFormat="1" ht="14.25" customHeight="1" thickBot="1">
      <c r="A226" s="1530" t="s">
        <v>1546</v>
      </c>
      <c r="B226" s="1524" t="s">
        <v>1415</v>
      </c>
      <c r="C226" s="1524">
        <v>4970</v>
      </c>
      <c r="D226" s="1524">
        <v>4940</v>
      </c>
      <c r="E226" s="1524">
        <v>5180</v>
      </c>
      <c r="F226" s="1538">
        <v>960</v>
      </c>
    </row>
    <row r="227" spans="1:6" s="1518" customFormat="1" ht="14.25" customHeight="1" thickBot="1">
      <c r="A227" s="1530" t="s">
        <v>1546</v>
      </c>
      <c r="B227" s="1524" t="s">
        <v>1423</v>
      </c>
      <c r="C227" s="1524">
        <v>5550</v>
      </c>
      <c r="D227" s="1524">
        <v>5500</v>
      </c>
      <c r="E227" s="1524">
        <v>5780</v>
      </c>
      <c r="F227" s="1538">
        <v>940</v>
      </c>
    </row>
    <row r="228" spans="1:6" s="1518" customFormat="1" ht="14.25" customHeight="1" thickBot="1">
      <c r="A228" s="1530" t="s">
        <v>1546</v>
      </c>
      <c r="B228" s="1524" t="s">
        <v>1430</v>
      </c>
      <c r="C228" s="1524">
        <v>5460</v>
      </c>
      <c r="D228" s="1524">
        <v>5420</v>
      </c>
      <c r="E228" s="1524">
        <v>5690</v>
      </c>
      <c r="F228" s="1538">
        <v>910</v>
      </c>
    </row>
    <row r="229" spans="1:6" s="1518" customFormat="1" ht="14.25" customHeight="1" thickBot="1">
      <c r="A229" s="1530" t="s">
        <v>1546</v>
      </c>
      <c r="B229" s="1524" t="s">
        <v>1437</v>
      </c>
      <c r="C229" s="1524">
        <v>5310</v>
      </c>
      <c r="D229" s="1524">
        <v>5270</v>
      </c>
      <c r="E229" s="1524">
        <v>5510</v>
      </c>
      <c r="F229" s="1542"/>
    </row>
    <row r="230" spans="1:6" s="1518" customFormat="1" ht="14.25" customHeight="1" thickBot="1">
      <c r="A230" s="1530" t="s">
        <v>1546</v>
      </c>
      <c r="B230" s="1524" t="s">
        <v>1444</v>
      </c>
      <c r="C230" s="1524">
        <v>4540</v>
      </c>
      <c r="D230" s="1524">
        <v>4500</v>
      </c>
      <c r="E230" s="1524">
        <v>4730</v>
      </c>
      <c r="F230" s="1542"/>
    </row>
    <row r="231" spans="1:6" s="1518" customFormat="1" ht="14.25" customHeight="1" thickBot="1">
      <c r="A231" s="1530" t="s">
        <v>1546</v>
      </c>
      <c r="B231" s="1524" t="s">
        <v>1451</v>
      </c>
      <c r="C231" s="1524">
        <v>4480</v>
      </c>
      <c r="D231" s="1524">
        <v>4410</v>
      </c>
      <c r="E231" s="1524">
        <v>4640</v>
      </c>
      <c r="F231" s="1542"/>
    </row>
    <row r="232" spans="1:6" s="1518" customFormat="1" ht="14.25" customHeight="1" thickBot="1">
      <c r="A232" s="1530" t="s">
        <v>1546</v>
      </c>
      <c r="B232" s="1524" t="s">
        <v>1458</v>
      </c>
      <c r="C232" s="1524">
        <v>5670</v>
      </c>
      <c r="D232" s="1524">
        <v>5600</v>
      </c>
      <c r="E232" s="1524">
        <v>5890</v>
      </c>
      <c r="F232" s="1538">
        <v>1150</v>
      </c>
    </row>
    <row r="233" spans="1:6" s="1518" customFormat="1" ht="14.25" customHeight="1" thickBot="1">
      <c r="A233" s="1530" t="s">
        <v>1546</v>
      </c>
      <c r="B233" s="1524" t="s">
        <v>1465</v>
      </c>
      <c r="C233" s="1524">
        <v>4590</v>
      </c>
      <c r="D233" s="1524">
        <v>4500</v>
      </c>
      <c r="E233" s="1524">
        <v>4600</v>
      </c>
      <c r="F233" s="1542"/>
    </row>
    <row r="234" spans="1:6" s="1518" customFormat="1" ht="14.25" customHeight="1" thickBot="1">
      <c r="A234" s="1530" t="s">
        <v>1546</v>
      </c>
      <c r="B234" s="1524" t="s">
        <v>2503</v>
      </c>
      <c r="C234" s="1524">
        <v>3990</v>
      </c>
      <c r="D234" s="1524">
        <v>3950</v>
      </c>
      <c r="E234" s="1524">
        <v>4180</v>
      </c>
      <c r="F234" s="1542"/>
    </row>
    <row r="235" spans="1:6" s="1518" customFormat="1" ht="14.25" customHeight="1" thickBot="1">
      <c r="A235" s="1530" t="s">
        <v>1546</v>
      </c>
      <c r="B235" s="1524" t="s">
        <v>1474</v>
      </c>
      <c r="C235" s="1524">
        <v>5590</v>
      </c>
      <c r="D235" s="1524">
        <v>5540</v>
      </c>
      <c r="E235" s="1524">
        <v>5810</v>
      </c>
      <c r="F235" s="1538">
        <v>970</v>
      </c>
    </row>
    <row r="236" spans="1:6" s="1518" customFormat="1" ht="14.25" customHeight="1" thickBot="1">
      <c r="A236" s="1530" t="s">
        <v>1546</v>
      </c>
      <c r="B236" s="1524" t="s">
        <v>1479</v>
      </c>
      <c r="C236" s="1524"/>
      <c r="D236" s="1524"/>
      <c r="E236" s="1524"/>
      <c r="F236" s="1538">
        <v>1020</v>
      </c>
    </row>
    <row r="237" spans="1:6" s="1518" customFormat="1" ht="14.25" customHeight="1" thickBot="1">
      <c r="A237" s="1530" t="s">
        <v>1546</v>
      </c>
      <c r="B237" s="1524" t="s">
        <v>1484</v>
      </c>
      <c r="C237" s="1524"/>
      <c r="D237" s="1524"/>
      <c r="E237" s="1524"/>
      <c r="F237" s="1538">
        <v>960</v>
      </c>
    </row>
    <row r="238" spans="1:6" s="1518" customFormat="1" ht="14.25" customHeight="1" thickBot="1">
      <c r="A238" s="1530" t="s">
        <v>1546</v>
      </c>
      <c r="B238" s="1524" t="s">
        <v>1489</v>
      </c>
      <c r="C238" s="1524"/>
      <c r="D238" s="1524"/>
      <c r="E238" s="1524"/>
      <c r="F238" s="1538">
        <v>960</v>
      </c>
    </row>
    <row r="239" spans="1:6" s="1518" customFormat="1" ht="14.25" customHeight="1" thickBot="1">
      <c r="A239" s="1530" t="s">
        <v>1546</v>
      </c>
      <c r="B239" s="1524" t="s">
        <v>1494</v>
      </c>
      <c r="C239" s="1524"/>
      <c r="D239" s="1524"/>
      <c r="E239" s="1524"/>
      <c r="F239" s="1538">
        <v>960</v>
      </c>
    </row>
    <row r="240" spans="1:6" s="1518" customFormat="1" ht="14.25" customHeight="1" thickBot="1">
      <c r="A240" s="1530" t="s">
        <v>1546</v>
      </c>
      <c r="B240" s="1524" t="s">
        <v>1498</v>
      </c>
      <c r="C240" s="1524"/>
      <c r="D240" s="1524"/>
      <c r="E240" s="1524"/>
      <c r="F240" s="1538">
        <v>990</v>
      </c>
    </row>
    <row r="241" spans="1:6" s="1518" customFormat="1" ht="14.25" customHeight="1" thickBot="1">
      <c r="A241" s="1530" t="s">
        <v>1546</v>
      </c>
      <c r="B241" s="1524" t="s">
        <v>1502</v>
      </c>
      <c r="C241" s="1524"/>
      <c r="D241" s="1524"/>
      <c r="E241" s="1524"/>
      <c r="F241" s="1538">
        <v>1000</v>
      </c>
    </row>
    <row r="242" spans="1:6" s="1518" customFormat="1" ht="14.25" customHeight="1" thickBot="1">
      <c r="A242" s="1530" t="s">
        <v>1546</v>
      </c>
      <c r="B242" s="1524" t="s">
        <v>1506</v>
      </c>
      <c r="C242" s="1524"/>
      <c r="D242" s="1524"/>
      <c r="E242" s="1524"/>
      <c r="F242" s="1538">
        <v>980</v>
      </c>
    </row>
    <row r="243" spans="1:6" s="1518" customFormat="1" ht="14.25" customHeight="1" thickBot="1">
      <c r="A243" s="1530" t="s">
        <v>1546</v>
      </c>
      <c r="B243" s="1524" t="s">
        <v>1510</v>
      </c>
      <c r="C243" s="1524"/>
      <c r="D243" s="1524"/>
      <c r="E243" s="1524"/>
      <c r="F243" s="1538">
        <v>970</v>
      </c>
    </row>
    <row r="244" spans="1:6" s="1518" customFormat="1" ht="14.25" customHeight="1" thickBot="1">
      <c r="A244" s="1530" t="s">
        <v>1546</v>
      </c>
      <c r="B244" s="1536" t="s">
        <v>1514</v>
      </c>
      <c r="C244" s="1536"/>
      <c r="D244" s="1536"/>
      <c r="E244" s="1536"/>
      <c r="F244" s="1541">
        <v>970</v>
      </c>
    </row>
    <row r="245" spans="1:6" s="1518" customFormat="1" ht="14.25" customHeight="1" thickBot="1">
      <c r="A245" s="1530" t="s">
        <v>1548</v>
      </c>
      <c r="B245" s="1531" t="s">
        <v>1549</v>
      </c>
      <c r="C245" s="1531">
        <v>4050</v>
      </c>
      <c r="D245" s="1531">
        <v>4020</v>
      </c>
      <c r="E245" s="1531">
        <v>4160</v>
      </c>
      <c r="F245" s="1532">
        <v>840</v>
      </c>
    </row>
    <row r="246" spans="1:6" s="1518" customFormat="1" ht="14.25" customHeight="1" thickBot="1">
      <c r="A246" s="1530" t="s">
        <v>1548</v>
      </c>
      <c r="B246" s="1524" t="s">
        <v>1213</v>
      </c>
      <c r="C246" s="1524">
        <v>4010</v>
      </c>
      <c r="D246" s="1524">
        <v>3960</v>
      </c>
      <c r="E246" s="1524">
        <v>4130</v>
      </c>
      <c r="F246" s="1538">
        <v>840</v>
      </c>
    </row>
    <row r="247" spans="1:6" s="1518" customFormat="1" ht="14.25" customHeight="1" thickBot="1">
      <c r="A247" s="1530" t="s">
        <v>1548</v>
      </c>
      <c r="B247" s="1524" t="s">
        <v>1550</v>
      </c>
      <c r="C247" s="1524">
        <v>3170</v>
      </c>
      <c r="D247" s="1524">
        <v>3140</v>
      </c>
      <c r="E247" s="1524">
        <v>3270</v>
      </c>
      <c r="F247" s="1538">
        <v>640</v>
      </c>
    </row>
    <row r="248" spans="1:6" s="1518" customFormat="1" ht="14.25" customHeight="1" thickBot="1">
      <c r="A248" s="1530" t="s">
        <v>1548</v>
      </c>
      <c r="B248" s="1524" t="s">
        <v>1551</v>
      </c>
      <c r="C248" s="1524">
        <v>3140</v>
      </c>
      <c r="D248" s="1524">
        <v>3120</v>
      </c>
      <c r="E248" s="1524">
        <v>3240</v>
      </c>
      <c r="F248" s="1538">
        <v>620</v>
      </c>
    </row>
    <row r="249" spans="1:6" s="1518" customFormat="1" ht="14.25" customHeight="1" thickBot="1">
      <c r="A249" s="1530" t="s">
        <v>1548</v>
      </c>
      <c r="B249" s="1524" t="s">
        <v>1251</v>
      </c>
      <c r="C249" s="1524">
        <v>3200</v>
      </c>
      <c r="D249" s="1524">
        <v>3100</v>
      </c>
      <c r="E249" s="1524">
        <v>3230</v>
      </c>
      <c r="F249" s="1538">
        <v>750</v>
      </c>
    </row>
    <row r="250" spans="1:6" s="1518" customFormat="1" ht="14.25" customHeight="1" thickBot="1">
      <c r="A250" s="1530" t="s">
        <v>1548</v>
      </c>
      <c r="B250" s="1524" t="s">
        <v>1262</v>
      </c>
      <c r="C250" s="1524">
        <v>4060</v>
      </c>
      <c r="D250" s="1524">
        <v>4000</v>
      </c>
      <c r="E250" s="1524">
        <v>4140</v>
      </c>
      <c r="F250" s="1538">
        <v>790</v>
      </c>
    </row>
    <row r="251" spans="1:6" s="1518" customFormat="1" ht="14.25" customHeight="1" thickBot="1">
      <c r="A251" s="1530" t="s">
        <v>1548</v>
      </c>
      <c r="B251" s="1524" t="s">
        <v>1273</v>
      </c>
      <c r="C251" s="1524">
        <v>3990</v>
      </c>
      <c r="D251" s="1524">
        <v>3970</v>
      </c>
      <c r="E251" s="1524">
        <v>4110</v>
      </c>
      <c r="F251" s="1538">
        <v>730</v>
      </c>
    </row>
    <row r="252" spans="1:6" s="1518" customFormat="1" ht="14.25" customHeight="1" thickBot="1">
      <c r="A252" s="1530" t="s">
        <v>1548</v>
      </c>
      <c r="B252" s="1524" t="s">
        <v>1284</v>
      </c>
      <c r="C252" s="1524">
        <v>3560</v>
      </c>
      <c r="D252" s="1524">
        <v>3530</v>
      </c>
      <c r="E252" s="1524">
        <v>3650</v>
      </c>
      <c r="F252" s="1538">
        <v>750</v>
      </c>
    </row>
    <row r="253" spans="1:6" s="1518" customFormat="1" ht="14.25" customHeight="1" thickBot="1">
      <c r="A253" s="1530" t="s">
        <v>1548</v>
      </c>
      <c r="B253" s="1524" t="s">
        <v>1296</v>
      </c>
      <c r="C253" s="1524">
        <v>3780</v>
      </c>
      <c r="D253" s="1524">
        <v>3750</v>
      </c>
      <c r="E253" s="1524">
        <v>3870</v>
      </c>
      <c r="F253" s="1538">
        <v>770</v>
      </c>
    </row>
    <row r="254" spans="1:6" s="1518" customFormat="1" ht="14.25" customHeight="1" thickBot="1">
      <c r="A254" s="1530" t="s">
        <v>1548</v>
      </c>
      <c r="B254" s="1524" t="s">
        <v>1306</v>
      </c>
      <c r="C254" s="1543"/>
      <c r="D254" s="1543"/>
      <c r="E254" s="1543"/>
      <c r="F254" s="1538">
        <v>740</v>
      </c>
    </row>
    <row r="255" spans="1:6" s="1518" customFormat="1" ht="14.25" customHeight="1" thickBot="1">
      <c r="A255" s="1530" t="s">
        <v>1548</v>
      </c>
      <c r="B255" s="1524" t="s">
        <v>1316</v>
      </c>
      <c r="C255" s="1543"/>
      <c r="D255" s="1543"/>
      <c r="E255" s="1543"/>
      <c r="F255" s="1538">
        <v>760</v>
      </c>
    </row>
    <row r="256" spans="1:6" s="1518" customFormat="1" ht="14.25" customHeight="1" thickBot="1">
      <c r="A256" s="1530" t="s">
        <v>1548</v>
      </c>
      <c r="B256" s="1524" t="s">
        <v>1326</v>
      </c>
      <c r="C256" s="1524">
        <v>3760</v>
      </c>
      <c r="D256" s="1524">
        <v>3730</v>
      </c>
      <c r="E256" s="1524">
        <v>3870</v>
      </c>
      <c r="F256" s="1538">
        <v>830</v>
      </c>
    </row>
    <row r="257" spans="1:6" s="1518" customFormat="1" ht="14.25" customHeight="1" thickBot="1">
      <c r="A257" s="1530" t="s">
        <v>1548</v>
      </c>
      <c r="B257" s="1524" t="s">
        <v>1336</v>
      </c>
      <c r="C257" s="1524">
        <v>3570</v>
      </c>
      <c r="D257" s="1524">
        <v>3540</v>
      </c>
      <c r="E257" s="1524">
        <v>3650</v>
      </c>
      <c r="F257" s="1538">
        <v>790</v>
      </c>
    </row>
    <row r="258" spans="1:6" s="1518" customFormat="1" ht="14.25" customHeight="1" thickBot="1">
      <c r="A258" s="1530" t="s">
        <v>1548</v>
      </c>
      <c r="B258" s="1524" t="s">
        <v>1347</v>
      </c>
      <c r="C258" s="1524">
        <v>3410</v>
      </c>
      <c r="D258" s="1524">
        <v>3380</v>
      </c>
      <c r="E258" s="1524">
        <v>3500</v>
      </c>
      <c r="F258" s="1538">
        <v>830</v>
      </c>
    </row>
    <row r="259" spans="1:6" s="1518" customFormat="1" ht="14.25" customHeight="1" thickBot="1">
      <c r="A259" s="1530" t="s">
        <v>1548</v>
      </c>
      <c r="B259" s="1524" t="s">
        <v>1358</v>
      </c>
      <c r="C259" s="1524">
        <v>3870</v>
      </c>
      <c r="D259" s="1524">
        <v>3840</v>
      </c>
      <c r="E259" s="1524">
        <v>3970</v>
      </c>
      <c r="F259" s="1538">
        <v>830</v>
      </c>
    </row>
    <row r="260" spans="1:6" s="1518" customFormat="1" ht="14.25" customHeight="1" thickBot="1">
      <c r="A260" s="1530" t="s">
        <v>1548</v>
      </c>
      <c r="B260" s="1524" t="s">
        <v>1368</v>
      </c>
      <c r="C260" s="1524">
        <v>3700</v>
      </c>
      <c r="D260" s="1524">
        <v>3660</v>
      </c>
      <c r="E260" s="1524">
        <v>3810</v>
      </c>
      <c r="F260" s="1538">
        <v>790</v>
      </c>
    </row>
    <row r="261" spans="1:6" s="1518" customFormat="1" ht="14.25" customHeight="1" thickBot="1">
      <c r="A261" s="1530" t="s">
        <v>1548</v>
      </c>
      <c r="B261" s="1524" t="s">
        <v>1378</v>
      </c>
      <c r="C261" s="1524">
        <v>3470</v>
      </c>
      <c r="D261" s="1524">
        <v>3430</v>
      </c>
      <c r="E261" s="1524">
        <v>3640</v>
      </c>
      <c r="F261" s="1538">
        <v>760</v>
      </c>
    </row>
    <row r="262" spans="1:6" s="1518" customFormat="1" ht="14.25" customHeight="1" thickBot="1">
      <c r="A262" s="1530" t="s">
        <v>1548</v>
      </c>
      <c r="B262" s="1524" t="s">
        <v>1388</v>
      </c>
      <c r="C262" s="1524">
        <v>3510</v>
      </c>
      <c r="D262" s="1524">
        <v>3470</v>
      </c>
      <c r="E262" s="1524">
        <v>3680</v>
      </c>
      <c r="F262" s="1542"/>
    </row>
    <row r="263" spans="1:6" s="1518" customFormat="1" ht="14.25" customHeight="1" thickBot="1">
      <c r="A263" s="1530" t="s">
        <v>1548</v>
      </c>
      <c r="B263" s="1524" t="s">
        <v>1398</v>
      </c>
      <c r="C263" s="1524">
        <v>3960</v>
      </c>
      <c r="D263" s="1524">
        <v>3930</v>
      </c>
      <c r="E263" s="1524">
        <v>4070</v>
      </c>
      <c r="F263" s="1538">
        <v>830</v>
      </c>
    </row>
    <row r="264" spans="1:6" s="1518" customFormat="1" ht="14.25" customHeight="1" thickBot="1">
      <c r="A264" s="1530" t="s">
        <v>1548</v>
      </c>
      <c r="B264" s="1524" t="s">
        <v>1407</v>
      </c>
      <c r="C264" s="1524">
        <v>4010</v>
      </c>
      <c r="D264" s="1524">
        <v>3980</v>
      </c>
      <c r="E264" s="1524">
        <v>4150</v>
      </c>
      <c r="F264" s="1538">
        <v>760</v>
      </c>
    </row>
    <row r="265" spans="1:6" s="1518" customFormat="1" ht="14.25" customHeight="1" thickBot="1">
      <c r="A265" s="1530" t="s">
        <v>1548</v>
      </c>
      <c r="B265" s="1524" t="s">
        <v>1416</v>
      </c>
      <c r="C265" s="1524">
        <v>3910</v>
      </c>
      <c r="D265" s="1524">
        <v>3890</v>
      </c>
      <c r="E265" s="1524">
        <v>4040</v>
      </c>
      <c r="F265" s="1538">
        <v>780</v>
      </c>
    </row>
    <row r="266" spans="1:6" s="1518" customFormat="1" ht="14.25" customHeight="1" thickBot="1">
      <c r="A266" s="1530" t="s">
        <v>1548</v>
      </c>
      <c r="B266" s="1524" t="s">
        <v>1424</v>
      </c>
      <c r="C266" s="1524">
        <v>3930</v>
      </c>
      <c r="D266" s="1524">
        <v>3900</v>
      </c>
      <c r="E266" s="1524">
        <v>4080</v>
      </c>
      <c r="F266" s="1538">
        <v>770</v>
      </c>
    </row>
    <row r="267" spans="1:6" s="1518" customFormat="1" ht="14.25" customHeight="1" thickBot="1">
      <c r="A267" s="1530" t="s">
        <v>1548</v>
      </c>
      <c r="B267" s="1524" t="s">
        <v>1431</v>
      </c>
      <c r="C267" s="1524">
        <v>3800</v>
      </c>
      <c r="D267" s="1524">
        <v>3780</v>
      </c>
      <c r="E267" s="1524">
        <v>3930</v>
      </c>
      <c r="F267" s="1542"/>
    </row>
    <row r="268" spans="1:6" s="1518" customFormat="1" ht="14.25" customHeight="1" thickBot="1">
      <c r="A268" s="1530" t="s">
        <v>1548</v>
      </c>
      <c r="B268" s="1524" t="s">
        <v>1438</v>
      </c>
      <c r="C268" s="1524">
        <v>3460</v>
      </c>
      <c r="D268" s="1524">
        <v>3430</v>
      </c>
      <c r="E268" s="1524">
        <v>3560</v>
      </c>
      <c r="F268" s="1538">
        <v>840</v>
      </c>
    </row>
    <row r="269" spans="1:6" s="1518" customFormat="1" ht="14.25" customHeight="1" thickBot="1">
      <c r="A269" s="1530" t="s">
        <v>1548</v>
      </c>
      <c r="B269" s="1524" t="s">
        <v>1445</v>
      </c>
      <c r="C269" s="1524">
        <v>3210</v>
      </c>
      <c r="D269" s="1524">
        <v>3190</v>
      </c>
      <c r="E269" s="1524">
        <v>3310</v>
      </c>
      <c r="F269" s="1538">
        <v>730</v>
      </c>
    </row>
    <row r="270" spans="1:6" s="1518" customFormat="1" ht="14.25" customHeight="1" thickBot="1">
      <c r="A270" s="1530" t="s">
        <v>1548</v>
      </c>
      <c r="B270" s="1524" t="s">
        <v>1452</v>
      </c>
      <c r="C270" s="1524">
        <v>3240</v>
      </c>
      <c r="D270" s="1524">
        <v>3210</v>
      </c>
      <c r="E270" s="1524">
        <v>3390</v>
      </c>
      <c r="F270" s="1538">
        <v>820</v>
      </c>
    </row>
    <row r="271" spans="1:6" s="1518" customFormat="1" ht="14.25" customHeight="1" thickBot="1">
      <c r="A271" s="1530" t="s">
        <v>1548</v>
      </c>
      <c r="B271" s="1524" t="s">
        <v>1459</v>
      </c>
      <c r="C271" s="1524">
        <v>3300</v>
      </c>
      <c r="D271" s="1524">
        <v>3270</v>
      </c>
      <c r="E271" s="1524">
        <v>3380</v>
      </c>
      <c r="F271" s="1538">
        <v>750</v>
      </c>
    </row>
    <row r="272" spans="1:6" s="1518" customFormat="1" ht="14.25" customHeight="1" thickBot="1">
      <c r="A272" s="1530" t="s">
        <v>1548</v>
      </c>
      <c r="B272" s="1524" t="s">
        <v>1466</v>
      </c>
      <c r="C272" s="1543"/>
      <c r="D272" s="1543"/>
      <c r="E272" s="1543"/>
      <c r="F272" s="1538">
        <v>740</v>
      </c>
    </row>
    <row r="273" spans="1:6" s="1518" customFormat="1" ht="14.25" customHeight="1" thickBot="1">
      <c r="A273" s="1530" t="s">
        <v>1548</v>
      </c>
      <c r="B273" s="1524" t="s">
        <v>1470</v>
      </c>
      <c r="C273" s="1524">
        <v>3130</v>
      </c>
      <c r="D273" s="1524">
        <v>3100</v>
      </c>
      <c r="E273" s="1524">
        <v>3230</v>
      </c>
      <c r="F273" s="1538">
        <v>700</v>
      </c>
    </row>
    <row r="274" spans="1:6" s="1518" customFormat="1" ht="14.25" customHeight="1" thickBot="1">
      <c r="A274" s="1530" t="s">
        <v>1548</v>
      </c>
      <c r="B274" s="1524" t="s">
        <v>1475</v>
      </c>
      <c r="C274" s="1524">
        <v>3460</v>
      </c>
      <c r="D274" s="1524">
        <v>3430</v>
      </c>
      <c r="E274" s="1524">
        <v>3560</v>
      </c>
      <c r="F274" s="1538">
        <v>690</v>
      </c>
    </row>
    <row r="275" spans="1:6" s="1518" customFormat="1" ht="14.25" customHeight="1" thickBot="1">
      <c r="A275" s="1530" t="s">
        <v>1548</v>
      </c>
      <c r="B275" s="1524" t="s">
        <v>1480</v>
      </c>
      <c r="C275" s="1524">
        <v>4040</v>
      </c>
      <c r="D275" s="1524">
        <v>4020</v>
      </c>
      <c r="E275" s="1524">
        <v>4160</v>
      </c>
      <c r="F275" s="1538">
        <v>820</v>
      </c>
    </row>
    <row r="276" spans="1:6" s="1518" customFormat="1" ht="14.25" customHeight="1" thickBot="1">
      <c r="A276" s="1530" t="s">
        <v>1548</v>
      </c>
      <c r="B276" s="1524" t="s">
        <v>1485</v>
      </c>
      <c r="C276" s="1524">
        <v>3270</v>
      </c>
      <c r="D276" s="1524">
        <v>3240</v>
      </c>
      <c r="E276" s="1524">
        <v>3350</v>
      </c>
      <c r="F276" s="1538">
        <v>680</v>
      </c>
    </row>
    <row r="277" spans="1:6" s="1518" customFormat="1" ht="14.25" customHeight="1" thickBot="1">
      <c r="A277" s="1530" t="s">
        <v>1548</v>
      </c>
      <c r="B277" s="1524" t="s">
        <v>1490</v>
      </c>
      <c r="C277" s="1524">
        <v>2930</v>
      </c>
      <c r="D277" s="1524">
        <v>2900</v>
      </c>
      <c r="E277" s="1524">
        <v>3000</v>
      </c>
      <c r="F277" s="1538">
        <v>640</v>
      </c>
    </row>
    <row r="278" spans="1:6" s="1518" customFormat="1" ht="14.25" customHeight="1" thickBot="1">
      <c r="A278" s="1530" t="s">
        <v>1548</v>
      </c>
      <c r="B278" s="1524" t="s">
        <v>1495</v>
      </c>
      <c r="C278" s="1524">
        <v>4080</v>
      </c>
      <c r="D278" s="1524">
        <v>4030</v>
      </c>
      <c r="E278" s="1524">
        <v>4140</v>
      </c>
      <c r="F278" s="1538">
        <v>850</v>
      </c>
    </row>
    <row r="279" spans="1:6" s="1518" customFormat="1" ht="14.25" customHeight="1" thickBot="1">
      <c r="A279" s="1530" t="s">
        <v>1548</v>
      </c>
      <c r="B279" s="1524" t="s">
        <v>1499</v>
      </c>
      <c r="C279" s="1524"/>
      <c r="D279" s="1524"/>
      <c r="E279" s="1524"/>
      <c r="F279" s="1538">
        <v>760</v>
      </c>
    </row>
    <row r="280" spans="1:6" s="1518" customFormat="1" ht="14.25" customHeight="1" thickBot="1">
      <c r="A280" s="1530" t="s">
        <v>1548</v>
      </c>
      <c r="B280" s="1524" t="s">
        <v>1503</v>
      </c>
      <c r="C280" s="1524"/>
      <c r="D280" s="1524"/>
      <c r="E280" s="1524"/>
      <c r="F280" s="1538">
        <v>760</v>
      </c>
    </row>
    <row r="281" spans="1:6" s="1518" customFormat="1" ht="14.25" customHeight="1" thickBot="1">
      <c r="A281" s="1530" t="s">
        <v>1548</v>
      </c>
      <c r="B281" s="1524" t="s">
        <v>1507</v>
      </c>
      <c r="C281" s="1524"/>
      <c r="D281" s="1524"/>
      <c r="E281" s="1524"/>
      <c r="F281" s="1538">
        <v>780</v>
      </c>
    </row>
    <row r="282" spans="1:6" s="1518" customFormat="1" ht="14.25" customHeight="1" thickBot="1">
      <c r="A282" s="1530" t="s">
        <v>1548</v>
      </c>
      <c r="B282" s="1524" t="s">
        <v>1511</v>
      </c>
      <c r="C282" s="1524"/>
      <c r="D282" s="1524"/>
      <c r="E282" s="1524"/>
      <c r="F282" s="1538">
        <v>730</v>
      </c>
    </row>
    <row r="283" spans="1:6" s="1518" customFormat="1" ht="14.25" customHeight="1" thickBot="1">
      <c r="A283" s="1530" t="s">
        <v>1548</v>
      </c>
      <c r="B283" s="1524" t="s">
        <v>1515</v>
      </c>
      <c r="C283" s="1524"/>
      <c r="D283" s="1524"/>
      <c r="E283" s="1524"/>
      <c r="F283" s="1538">
        <v>770</v>
      </c>
    </row>
    <row r="284" spans="1:6" s="1518" customFormat="1" ht="14.25" customHeight="1" thickBot="1">
      <c r="A284" s="1530" t="s">
        <v>1548</v>
      </c>
      <c r="B284" s="1524" t="s">
        <v>1518</v>
      </c>
      <c r="C284" s="1524"/>
      <c r="D284" s="1524"/>
      <c r="E284" s="1524"/>
      <c r="F284" s="1538">
        <v>640</v>
      </c>
    </row>
    <row r="285" spans="1:6" s="1518" customFormat="1" ht="14.25" customHeight="1" thickBot="1">
      <c r="A285" s="1530" t="s">
        <v>1548</v>
      </c>
      <c r="B285" s="1524" t="s">
        <v>1521</v>
      </c>
      <c r="C285" s="1524"/>
      <c r="D285" s="1524"/>
      <c r="E285" s="1524"/>
      <c r="F285" s="1538">
        <v>640</v>
      </c>
    </row>
    <row r="286" spans="1:6" s="1518" customFormat="1" ht="14.25" customHeight="1" thickBot="1">
      <c r="A286" s="1530" t="s">
        <v>1548</v>
      </c>
      <c r="B286" s="1524" t="s">
        <v>1524</v>
      </c>
      <c r="C286" s="1524"/>
      <c r="D286" s="1524"/>
      <c r="E286" s="1524"/>
      <c r="F286" s="1538">
        <v>850</v>
      </c>
    </row>
    <row r="287" spans="1:6" s="1518" customFormat="1" ht="14.25" customHeight="1" thickBot="1">
      <c r="A287" s="1530" t="s">
        <v>1548</v>
      </c>
      <c r="B287" s="1524" t="s">
        <v>1527</v>
      </c>
      <c r="C287" s="1524"/>
      <c r="D287" s="1524"/>
      <c r="E287" s="1524"/>
      <c r="F287" s="1538">
        <v>760</v>
      </c>
    </row>
    <row r="288" spans="1:6" s="1518" customFormat="1" ht="14.25" customHeight="1" thickBot="1">
      <c r="A288" s="1530" t="s">
        <v>1548</v>
      </c>
      <c r="B288" s="1524" t="s">
        <v>1530</v>
      </c>
      <c r="C288" s="1524"/>
      <c r="D288" s="1524"/>
      <c r="E288" s="1524"/>
      <c r="F288" s="1538">
        <v>830</v>
      </c>
    </row>
    <row r="289" spans="1:6" s="1518" customFormat="1" ht="14.25" customHeight="1" thickBot="1">
      <c r="A289" s="1530" t="s">
        <v>1548</v>
      </c>
      <c r="B289" s="1536" t="s">
        <v>1533</v>
      </c>
      <c r="C289" s="1536"/>
      <c r="D289" s="1536"/>
      <c r="E289" s="1536"/>
      <c r="F289" s="1541">
        <v>680</v>
      </c>
    </row>
    <row r="290" spans="1:6" s="1518" customFormat="1" ht="14.25" customHeight="1" thickBot="1">
      <c r="A290" s="1530" t="s">
        <v>1552</v>
      </c>
      <c r="B290" s="1531" t="s">
        <v>1553</v>
      </c>
      <c r="C290" s="1531">
        <v>2770</v>
      </c>
      <c r="D290" s="1531">
        <v>2740</v>
      </c>
      <c r="E290" s="1531">
        <v>2720</v>
      </c>
      <c r="F290" s="1544"/>
    </row>
    <row r="291" spans="1:6" s="1518" customFormat="1" ht="14.25" customHeight="1" thickBot="1">
      <c r="A291" s="1530" t="s">
        <v>1552</v>
      </c>
      <c r="B291" s="1524" t="s">
        <v>1214</v>
      </c>
      <c r="C291" s="1524">
        <v>2670</v>
      </c>
      <c r="D291" s="1524">
        <v>2640</v>
      </c>
      <c r="E291" s="1524">
        <v>2620</v>
      </c>
      <c r="F291" s="1542"/>
    </row>
    <row r="292" spans="1:6" s="1518" customFormat="1" ht="14.25" customHeight="1" thickBot="1">
      <c r="A292" s="1530" t="s">
        <v>1552</v>
      </c>
      <c r="B292" s="1524" t="s">
        <v>1554</v>
      </c>
      <c r="C292" s="1524">
        <v>2180</v>
      </c>
      <c r="D292" s="1524">
        <v>2140</v>
      </c>
      <c r="E292" s="1524">
        <v>2120</v>
      </c>
      <c r="F292" s="1538">
        <v>490</v>
      </c>
    </row>
    <row r="293" spans="1:6" s="1518" customFormat="1" ht="14.25" customHeight="1" thickBot="1">
      <c r="A293" s="1530" t="s">
        <v>1552</v>
      </c>
      <c r="B293" s="1524" t="s">
        <v>1555</v>
      </c>
      <c r="C293" s="1524"/>
      <c r="D293" s="1524"/>
      <c r="E293" s="1524"/>
      <c r="F293" s="1538">
        <v>470</v>
      </c>
    </row>
    <row r="294" spans="1:6" s="1518" customFormat="1" ht="14.25" customHeight="1" thickBot="1">
      <c r="A294" s="1530" t="s">
        <v>1552</v>
      </c>
      <c r="B294" s="1524" t="s">
        <v>1556</v>
      </c>
      <c r="C294" s="1524">
        <v>2730</v>
      </c>
      <c r="D294" s="1524">
        <v>2700</v>
      </c>
      <c r="E294" s="1524">
        <v>2680</v>
      </c>
      <c r="F294" s="1538">
        <v>490</v>
      </c>
    </row>
    <row r="295" spans="1:6" s="1518" customFormat="1" ht="14.25" customHeight="1" thickBot="1">
      <c r="A295" s="1530" t="s">
        <v>1552</v>
      </c>
      <c r="B295" s="1524" t="s">
        <v>1252</v>
      </c>
      <c r="C295" s="1524">
        <v>2380</v>
      </c>
      <c r="D295" s="1524">
        <v>2350</v>
      </c>
      <c r="E295" s="1524">
        <v>2330</v>
      </c>
      <c r="F295" s="1538">
        <v>530</v>
      </c>
    </row>
    <row r="296" spans="1:6" s="1518" customFormat="1" ht="14.25" customHeight="1" thickBot="1">
      <c r="A296" s="1530" t="s">
        <v>1552</v>
      </c>
      <c r="B296" s="1524" t="s">
        <v>1263</v>
      </c>
      <c r="C296" s="1524">
        <v>2650</v>
      </c>
      <c r="D296" s="1524">
        <v>2620</v>
      </c>
      <c r="E296" s="1524">
        <v>2590</v>
      </c>
      <c r="F296" s="1538">
        <v>590</v>
      </c>
    </row>
    <row r="297" spans="1:6" s="1518" customFormat="1" ht="14.25" customHeight="1" thickBot="1">
      <c r="A297" s="1530" t="s">
        <v>1552</v>
      </c>
      <c r="B297" s="1524" t="s">
        <v>1274</v>
      </c>
      <c r="C297" s="1524">
        <v>2700</v>
      </c>
      <c r="D297" s="1524">
        <v>2670</v>
      </c>
      <c r="E297" s="1524">
        <v>2650</v>
      </c>
      <c r="F297" s="1538">
        <v>630</v>
      </c>
    </row>
    <row r="298" spans="1:6" s="1518" customFormat="1" ht="14.25" customHeight="1" thickBot="1">
      <c r="A298" s="1530" t="s">
        <v>1552</v>
      </c>
      <c r="B298" s="1524" t="s">
        <v>1285</v>
      </c>
      <c r="C298" s="1524">
        <v>2650</v>
      </c>
      <c r="D298" s="1524">
        <v>2620</v>
      </c>
      <c r="E298" s="1524">
        <v>2590</v>
      </c>
      <c r="F298" s="1538">
        <v>640</v>
      </c>
    </row>
    <row r="299" spans="1:6" s="1518" customFormat="1" ht="14.25" customHeight="1" thickBot="1">
      <c r="A299" s="1530" t="s">
        <v>1552</v>
      </c>
      <c r="B299" s="1524" t="s">
        <v>1297</v>
      </c>
      <c r="C299" s="1524">
        <v>2500</v>
      </c>
      <c r="D299" s="1524">
        <v>2480</v>
      </c>
      <c r="E299" s="1524">
        <v>2460</v>
      </c>
      <c r="F299" s="1542"/>
    </row>
    <row r="300" spans="1:6" s="1518" customFormat="1" ht="14.25" customHeight="1" thickBot="1">
      <c r="A300" s="1530" t="s">
        <v>1552</v>
      </c>
      <c r="B300" s="1524" t="s">
        <v>1307</v>
      </c>
      <c r="C300" s="1524">
        <v>2760</v>
      </c>
      <c r="D300" s="1524">
        <v>2730</v>
      </c>
      <c r="E300" s="1524">
        <v>2700</v>
      </c>
      <c r="F300" s="1538">
        <v>630</v>
      </c>
    </row>
    <row r="301" spans="1:6" s="1518" customFormat="1" ht="14.25" customHeight="1" thickBot="1">
      <c r="A301" s="1530" t="s">
        <v>1552</v>
      </c>
      <c r="B301" s="1524" t="s">
        <v>1317</v>
      </c>
      <c r="C301" s="1524">
        <v>2510</v>
      </c>
      <c r="D301" s="1524">
        <v>2480</v>
      </c>
      <c r="E301" s="1524">
        <v>2460</v>
      </c>
      <c r="F301" s="1542"/>
    </row>
    <row r="302" spans="1:6" s="1518" customFormat="1" ht="14.25" customHeight="1" thickBot="1">
      <c r="A302" s="1530" t="s">
        <v>1552</v>
      </c>
      <c r="B302" s="1524" t="s">
        <v>1327</v>
      </c>
      <c r="C302" s="1524">
        <v>2480</v>
      </c>
      <c r="D302" s="1524">
        <v>2450</v>
      </c>
      <c r="E302" s="1524">
        <v>2420</v>
      </c>
      <c r="F302" s="1538">
        <v>600</v>
      </c>
    </row>
    <row r="303" spans="1:6" s="1518" customFormat="1" ht="14.25" customHeight="1" thickBot="1">
      <c r="A303" s="1530" t="s">
        <v>1552</v>
      </c>
      <c r="B303" s="1524" t="s">
        <v>1337</v>
      </c>
      <c r="C303" s="1524">
        <v>2270</v>
      </c>
      <c r="D303" s="1524">
        <v>2240</v>
      </c>
      <c r="E303" s="1524">
        <v>2210</v>
      </c>
      <c r="F303" s="1538">
        <v>540</v>
      </c>
    </row>
    <row r="304" spans="1:6" s="1518" customFormat="1" ht="14.25" customHeight="1" thickBot="1">
      <c r="A304" s="1530" t="s">
        <v>1552</v>
      </c>
      <c r="B304" s="1524" t="s">
        <v>1348</v>
      </c>
      <c r="C304" s="1524">
        <v>2310</v>
      </c>
      <c r="D304" s="1524">
        <v>2290</v>
      </c>
      <c r="E304" s="1524">
        <v>2270</v>
      </c>
      <c r="F304" s="1542"/>
    </row>
    <row r="305" spans="1:6" s="1518" customFormat="1" ht="14.25" customHeight="1" thickBot="1">
      <c r="A305" s="1530" t="s">
        <v>1552</v>
      </c>
      <c r="B305" s="1524" t="s">
        <v>1359</v>
      </c>
      <c r="C305" s="1524">
        <v>2490</v>
      </c>
      <c r="D305" s="1524">
        <v>2470</v>
      </c>
      <c r="E305" s="1524">
        <v>2440</v>
      </c>
      <c r="F305" s="1538">
        <v>560</v>
      </c>
    </row>
    <row r="306" spans="1:6" s="1518" customFormat="1" ht="14.25" customHeight="1" thickBot="1">
      <c r="A306" s="1530" t="s">
        <v>1552</v>
      </c>
      <c r="B306" s="1524" t="s">
        <v>1369</v>
      </c>
      <c r="C306" s="1524">
        <v>2420</v>
      </c>
      <c r="D306" s="1524">
        <v>2400</v>
      </c>
      <c r="E306" s="1524">
        <v>2380</v>
      </c>
      <c r="F306" s="1542"/>
    </row>
    <row r="307" spans="1:6" s="1518" customFormat="1" ht="14.25" customHeight="1" thickBot="1">
      <c r="A307" s="1530" t="s">
        <v>1552</v>
      </c>
      <c r="B307" s="1524" t="s">
        <v>1379</v>
      </c>
      <c r="C307" s="1524">
        <v>2770</v>
      </c>
      <c r="D307" s="1524">
        <v>2740</v>
      </c>
      <c r="E307" s="1524">
        <v>2710</v>
      </c>
      <c r="F307" s="1538">
        <v>650</v>
      </c>
    </row>
    <row r="308" spans="1:6" s="1518" customFormat="1" ht="14.25" customHeight="1" thickBot="1">
      <c r="A308" s="1530" t="s">
        <v>1552</v>
      </c>
      <c r="B308" s="1524" t="s">
        <v>1389</v>
      </c>
      <c r="C308" s="1524">
        <v>2610</v>
      </c>
      <c r="D308" s="1524">
        <v>2580</v>
      </c>
      <c r="E308" s="1524">
        <v>2550</v>
      </c>
      <c r="F308" s="1538">
        <v>580</v>
      </c>
    </row>
    <row r="309" spans="1:6" s="1518" customFormat="1" ht="14.25" customHeight="1" thickBot="1">
      <c r="A309" s="1530" t="s">
        <v>1552</v>
      </c>
      <c r="B309" s="1524" t="s">
        <v>1399</v>
      </c>
      <c r="C309" s="1524">
        <v>2690</v>
      </c>
      <c r="D309" s="1524">
        <v>2670</v>
      </c>
      <c r="E309" s="1524">
        <v>2650</v>
      </c>
      <c r="F309" s="1542"/>
    </row>
    <row r="310" spans="1:6" s="1518" customFormat="1" ht="14.25" customHeight="1" thickBot="1">
      <c r="A310" s="1530" t="s">
        <v>1552</v>
      </c>
      <c r="B310" s="1524" t="s">
        <v>1408</v>
      </c>
      <c r="C310" s="1524">
        <v>2360</v>
      </c>
      <c r="D310" s="1524">
        <v>2330</v>
      </c>
      <c r="E310" s="1524">
        <v>2310</v>
      </c>
      <c r="F310" s="1538">
        <v>560</v>
      </c>
    </row>
    <row r="311" spans="1:6" s="1518" customFormat="1" ht="14.25" customHeight="1" thickBot="1">
      <c r="A311" s="1530" t="s">
        <v>1552</v>
      </c>
      <c r="B311" s="1524" t="s">
        <v>1417</v>
      </c>
      <c r="C311" s="1524">
        <v>1970</v>
      </c>
      <c r="D311" s="1524">
        <v>1950</v>
      </c>
      <c r="E311" s="1524">
        <v>1920</v>
      </c>
      <c r="F311" s="1538">
        <v>470</v>
      </c>
    </row>
    <row r="312" spans="1:6" s="1518" customFormat="1" ht="14.25" customHeight="1" thickBot="1">
      <c r="A312" s="1530" t="s">
        <v>1552</v>
      </c>
      <c r="B312" s="1524" t="s">
        <v>1425</v>
      </c>
      <c r="C312" s="1524">
        <v>2230</v>
      </c>
      <c r="D312" s="1524">
        <v>2200</v>
      </c>
      <c r="E312" s="1524">
        <v>2170</v>
      </c>
      <c r="F312" s="1538">
        <v>460</v>
      </c>
    </row>
    <row r="313" spans="1:6" s="1518" customFormat="1" ht="14.25" customHeight="1" thickBot="1">
      <c r="A313" s="1530" t="s">
        <v>1552</v>
      </c>
      <c r="B313" s="1524" t="s">
        <v>1432</v>
      </c>
      <c r="C313" s="1524">
        <v>2770</v>
      </c>
      <c r="D313" s="1524">
        <v>2740</v>
      </c>
      <c r="E313" s="1524">
        <v>2710</v>
      </c>
      <c r="F313" s="1538">
        <v>610</v>
      </c>
    </row>
    <row r="314" spans="1:6" s="1518" customFormat="1" ht="14.25" customHeight="1" thickBot="1">
      <c r="A314" s="1530" t="s">
        <v>1552</v>
      </c>
      <c r="B314" s="1524" t="s">
        <v>1439</v>
      </c>
      <c r="C314" s="1524"/>
      <c r="D314" s="1524"/>
      <c r="E314" s="1524"/>
      <c r="F314" s="1538">
        <v>490</v>
      </c>
    </row>
    <row r="315" spans="1:6" s="1518" customFormat="1" ht="14.25" customHeight="1" thickBot="1">
      <c r="A315" s="1530" t="s">
        <v>1552</v>
      </c>
      <c r="B315" s="1524" t="s">
        <v>1446</v>
      </c>
      <c r="C315" s="1524"/>
      <c r="D315" s="1524"/>
      <c r="E315" s="1524"/>
      <c r="F315" s="1538">
        <v>520</v>
      </c>
    </row>
    <row r="316" spans="1:6" s="1518" customFormat="1" ht="14.25" customHeight="1" thickBot="1">
      <c r="A316" s="1530" t="s">
        <v>1552</v>
      </c>
      <c r="B316" s="1536" t="s">
        <v>1453</v>
      </c>
      <c r="C316" s="1536"/>
      <c r="D316" s="1536"/>
      <c r="E316" s="1536"/>
      <c r="F316" s="1541">
        <v>460</v>
      </c>
    </row>
    <row r="317" spans="1:6" s="1518" customFormat="1" ht="14.25" customHeight="1" thickBot="1">
      <c r="A317" s="1530" t="s">
        <v>1339</v>
      </c>
      <c r="B317" s="1531" t="s">
        <v>1557</v>
      </c>
      <c r="C317" s="1531">
        <v>1200</v>
      </c>
      <c r="D317" s="1531">
        <v>1180</v>
      </c>
      <c r="E317" s="1531">
        <v>1160</v>
      </c>
      <c r="F317" s="1532">
        <v>370</v>
      </c>
    </row>
    <row r="318" spans="1:6" s="1518" customFormat="1" ht="14.25" customHeight="1" thickBot="1">
      <c r="A318" s="1530" t="s">
        <v>1339</v>
      </c>
      <c r="B318" s="1524" t="s">
        <v>1558</v>
      </c>
      <c r="C318" s="1524">
        <v>1090</v>
      </c>
      <c r="D318" s="1524">
        <v>1060</v>
      </c>
      <c r="E318" s="1524">
        <v>1040</v>
      </c>
      <c r="F318" s="1542"/>
    </row>
    <row r="319" spans="1:6" s="1518" customFormat="1" ht="14.25" customHeight="1" thickBot="1">
      <c r="A319" s="1530" t="s">
        <v>1339</v>
      </c>
      <c r="B319" s="1524" t="s">
        <v>1559</v>
      </c>
      <c r="C319" s="1524">
        <v>1520</v>
      </c>
      <c r="D319" s="1524">
        <v>1470</v>
      </c>
      <c r="E319" s="1524">
        <v>1440</v>
      </c>
      <c r="F319" s="1538">
        <v>370</v>
      </c>
    </row>
    <row r="320" spans="1:6" s="1518" customFormat="1" ht="14.25" customHeight="1" thickBot="1">
      <c r="A320" s="1530" t="s">
        <v>1339</v>
      </c>
      <c r="B320" s="1524" t="s">
        <v>1241</v>
      </c>
      <c r="C320" s="1524">
        <v>1360</v>
      </c>
      <c r="D320" s="1524">
        <v>1300</v>
      </c>
      <c r="E320" s="1524">
        <v>1270</v>
      </c>
      <c r="F320" s="1542"/>
    </row>
    <row r="321" spans="1:6" s="1518" customFormat="1" ht="14.25" customHeight="1" thickBot="1">
      <c r="A321" s="1530" t="s">
        <v>1339</v>
      </c>
      <c r="B321" s="1524" t="s">
        <v>1253</v>
      </c>
      <c r="C321" s="1524">
        <v>1750</v>
      </c>
      <c r="D321" s="1524">
        <v>1690</v>
      </c>
      <c r="E321" s="1524">
        <v>1660</v>
      </c>
      <c r="F321" s="1542"/>
    </row>
    <row r="322" spans="1:6" s="1518" customFormat="1" ht="14.25" customHeight="1" thickBot="1">
      <c r="A322" s="1530" t="s">
        <v>1339</v>
      </c>
      <c r="B322" s="1524" t="s">
        <v>1264</v>
      </c>
      <c r="C322" s="1524">
        <v>1650</v>
      </c>
      <c r="D322" s="1524">
        <v>1610</v>
      </c>
      <c r="E322" s="1524">
        <v>1580</v>
      </c>
      <c r="F322" s="1538">
        <v>500</v>
      </c>
    </row>
    <row r="323" spans="1:6" s="1518" customFormat="1" ht="14.25" customHeight="1" thickBot="1">
      <c r="A323" s="1530" t="s">
        <v>1339</v>
      </c>
      <c r="B323" s="1524" t="s">
        <v>1275</v>
      </c>
      <c r="C323" s="1524">
        <v>1780</v>
      </c>
      <c r="D323" s="1524">
        <v>1740</v>
      </c>
      <c r="E323" s="1524">
        <v>1720</v>
      </c>
      <c r="F323" s="1542"/>
    </row>
    <row r="324" spans="1:6" s="1518" customFormat="1" ht="14.25" customHeight="1" thickBot="1">
      <c r="A324" s="1530" t="s">
        <v>1339</v>
      </c>
      <c r="B324" s="1524" t="s">
        <v>1286</v>
      </c>
      <c r="C324" s="1524">
        <v>1650</v>
      </c>
      <c r="D324" s="1524">
        <v>1610</v>
      </c>
      <c r="E324" s="1524">
        <v>1580</v>
      </c>
      <c r="F324" s="1542"/>
    </row>
    <row r="325" spans="1:6" s="1518" customFormat="1" ht="14.25" customHeight="1" thickBot="1">
      <c r="A325" s="1530" t="s">
        <v>1339</v>
      </c>
      <c r="B325" s="1524" t="s">
        <v>1298</v>
      </c>
      <c r="C325" s="1524">
        <v>1330</v>
      </c>
      <c r="D325" s="1524">
        <v>1270</v>
      </c>
      <c r="E325" s="1524">
        <v>1240</v>
      </c>
      <c r="F325" s="1538">
        <v>430</v>
      </c>
    </row>
    <row r="326" spans="1:6" s="1518" customFormat="1" ht="14.25" customHeight="1" thickBot="1">
      <c r="A326" s="1530" t="s">
        <v>1339</v>
      </c>
      <c r="B326" s="1524" t="s">
        <v>1308</v>
      </c>
      <c r="C326" s="1524">
        <v>1470</v>
      </c>
      <c r="D326" s="1524">
        <v>1430</v>
      </c>
      <c r="E326" s="1524">
        <v>1400</v>
      </c>
      <c r="F326" s="1542"/>
    </row>
    <row r="327" spans="1:6" s="1518" customFormat="1" ht="14.25" customHeight="1" thickBot="1">
      <c r="A327" s="1530" t="s">
        <v>1339</v>
      </c>
      <c r="B327" s="1524" t="s">
        <v>1318</v>
      </c>
      <c r="C327" s="1524">
        <v>1420</v>
      </c>
      <c r="D327" s="1524">
        <v>1380</v>
      </c>
      <c r="E327" s="1524">
        <v>1360</v>
      </c>
      <c r="F327" s="1538">
        <v>420</v>
      </c>
    </row>
    <row r="328" spans="1:6" s="1518" customFormat="1" ht="14.25" customHeight="1" thickBot="1">
      <c r="A328" s="1530" t="s">
        <v>1339</v>
      </c>
      <c r="B328" s="1524" t="s">
        <v>1328</v>
      </c>
      <c r="C328" s="1524">
        <v>1400</v>
      </c>
      <c r="D328" s="1524">
        <v>1360</v>
      </c>
      <c r="E328" s="1524">
        <v>1330</v>
      </c>
      <c r="F328" s="1538">
        <v>460</v>
      </c>
    </row>
    <row r="329" spans="1:6" s="1518" customFormat="1" ht="14.25" customHeight="1" thickBot="1">
      <c r="A329" s="1530" t="s">
        <v>1339</v>
      </c>
      <c r="B329" s="1524" t="s">
        <v>1338</v>
      </c>
      <c r="C329" s="1524">
        <v>1640</v>
      </c>
      <c r="D329" s="1524">
        <v>1610</v>
      </c>
      <c r="E329" s="1524">
        <v>1580</v>
      </c>
      <c r="F329" s="1538">
        <v>410</v>
      </c>
    </row>
    <row r="330" spans="1:6" s="1518" customFormat="1" ht="14.25" customHeight="1" thickBot="1">
      <c r="A330" s="1530" t="s">
        <v>1339</v>
      </c>
      <c r="B330" s="1524" t="s">
        <v>1349</v>
      </c>
      <c r="C330" s="1524">
        <v>1260</v>
      </c>
      <c r="D330" s="1524">
        <v>1220</v>
      </c>
      <c r="E330" s="1524">
        <v>1200</v>
      </c>
      <c r="F330" s="1542"/>
    </row>
    <row r="331" spans="1:6" s="1518" customFormat="1" ht="14.25" customHeight="1" thickBot="1">
      <c r="A331" s="1530" t="s">
        <v>1339</v>
      </c>
      <c r="B331" s="1524" t="s">
        <v>1360</v>
      </c>
      <c r="C331" s="1524">
        <v>1620</v>
      </c>
      <c r="D331" s="1524">
        <v>1560</v>
      </c>
      <c r="E331" s="1524">
        <v>1530</v>
      </c>
      <c r="F331" s="1538">
        <v>490</v>
      </c>
    </row>
    <row r="332" spans="1:6" s="1518" customFormat="1" ht="14.25" customHeight="1" thickBot="1">
      <c r="A332" s="1530" t="s">
        <v>1339</v>
      </c>
      <c r="B332" s="1524" t="s">
        <v>1370</v>
      </c>
      <c r="C332" s="1524">
        <v>1520</v>
      </c>
      <c r="D332" s="1524">
        <v>1470</v>
      </c>
      <c r="E332" s="1524">
        <v>1440</v>
      </c>
      <c r="F332" s="1538">
        <v>440</v>
      </c>
    </row>
    <row r="333" spans="1:6" s="1518" customFormat="1" ht="14.25" customHeight="1" thickBot="1">
      <c r="A333" s="1530" t="s">
        <v>1339</v>
      </c>
      <c r="B333" s="1524" t="s">
        <v>1380</v>
      </c>
      <c r="C333" s="1524">
        <v>1370</v>
      </c>
      <c r="D333" s="1524">
        <v>1320</v>
      </c>
      <c r="E333" s="1524">
        <v>1300</v>
      </c>
      <c r="F333" s="1538">
        <v>460</v>
      </c>
    </row>
    <row r="334" spans="1:6" s="1518" customFormat="1" ht="14.25" customHeight="1" thickBot="1">
      <c r="A334" s="1530" t="s">
        <v>1339</v>
      </c>
      <c r="B334" s="1524" t="s">
        <v>1390</v>
      </c>
      <c r="C334" s="1524">
        <v>1410</v>
      </c>
      <c r="D334" s="1524">
        <v>1340</v>
      </c>
      <c r="E334" s="1524">
        <v>1310</v>
      </c>
      <c r="F334" s="1538">
        <v>410</v>
      </c>
    </row>
    <row r="335" spans="1:6" s="1518" customFormat="1" ht="14.25" customHeight="1" thickBot="1">
      <c r="A335" s="1530" t="s">
        <v>1339</v>
      </c>
      <c r="B335" s="1524" t="s">
        <v>1400</v>
      </c>
      <c r="C335" s="1524">
        <v>1260</v>
      </c>
      <c r="D335" s="1524">
        <v>1220</v>
      </c>
      <c r="E335" s="1524">
        <v>1200</v>
      </c>
      <c r="F335" s="1542"/>
    </row>
    <row r="336" spans="1:6" s="1518" customFormat="1" ht="14.25" customHeight="1" thickBot="1">
      <c r="A336" s="1530" t="s">
        <v>1339</v>
      </c>
      <c r="B336" s="1524" t="s">
        <v>1409</v>
      </c>
      <c r="C336" s="1524">
        <v>1160</v>
      </c>
      <c r="D336" s="1524">
        <v>1140</v>
      </c>
      <c r="E336" s="1524">
        <v>1120</v>
      </c>
      <c r="F336" s="1538">
        <v>430</v>
      </c>
    </row>
    <row r="337" spans="1:6" s="1518" customFormat="1" ht="14.25" customHeight="1" thickBot="1">
      <c r="A337" s="1530" t="s">
        <v>1339</v>
      </c>
      <c r="B337" s="1536" t="s">
        <v>1418</v>
      </c>
      <c r="C337" s="1536"/>
      <c r="D337" s="1536"/>
      <c r="E337" s="1536"/>
      <c r="F337" s="1541">
        <v>380</v>
      </c>
    </row>
    <row r="338" spans="1:6" s="1518" customFormat="1" ht="14.25" customHeight="1" thickBot="1">
      <c r="A338" s="1530" t="s">
        <v>1350</v>
      </c>
      <c r="B338" s="1531" t="s">
        <v>1560</v>
      </c>
      <c r="C338" s="1531">
        <v>880</v>
      </c>
      <c r="D338" s="1531">
        <v>850</v>
      </c>
      <c r="E338" s="1531">
        <v>830</v>
      </c>
      <c r="F338" s="1544"/>
    </row>
    <row r="339" spans="1:6" s="1518" customFormat="1" ht="14.25" customHeight="1" thickBot="1">
      <c r="A339" s="1530" t="s">
        <v>1350</v>
      </c>
      <c r="B339" s="1524" t="s">
        <v>1561</v>
      </c>
      <c r="C339" s="1524">
        <v>830</v>
      </c>
      <c r="D339" s="1524">
        <v>800</v>
      </c>
      <c r="E339" s="1524">
        <v>780</v>
      </c>
      <c r="F339" s="1542"/>
    </row>
    <row r="340" spans="1:6" s="1518" customFormat="1" ht="14.25" customHeight="1" thickBot="1">
      <c r="A340" s="1530" t="s">
        <v>1350</v>
      </c>
      <c r="B340" s="1524" t="s">
        <v>1562</v>
      </c>
      <c r="C340" s="1524">
        <v>980</v>
      </c>
      <c r="D340" s="1524">
        <v>950</v>
      </c>
      <c r="E340" s="1524">
        <v>920</v>
      </c>
      <c r="F340" s="1542"/>
    </row>
    <row r="341" spans="1:6" s="1518" customFormat="1" ht="14.25" customHeight="1" thickBot="1">
      <c r="A341" s="1530" t="s">
        <v>1350</v>
      </c>
      <c r="B341" s="1524" t="s">
        <v>1563</v>
      </c>
      <c r="C341" s="1524">
        <v>760</v>
      </c>
      <c r="D341" s="1524">
        <v>720</v>
      </c>
      <c r="E341" s="1524">
        <v>690</v>
      </c>
      <c r="F341" s="1538">
        <v>350</v>
      </c>
    </row>
    <row r="342" spans="1:6" s="1518" customFormat="1" ht="14.25" customHeight="1" thickBot="1">
      <c r="A342" s="1530" t="s">
        <v>1350</v>
      </c>
      <c r="B342" s="1524" t="s">
        <v>1254</v>
      </c>
      <c r="C342" s="1524">
        <v>910</v>
      </c>
      <c r="D342" s="1524">
        <v>870</v>
      </c>
      <c r="E342" s="1524">
        <v>850</v>
      </c>
      <c r="F342" s="1538">
        <v>370</v>
      </c>
    </row>
    <row r="343" spans="1:6" s="1518" customFormat="1" ht="14.25" customHeight="1" thickBot="1">
      <c r="A343" s="1530" t="s">
        <v>1350</v>
      </c>
      <c r="B343" s="1524" t="s">
        <v>1265</v>
      </c>
      <c r="C343" s="1524">
        <v>800</v>
      </c>
      <c r="D343" s="1524">
        <v>760</v>
      </c>
      <c r="E343" s="1524">
        <v>730</v>
      </c>
      <c r="F343" s="1538">
        <v>340</v>
      </c>
    </row>
    <row r="344" spans="1:6" s="1518" customFormat="1" ht="14.25" customHeight="1" thickBot="1">
      <c r="A344" s="1530" t="s">
        <v>1350</v>
      </c>
      <c r="B344" s="1536" t="s">
        <v>1276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3.5"/>
  <cols>
    <col min="1" max="1" width="12.625" style="1545" customWidth="1"/>
    <col min="2" max="2" width="10.25" style="1490" customWidth="1"/>
  </cols>
  <sheetData>
    <row r="1" spans="1:6">
      <c r="A1" s="3749" t="s">
        <v>2140</v>
      </c>
      <c r="B1" s="3749"/>
    </row>
    <row r="2" spans="1:6" ht="14.25" thickBot="1">
      <c r="A2" s="2112"/>
      <c r="B2" s="2112"/>
    </row>
    <row r="3" spans="1:6" ht="14.25" thickBot="1">
      <c r="A3" s="2112"/>
      <c r="B3" s="2112"/>
      <c r="C3" s="2116" t="s">
        <v>2143</v>
      </c>
      <c r="D3" s="2116" t="s">
        <v>2144</v>
      </c>
      <c r="E3" s="2116" t="s">
        <v>2145</v>
      </c>
      <c r="F3" s="2116" t="s">
        <v>2146</v>
      </c>
    </row>
    <row r="4" spans="1:6" ht="14.25" thickBot="1">
      <c r="A4" s="2114" t="s">
        <v>2141</v>
      </c>
      <c r="B4" s="2115" t="s">
        <v>2142</v>
      </c>
      <c r="C4" s="2116"/>
      <c r="D4" s="2116"/>
      <c r="E4" s="2116"/>
      <c r="F4" s="2116"/>
    </row>
    <row r="5" spans="1:6" ht="14.25" thickBot="1">
      <c r="A5" s="1530" t="s">
        <v>2147</v>
      </c>
      <c r="B5" s="1531" t="s">
        <v>2148</v>
      </c>
      <c r="C5" s="2117">
        <v>8.8999999999999996E-2</v>
      </c>
      <c r="D5" s="2117">
        <v>7.3999999999999996E-2</v>
      </c>
      <c r="E5" s="2117">
        <v>7.4999999999999997E-2</v>
      </c>
      <c r="F5" s="2118">
        <v>0.1</v>
      </c>
    </row>
    <row r="6" spans="1:6" ht="14.25" thickBot="1">
      <c r="A6" s="1530" t="s">
        <v>1230</v>
      </c>
      <c r="B6" s="1524" t="s">
        <v>2149</v>
      </c>
      <c r="C6" s="2119">
        <v>0.1</v>
      </c>
      <c r="D6" s="2119">
        <v>9.0999999999999998E-2</v>
      </c>
      <c r="E6" s="2119">
        <v>9.0999999999999998E-2</v>
      </c>
      <c r="F6" s="2120">
        <v>0.1</v>
      </c>
    </row>
    <row r="7" spans="1:6" ht="14.25" thickBot="1">
      <c r="A7" s="1530" t="s">
        <v>1230</v>
      </c>
      <c r="B7" s="1534" t="s">
        <v>1219</v>
      </c>
      <c r="C7" s="2119">
        <v>8.5999999999999993E-2</v>
      </c>
      <c r="D7" s="2119">
        <v>9.6000000000000002E-2</v>
      </c>
      <c r="E7" s="2119">
        <v>7.5999999999999998E-2</v>
      </c>
      <c r="F7" s="2120">
        <v>0.1</v>
      </c>
    </row>
    <row r="8" spans="1:6" ht="14.25" thickBot="1">
      <c r="A8" s="1530" t="s">
        <v>1230</v>
      </c>
      <c r="B8" s="1524" t="s">
        <v>1231</v>
      </c>
      <c r="C8" s="2119">
        <v>9.9000000000000005E-2</v>
      </c>
      <c r="D8" s="2119">
        <v>9.8000000000000004E-2</v>
      </c>
      <c r="E8" s="2119">
        <v>9.8000000000000004E-2</v>
      </c>
      <c r="F8" s="2120">
        <v>0.1</v>
      </c>
    </row>
    <row r="9" spans="1:6" ht="14.25" thickBot="1">
      <c r="A9" s="1540" t="s">
        <v>1230</v>
      </c>
      <c r="B9" s="1535" t="s">
        <v>1243</v>
      </c>
      <c r="C9" s="2121">
        <v>0.05</v>
      </c>
      <c r="D9" s="2129"/>
      <c r="E9" s="2129"/>
      <c r="F9" s="2130"/>
    </row>
    <row r="10" spans="1:6" ht="14.25" thickBot="1">
      <c r="A10" s="1530" t="s">
        <v>1287</v>
      </c>
      <c r="B10" s="1531" t="s">
        <v>2150</v>
      </c>
      <c r="C10" s="2117">
        <v>8.8999999999999996E-2</v>
      </c>
      <c r="D10" s="2117">
        <v>7.2999999999999995E-2</v>
      </c>
      <c r="E10" s="2117">
        <v>8.2000000000000003E-2</v>
      </c>
      <c r="F10" s="2118">
        <v>0.1</v>
      </c>
    </row>
    <row r="11" spans="1:6" ht="14.25" thickBot="1">
      <c r="A11" s="1530" t="s">
        <v>1287</v>
      </c>
      <c r="B11" s="1534" t="s">
        <v>1206</v>
      </c>
      <c r="C11" s="2119">
        <v>8.8999999999999996E-2</v>
      </c>
      <c r="D11" s="2119">
        <v>7.2999999999999995E-2</v>
      </c>
      <c r="E11" s="2119">
        <v>8.2000000000000003E-2</v>
      </c>
      <c r="F11" s="2120">
        <v>0.1</v>
      </c>
    </row>
    <row r="12" spans="1:6" ht="14.25" thickBot="1">
      <c r="A12" s="1530" t="s">
        <v>1287</v>
      </c>
      <c r="B12" s="1534" t="s">
        <v>1142</v>
      </c>
      <c r="C12" s="2119">
        <v>6.0999999999999999E-2</v>
      </c>
      <c r="D12" s="2119">
        <v>7.0999999999999994E-2</v>
      </c>
      <c r="E12" s="2119">
        <v>9.6000000000000002E-2</v>
      </c>
      <c r="F12" s="2120">
        <v>0.1</v>
      </c>
    </row>
    <row r="13" spans="1:6" ht="14.25" thickBot="1">
      <c r="A13" s="1530" t="s">
        <v>1287</v>
      </c>
      <c r="B13" s="1534" t="s">
        <v>1232</v>
      </c>
      <c r="C13" s="2119">
        <v>6.9000000000000006E-2</v>
      </c>
      <c r="D13" s="2119">
        <v>6.5000000000000002E-2</v>
      </c>
      <c r="E13" s="2119">
        <v>6.6000000000000003E-2</v>
      </c>
      <c r="F13" s="2120">
        <v>0.1</v>
      </c>
    </row>
    <row r="14" spans="1:6" ht="14.25" thickBot="1">
      <c r="A14" s="1530" t="s">
        <v>1287</v>
      </c>
      <c r="B14" s="1534" t="s">
        <v>1244</v>
      </c>
      <c r="C14" s="2119">
        <v>0.1</v>
      </c>
      <c r="D14" s="2119">
        <v>6.5000000000000002E-2</v>
      </c>
      <c r="E14" s="2119">
        <v>7.0000000000000007E-2</v>
      </c>
      <c r="F14" s="2120">
        <v>0.1</v>
      </c>
    </row>
    <row r="15" spans="1:6" ht="14.25" thickBot="1">
      <c r="A15" s="1530" t="s">
        <v>1287</v>
      </c>
      <c r="B15" s="1534" t="s">
        <v>1255</v>
      </c>
      <c r="C15" s="2119">
        <v>9.8000000000000004E-2</v>
      </c>
      <c r="D15" s="2119">
        <v>8.8999999999999996E-2</v>
      </c>
      <c r="E15" s="2119">
        <v>8.8999999999999996E-2</v>
      </c>
      <c r="F15" s="2120">
        <v>0.1</v>
      </c>
    </row>
    <row r="16" spans="1:6" ht="14.25" thickBot="1">
      <c r="A16" s="1530" t="s">
        <v>1287</v>
      </c>
      <c r="B16" s="1534" t="s">
        <v>1266</v>
      </c>
      <c r="C16" s="2119">
        <v>7.0000000000000007E-2</v>
      </c>
      <c r="D16" s="2119">
        <v>9.2999999999999999E-2</v>
      </c>
      <c r="E16" s="2119">
        <v>9.6000000000000002E-2</v>
      </c>
      <c r="F16" s="2120">
        <v>0.1</v>
      </c>
    </row>
    <row r="17" spans="1:6" ht="14.25" thickBot="1">
      <c r="A17" s="1530" t="s">
        <v>1287</v>
      </c>
      <c r="B17" s="1534" t="s">
        <v>1277</v>
      </c>
      <c r="C17" s="2119">
        <v>9.5000000000000001E-2</v>
      </c>
      <c r="D17" s="2119">
        <v>0.1</v>
      </c>
      <c r="E17" s="2119">
        <v>0.1</v>
      </c>
      <c r="F17" s="2131"/>
    </row>
    <row r="18" spans="1:6" ht="14.25" thickBot="1">
      <c r="A18" s="1530" t="s">
        <v>1287</v>
      </c>
      <c r="B18" s="1534" t="s">
        <v>1289</v>
      </c>
      <c r="C18" s="2119">
        <v>7.3999999999999996E-2</v>
      </c>
      <c r="D18" s="2119">
        <v>9.9000000000000005E-2</v>
      </c>
      <c r="E18" s="2119">
        <v>0.1</v>
      </c>
      <c r="F18" s="2131"/>
    </row>
    <row r="19" spans="1:6" ht="14.25" thickBot="1">
      <c r="A19" s="1530" t="s">
        <v>1287</v>
      </c>
      <c r="B19" s="1534" t="s">
        <v>1299</v>
      </c>
      <c r="C19" s="2119">
        <v>9.9000000000000005E-2</v>
      </c>
      <c r="D19" s="2119">
        <v>7.5999999999999998E-2</v>
      </c>
      <c r="E19" s="2119">
        <v>8.6999999999999994E-2</v>
      </c>
      <c r="F19" s="2131"/>
    </row>
    <row r="20" spans="1:6" ht="14.25" thickBot="1">
      <c r="A20" s="1530" t="s">
        <v>1287</v>
      </c>
      <c r="B20" s="1534" t="s">
        <v>1309</v>
      </c>
      <c r="C20" s="2119">
        <v>9.8000000000000004E-2</v>
      </c>
      <c r="D20" s="2119">
        <v>8.5000000000000006E-2</v>
      </c>
      <c r="E20" s="2119">
        <v>8.2000000000000003E-2</v>
      </c>
      <c r="F20" s="2131"/>
    </row>
    <row r="21" spans="1:6" ht="14.25" thickBot="1">
      <c r="A21" s="1530" t="s">
        <v>1287</v>
      </c>
      <c r="B21" s="1534" t="s">
        <v>1319</v>
      </c>
      <c r="C21" s="2119">
        <v>6.6000000000000003E-2</v>
      </c>
      <c r="D21" s="2119">
        <v>6.4000000000000001E-2</v>
      </c>
      <c r="E21" s="2119">
        <v>6.5000000000000002E-2</v>
      </c>
      <c r="F21" s="2131"/>
    </row>
    <row r="22" spans="1:6" ht="14.25" thickBot="1">
      <c r="A22" s="1530" t="s">
        <v>1287</v>
      </c>
      <c r="B22" s="1534" t="s">
        <v>2151</v>
      </c>
      <c r="C22" s="2119">
        <v>0.08</v>
      </c>
      <c r="D22" s="2119">
        <v>9.8000000000000004E-2</v>
      </c>
      <c r="E22" s="2119">
        <v>9.8000000000000004E-2</v>
      </c>
      <c r="F22" s="2131"/>
    </row>
    <row r="23" spans="1:6" ht="14.25" thickBot="1">
      <c r="A23" s="1530" t="s">
        <v>1287</v>
      </c>
      <c r="B23" s="1534" t="s">
        <v>1340</v>
      </c>
      <c r="C23" s="2119">
        <v>9.9000000000000005E-2</v>
      </c>
      <c r="D23" s="2119">
        <v>9.8000000000000004E-2</v>
      </c>
      <c r="E23" s="2119">
        <v>9.0999999999999998E-2</v>
      </c>
      <c r="F23" s="2131"/>
    </row>
    <row r="24" spans="1:6" ht="14.25" thickBot="1">
      <c r="A24" s="1530" t="s">
        <v>1287</v>
      </c>
      <c r="B24" s="1534" t="s">
        <v>1351</v>
      </c>
      <c r="C24" s="2119">
        <v>8.8999999999999996E-2</v>
      </c>
      <c r="D24" s="2119">
        <v>9.7000000000000003E-2</v>
      </c>
      <c r="E24" s="2119">
        <v>7.0000000000000007E-2</v>
      </c>
      <c r="F24" s="2131"/>
    </row>
    <row r="25" spans="1:6" ht="14.25" thickBot="1">
      <c r="A25" s="1530" t="s">
        <v>1287</v>
      </c>
      <c r="B25" s="1534" t="s">
        <v>1361</v>
      </c>
      <c r="C25" s="2119">
        <v>8.8999999999999996E-2</v>
      </c>
      <c r="D25" s="2119">
        <v>0.1</v>
      </c>
      <c r="E25" s="2119">
        <v>8.1000000000000003E-2</v>
      </c>
      <c r="F25" s="2131"/>
    </row>
    <row r="26" spans="1:6" ht="14.25" thickBot="1">
      <c r="A26" s="1530" t="s">
        <v>1287</v>
      </c>
      <c r="B26" s="1534" t="s">
        <v>1371</v>
      </c>
      <c r="C26" s="2132"/>
      <c r="D26" s="2119">
        <v>9.6000000000000002E-2</v>
      </c>
      <c r="E26" s="2119">
        <v>9.2999999999999999E-2</v>
      </c>
      <c r="F26" s="2131"/>
    </row>
    <row r="27" spans="1:6" ht="14.25" thickBot="1">
      <c r="A27" s="1530" t="s">
        <v>1287</v>
      </c>
      <c r="B27" s="1534" t="s">
        <v>1381</v>
      </c>
      <c r="C27" s="2132"/>
      <c r="D27" s="2119">
        <v>7.5999999999999998E-2</v>
      </c>
      <c r="E27" s="2119">
        <v>9.1999999999999998E-2</v>
      </c>
      <c r="F27" s="2131"/>
    </row>
    <row r="28" spans="1:6" ht="14.25" thickBot="1">
      <c r="A28" s="1540" t="s">
        <v>1287</v>
      </c>
      <c r="B28" s="1535" t="s">
        <v>1391</v>
      </c>
      <c r="C28" s="2129"/>
      <c r="D28" s="2121">
        <v>7.5999999999999998E-2</v>
      </c>
      <c r="E28" s="2121">
        <v>9.1999999999999998E-2</v>
      </c>
      <c r="F28" s="2130"/>
    </row>
    <row r="29" spans="1:6" ht="14.25" thickBot="1">
      <c r="A29" s="1530" t="s">
        <v>1460</v>
      </c>
      <c r="B29" s="1531" t="s">
        <v>2152</v>
      </c>
      <c r="C29" s="2117">
        <v>6.4000000000000001E-2</v>
      </c>
      <c r="D29" s="2117">
        <v>6.5000000000000002E-2</v>
      </c>
      <c r="E29" s="2117">
        <v>6.9000000000000006E-2</v>
      </c>
      <c r="F29" s="2118">
        <v>0.1</v>
      </c>
    </row>
    <row r="30" spans="1:6" ht="14.25" thickBot="1">
      <c r="A30" s="1530" t="s">
        <v>1460</v>
      </c>
      <c r="B30" s="1534" t="s">
        <v>1207</v>
      </c>
      <c r="C30" s="2119">
        <v>6.4000000000000001E-2</v>
      </c>
      <c r="D30" s="2119">
        <v>9.9000000000000005E-2</v>
      </c>
      <c r="E30" s="2119">
        <v>0.1</v>
      </c>
      <c r="F30" s="2120">
        <v>0.1</v>
      </c>
    </row>
    <row r="31" spans="1:6" ht="14.25" thickBot="1">
      <c r="A31" s="1530" t="s">
        <v>1460</v>
      </c>
      <c r="B31" s="1534" t="s">
        <v>1220</v>
      </c>
      <c r="C31" s="2119">
        <v>0.1</v>
      </c>
      <c r="D31" s="2119">
        <v>9.5000000000000001E-2</v>
      </c>
      <c r="E31" s="2119">
        <v>8.8999999999999996E-2</v>
      </c>
      <c r="F31" s="2120">
        <v>0.1</v>
      </c>
    </row>
    <row r="32" spans="1:6" ht="14.25" thickBot="1">
      <c r="A32" s="1530" t="s">
        <v>1460</v>
      </c>
      <c r="B32" s="1534" t="s">
        <v>1233</v>
      </c>
      <c r="C32" s="2119">
        <v>0.05</v>
      </c>
      <c r="D32" s="2119">
        <v>0.05</v>
      </c>
      <c r="E32" s="2119">
        <v>8.7999999999999995E-2</v>
      </c>
      <c r="F32" s="2120">
        <v>0.1</v>
      </c>
    </row>
    <row r="33" spans="1:6" ht="14.25" thickBot="1">
      <c r="A33" s="1530" t="s">
        <v>1460</v>
      </c>
      <c r="B33" s="1534" t="s">
        <v>1245</v>
      </c>
      <c r="C33" s="2119">
        <v>7.4999999999999997E-2</v>
      </c>
      <c r="D33" s="2119">
        <v>9.4E-2</v>
      </c>
      <c r="E33" s="2119">
        <v>9.7000000000000003E-2</v>
      </c>
      <c r="F33" s="2120">
        <v>0.1</v>
      </c>
    </row>
    <row r="34" spans="1:6" ht="14.25" thickBot="1">
      <c r="A34" s="1530" t="s">
        <v>1460</v>
      </c>
      <c r="B34" s="1534" t="s">
        <v>1256</v>
      </c>
      <c r="C34" s="2119">
        <v>9.8000000000000004E-2</v>
      </c>
      <c r="D34" s="2119">
        <v>8.5999999999999993E-2</v>
      </c>
      <c r="E34" s="2119">
        <v>9.7000000000000003E-2</v>
      </c>
      <c r="F34" s="2120">
        <v>0.1</v>
      </c>
    </row>
    <row r="35" spans="1:6" ht="14.25" thickBot="1">
      <c r="A35" s="1530" t="s">
        <v>1460</v>
      </c>
      <c r="B35" s="1534" t="s">
        <v>1267</v>
      </c>
      <c r="C35" s="2119">
        <v>5.8999999999999997E-2</v>
      </c>
      <c r="D35" s="2119">
        <v>6.5000000000000002E-2</v>
      </c>
      <c r="E35" s="2119">
        <v>7.0000000000000007E-2</v>
      </c>
      <c r="F35" s="2120">
        <v>0.1</v>
      </c>
    </row>
    <row r="36" spans="1:6" ht="14.25" thickBot="1">
      <c r="A36" s="1530" t="s">
        <v>1460</v>
      </c>
      <c r="B36" s="1534" t="s">
        <v>1278</v>
      </c>
      <c r="C36" s="2119">
        <v>6.3E-2</v>
      </c>
      <c r="D36" s="2119">
        <v>0.1</v>
      </c>
      <c r="E36" s="2119">
        <v>0.1</v>
      </c>
      <c r="F36" s="2120">
        <v>0.1</v>
      </c>
    </row>
    <row r="37" spans="1:6" ht="14.25" thickBot="1">
      <c r="A37" s="1530" t="s">
        <v>1460</v>
      </c>
      <c r="B37" s="1534" t="s">
        <v>1290</v>
      </c>
      <c r="C37" s="2119">
        <v>7.3999999999999996E-2</v>
      </c>
      <c r="D37" s="2119">
        <v>0.1</v>
      </c>
      <c r="E37" s="2119">
        <v>0.1</v>
      </c>
      <c r="F37" s="2120">
        <v>0.1</v>
      </c>
    </row>
    <row r="38" spans="1:6" ht="14.25" thickBot="1">
      <c r="A38" s="1530" t="s">
        <v>1460</v>
      </c>
      <c r="B38" s="1534" t="s">
        <v>1300</v>
      </c>
      <c r="C38" s="2119">
        <v>0.1</v>
      </c>
      <c r="D38" s="2119">
        <v>9.6000000000000002E-2</v>
      </c>
      <c r="E38" s="2119">
        <v>9.6000000000000002E-2</v>
      </c>
      <c r="F38" s="2131"/>
    </row>
    <row r="39" spans="1:6" ht="14.25" thickBot="1">
      <c r="A39" s="1530" t="s">
        <v>1460</v>
      </c>
      <c r="B39" s="1534" t="s">
        <v>1310</v>
      </c>
      <c r="C39" s="2119">
        <v>0.1</v>
      </c>
      <c r="D39" s="2119">
        <v>9.6000000000000002E-2</v>
      </c>
      <c r="E39" s="2119">
        <v>9.6000000000000002E-2</v>
      </c>
      <c r="F39" s="2131"/>
    </row>
    <row r="40" spans="1:6" ht="14.25" thickBot="1">
      <c r="A40" s="1530" t="s">
        <v>1460</v>
      </c>
      <c r="B40" s="1534" t="s">
        <v>1320</v>
      </c>
      <c r="C40" s="2119">
        <v>9.6000000000000002E-2</v>
      </c>
      <c r="D40" s="2119">
        <v>0.1</v>
      </c>
      <c r="E40" s="2119">
        <v>9.9000000000000005E-2</v>
      </c>
      <c r="F40" s="2131"/>
    </row>
    <row r="41" spans="1:6" ht="14.25" thickBot="1">
      <c r="A41" s="1530" t="s">
        <v>1460</v>
      </c>
      <c r="B41" s="1534" t="s">
        <v>1330</v>
      </c>
      <c r="C41" s="2119">
        <v>9.6000000000000002E-2</v>
      </c>
      <c r="D41" s="2119">
        <v>9.8000000000000004E-2</v>
      </c>
      <c r="E41" s="2119">
        <v>9.8000000000000004E-2</v>
      </c>
      <c r="F41" s="2131"/>
    </row>
    <row r="42" spans="1:6" ht="14.25" thickBot="1">
      <c r="A42" s="1530" t="s">
        <v>1460</v>
      </c>
      <c r="B42" s="1534" t="s">
        <v>1341</v>
      </c>
      <c r="C42" s="2119">
        <v>0.1</v>
      </c>
      <c r="D42" s="2119">
        <v>8.7999999999999995E-2</v>
      </c>
      <c r="E42" s="2119">
        <v>0.1</v>
      </c>
      <c r="F42" s="2131"/>
    </row>
    <row r="43" spans="1:6" ht="14.25" thickBot="1">
      <c r="A43" s="1530" t="s">
        <v>1460</v>
      </c>
      <c r="B43" s="1534" t="s">
        <v>1352</v>
      </c>
      <c r="C43" s="2119">
        <v>9.8000000000000004E-2</v>
      </c>
      <c r="D43" s="2119">
        <v>9.7000000000000003E-2</v>
      </c>
      <c r="E43" s="2119">
        <v>9.6000000000000002E-2</v>
      </c>
      <c r="F43" s="2131"/>
    </row>
    <row r="44" spans="1:6" ht="14.25" thickBot="1">
      <c r="A44" s="1530" t="s">
        <v>1460</v>
      </c>
      <c r="B44" s="1534" t="s">
        <v>1362</v>
      </c>
      <c r="C44" s="2119">
        <v>8.5999999999999993E-2</v>
      </c>
      <c r="D44" s="2119">
        <v>7.9000000000000001E-2</v>
      </c>
      <c r="E44" s="2119">
        <v>7.0999999999999994E-2</v>
      </c>
      <c r="F44" s="2131"/>
    </row>
    <row r="45" spans="1:6" ht="14.25" thickBot="1">
      <c r="A45" s="1530" t="s">
        <v>1460</v>
      </c>
      <c r="B45" s="1534" t="s">
        <v>1372</v>
      </c>
      <c r="C45" s="2119">
        <v>9.8000000000000004E-2</v>
      </c>
      <c r="D45" s="2119">
        <v>9.6000000000000002E-2</v>
      </c>
      <c r="E45" s="2119">
        <v>9.6000000000000002E-2</v>
      </c>
      <c r="F45" s="2131"/>
    </row>
    <row r="46" spans="1:6" ht="14.25" thickBot="1">
      <c r="A46" s="1530" t="s">
        <v>1460</v>
      </c>
      <c r="B46" s="1534" t="s">
        <v>1382</v>
      </c>
      <c r="C46" s="2119">
        <v>8.5999999999999993E-2</v>
      </c>
      <c r="D46" s="2119">
        <v>9.8000000000000004E-2</v>
      </c>
      <c r="E46" s="2119">
        <v>8.7999999999999995E-2</v>
      </c>
      <c r="F46" s="2131"/>
    </row>
    <row r="47" spans="1:6" ht="14.25" thickBot="1">
      <c r="A47" s="1530" t="s">
        <v>1460</v>
      </c>
      <c r="B47" s="1534" t="s">
        <v>1392</v>
      </c>
      <c r="C47" s="2119">
        <v>9.6000000000000002E-2</v>
      </c>
      <c r="D47" s="2132"/>
      <c r="E47" s="2119">
        <v>6.9000000000000006E-2</v>
      </c>
      <c r="F47" s="2131"/>
    </row>
    <row r="48" spans="1:6" ht="14.25" thickBot="1">
      <c r="A48" s="1540" t="s">
        <v>1460</v>
      </c>
      <c r="B48" s="1535" t="s">
        <v>1401</v>
      </c>
      <c r="C48" s="2121">
        <v>9.8000000000000004E-2</v>
      </c>
      <c r="D48" s="2129"/>
      <c r="E48" s="2121">
        <v>9.5000000000000001E-2</v>
      </c>
      <c r="F48" s="2130"/>
    </row>
    <row r="49" spans="1:6" ht="14.25" thickBot="1">
      <c r="A49" s="1530" t="s">
        <v>1141</v>
      </c>
      <c r="B49" s="1531" t="s">
        <v>2153</v>
      </c>
      <c r="C49" s="2117">
        <v>9.7000000000000003E-2</v>
      </c>
      <c r="D49" s="2117">
        <v>9.5000000000000001E-2</v>
      </c>
      <c r="E49" s="2117">
        <v>9.7000000000000003E-2</v>
      </c>
      <c r="F49" s="2118">
        <v>0.1</v>
      </c>
    </row>
    <row r="50" spans="1:6" ht="14.25" thickBot="1">
      <c r="A50" s="1530" t="s">
        <v>1141</v>
      </c>
      <c r="B50" s="1524" t="s">
        <v>1208</v>
      </c>
      <c r="C50" s="2119">
        <v>7.4999999999999997E-2</v>
      </c>
      <c r="D50" s="2119">
        <v>9.5000000000000001E-2</v>
      </c>
      <c r="E50" s="2119">
        <v>0.1</v>
      </c>
      <c r="F50" s="2120">
        <v>0.1</v>
      </c>
    </row>
    <row r="51" spans="1:6" ht="14.25" thickBot="1">
      <c r="A51" s="1530" t="s">
        <v>1141</v>
      </c>
      <c r="B51" s="1524" t="s">
        <v>1221</v>
      </c>
      <c r="C51" s="2119">
        <v>9.8000000000000004E-2</v>
      </c>
      <c r="D51" s="2119">
        <v>8.8999999999999996E-2</v>
      </c>
      <c r="E51" s="2119">
        <v>0.1</v>
      </c>
      <c r="F51" s="2120">
        <v>0.1</v>
      </c>
    </row>
    <row r="52" spans="1:6" ht="14.25" thickBot="1">
      <c r="A52" s="1530" t="s">
        <v>1141</v>
      </c>
      <c r="B52" s="1524" t="s">
        <v>1234</v>
      </c>
      <c r="C52" s="2119">
        <v>9.8000000000000004E-2</v>
      </c>
      <c r="D52" s="2119">
        <v>9.7000000000000003E-2</v>
      </c>
      <c r="E52" s="2119">
        <v>8.1000000000000003E-2</v>
      </c>
      <c r="F52" s="2120">
        <v>0.1</v>
      </c>
    </row>
    <row r="53" spans="1:6" ht="14.25" thickBot="1">
      <c r="A53" s="1530" t="s">
        <v>1141</v>
      </c>
      <c r="B53" s="1524" t="s">
        <v>1246</v>
      </c>
      <c r="C53" s="2119">
        <v>9.7000000000000003E-2</v>
      </c>
      <c r="D53" s="2119">
        <v>7.5999999999999998E-2</v>
      </c>
      <c r="E53" s="2119">
        <v>7.0999999999999994E-2</v>
      </c>
      <c r="F53" s="2120">
        <v>0.1</v>
      </c>
    </row>
    <row r="54" spans="1:6" ht="14.25" thickBot="1">
      <c r="A54" s="1530" t="s">
        <v>1141</v>
      </c>
      <c r="B54" s="1524" t="s">
        <v>1257</v>
      </c>
      <c r="C54" s="2119">
        <v>7.5999999999999998E-2</v>
      </c>
      <c r="D54" s="2119">
        <v>0.1</v>
      </c>
      <c r="E54" s="2119">
        <v>9.9000000000000005E-2</v>
      </c>
      <c r="F54" s="2120">
        <v>0.1</v>
      </c>
    </row>
    <row r="55" spans="1:6" ht="14.25" thickBot="1">
      <c r="A55" s="1530" t="s">
        <v>1141</v>
      </c>
      <c r="B55" s="1524" t="s">
        <v>1268</v>
      </c>
      <c r="C55" s="2119">
        <v>0.1</v>
      </c>
      <c r="D55" s="2119">
        <v>0.1</v>
      </c>
      <c r="E55" s="2119">
        <v>9.6000000000000002E-2</v>
      </c>
      <c r="F55" s="2120">
        <v>0.1</v>
      </c>
    </row>
    <row r="56" spans="1:6" ht="14.25" thickBot="1">
      <c r="A56" s="1530" t="s">
        <v>1141</v>
      </c>
      <c r="B56" s="1524" t="s">
        <v>1279</v>
      </c>
      <c r="C56" s="2119">
        <v>0.1</v>
      </c>
      <c r="D56" s="2119">
        <v>9.6000000000000002E-2</v>
      </c>
      <c r="E56" s="2119">
        <v>5.1999999999999998E-2</v>
      </c>
      <c r="F56" s="2120">
        <v>0.1</v>
      </c>
    </row>
    <row r="57" spans="1:6" ht="14.25" thickBot="1">
      <c r="A57" s="1530" t="s">
        <v>1141</v>
      </c>
      <c r="B57" s="1524" t="s">
        <v>1291</v>
      </c>
      <c r="C57" s="2119">
        <v>9.7000000000000003E-2</v>
      </c>
      <c r="D57" s="2119">
        <v>9.6000000000000002E-2</v>
      </c>
      <c r="E57" s="2119">
        <v>9.6000000000000002E-2</v>
      </c>
      <c r="F57" s="2120">
        <v>0.1</v>
      </c>
    </row>
    <row r="58" spans="1:6" ht="14.25" thickBot="1">
      <c r="A58" s="1530" t="s">
        <v>1141</v>
      </c>
      <c r="B58" s="1524" t="s">
        <v>1301</v>
      </c>
      <c r="C58" s="2119">
        <v>9.6000000000000002E-2</v>
      </c>
      <c r="D58" s="2119">
        <v>9.9000000000000005E-2</v>
      </c>
      <c r="E58" s="2119">
        <v>9.6000000000000002E-2</v>
      </c>
      <c r="F58" s="2120">
        <v>0.1</v>
      </c>
    </row>
    <row r="59" spans="1:6" ht="14.25" thickBot="1">
      <c r="A59" s="1530" t="s">
        <v>1141</v>
      </c>
      <c r="B59" s="1524" t="s">
        <v>1311</v>
      </c>
      <c r="C59" s="2119">
        <v>7.1999999999999995E-2</v>
      </c>
      <c r="D59" s="2119">
        <v>9.6000000000000002E-2</v>
      </c>
      <c r="E59" s="2119">
        <v>7.0999999999999994E-2</v>
      </c>
      <c r="F59" s="2120">
        <v>0.1</v>
      </c>
    </row>
    <row r="60" spans="1:6" ht="14.25" thickBot="1">
      <c r="A60" s="1530" t="s">
        <v>1141</v>
      </c>
      <c r="B60" s="1524" t="s">
        <v>1321</v>
      </c>
      <c r="C60" s="2119">
        <v>9.6000000000000002E-2</v>
      </c>
      <c r="D60" s="2119">
        <v>8.8999999999999996E-2</v>
      </c>
      <c r="E60" s="2119">
        <v>9.6000000000000002E-2</v>
      </c>
      <c r="F60" s="2120">
        <v>0.1</v>
      </c>
    </row>
    <row r="61" spans="1:6" ht="14.25" thickBot="1">
      <c r="A61" s="1530" t="s">
        <v>1141</v>
      </c>
      <c r="B61" s="1524" t="s">
        <v>1331</v>
      </c>
      <c r="C61" s="2119">
        <v>8.8999999999999996E-2</v>
      </c>
      <c r="D61" s="2119">
        <v>9.8000000000000004E-2</v>
      </c>
      <c r="E61" s="2119">
        <v>8.7999999999999995E-2</v>
      </c>
      <c r="F61" s="2131"/>
    </row>
    <row r="62" spans="1:6" ht="14.25" thickBot="1">
      <c r="A62" s="1530" t="s">
        <v>1141</v>
      </c>
      <c r="B62" s="1524" t="s">
        <v>1342</v>
      </c>
      <c r="C62" s="2119">
        <v>9.8000000000000004E-2</v>
      </c>
      <c r="D62" s="2119">
        <v>9.2999999999999999E-2</v>
      </c>
      <c r="E62" s="2119">
        <v>9.7000000000000003E-2</v>
      </c>
      <c r="F62" s="2131"/>
    </row>
    <row r="63" spans="1:6" ht="14.25" thickBot="1">
      <c r="A63" s="1530" t="s">
        <v>1141</v>
      </c>
      <c r="B63" s="1524" t="s">
        <v>1353</v>
      </c>
      <c r="C63" s="2119">
        <v>9.6000000000000002E-2</v>
      </c>
      <c r="D63" s="2119">
        <v>9.8000000000000004E-2</v>
      </c>
      <c r="E63" s="2119">
        <v>0.09</v>
      </c>
      <c r="F63" s="2131"/>
    </row>
    <row r="64" spans="1:6" ht="14.25" thickBot="1">
      <c r="A64" s="1530" t="s">
        <v>1141</v>
      </c>
      <c r="B64" s="1524" t="s">
        <v>1363</v>
      </c>
      <c r="C64" s="2119">
        <v>9.9000000000000005E-2</v>
      </c>
      <c r="D64" s="2119">
        <v>9.7000000000000003E-2</v>
      </c>
      <c r="E64" s="2119">
        <v>9.9000000000000005E-2</v>
      </c>
      <c r="F64" s="2131"/>
    </row>
    <row r="65" spans="1:6" ht="14.25" thickBot="1">
      <c r="A65" s="1530" t="s">
        <v>1141</v>
      </c>
      <c r="B65" s="1524" t="s">
        <v>1373</v>
      </c>
      <c r="C65" s="2119">
        <v>9.8000000000000004E-2</v>
      </c>
      <c r="D65" s="2119">
        <v>9.6000000000000002E-2</v>
      </c>
      <c r="E65" s="2119">
        <v>9.6000000000000002E-2</v>
      </c>
      <c r="F65" s="2131"/>
    </row>
    <row r="66" spans="1:6" ht="14.25" thickBot="1">
      <c r="A66" s="1530" t="s">
        <v>1141</v>
      </c>
      <c r="B66" s="1524" t="s">
        <v>1383</v>
      </c>
      <c r="C66" s="2119">
        <v>9.6000000000000002E-2</v>
      </c>
      <c r="D66" s="2119">
        <v>9.1999999999999998E-2</v>
      </c>
      <c r="E66" s="2119">
        <v>9.6000000000000002E-2</v>
      </c>
      <c r="F66" s="2131"/>
    </row>
    <row r="67" spans="1:6" ht="14.25" thickBot="1">
      <c r="A67" s="1530" t="s">
        <v>1141</v>
      </c>
      <c r="B67" s="1524" t="s">
        <v>1393</v>
      </c>
      <c r="C67" s="2119">
        <v>9.4E-2</v>
      </c>
      <c r="D67" s="2119">
        <v>0.1</v>
      </c>
      <c r="E67" s="2119">
        <v>8.7999999999999995E-2</v>
      </c>
      <c r="F67" s="2131"/>
    </row>
    <row r="68" spans="1:6" ht="14.25" thickBot="1">
      <c r="A68" s="1530" t="s">
        <v>1141</v>
      </c>
      <c r="B68" s="1524" t="s">
        <v>1402</v>
      </c>
      <c r="C68" s="2119">
        <v>0.1</v>
      </c>
      <c r="D68" s="2119">
        <v>8.7999999999999995E-2</v>
      </c>
      <c r="E68" s="2119">
        <v>9.7000000000000003E-2</v>
      </c>
      <c r="F68" s="2131"/>
    </row>
    <row r="69" spans="1:6" ht="14.25" thickBot="1">
      <c r="A69" s="1530" t="s">
        <v>1141</v>
      </c>
      <c r="B69" s="1524" t="s">
        <v>1411</v>
      </c>
      <c r="C69" s="2119">
        <v>6.4000000000000001E-2</v>
      </c>
      <c r="D69" s="2119">
        <v>0.1</v>
      </c>
      <c r="E69" s="2119">
        <v>0.1</v>
      </c>
      <c r="F69" s="2131"/>
    </row>
    <row r="70" spans="1:6" ht="14.25" thickBot="1">
      <c r="A70" s="1530" t="s">
        <v>1141</v>
      </c>
      <c r="B70" s="1524" t="s">
        <v>1419</v>
      </c>
      <c r="C70" s="2119">
        <v>9.0999999999999998E-2</v>
      </c>
      <c r="D70" s="2132"/>
      <c r="E70" s="2132"/>
      <c r="F70" s="2131"/>
    </row>
    <row r="71" spans="1:6" ht="14.25" thickBot="1">
      <c r="A71" s="1530" t="s">
        <v>1141</v>
      </c>
      <c r="B71" s="1524" t="s">
        <v>1426</v>
      </c>
      <c r="C71" s="2119">
        <v>0.1</v>
      </c>
      <c r="D71" s="2132"/>
      <c r="E71" s="2132"/>
      <c r="F71" s="2131"/>
    </row>
    <row r="72" spans="1:6" ht="14.25" thickBot="1">
      <c r="A72" s="1530" t="s">
        <v>1141</v>
      </c>
      <c r="B72" s="1524" t="s">
        <v>2154</v>
      </c>
      <c r="C72" s="2132"/>
      <c r="D72" s="2132"/>
      <c r="E72" s="2132"/>
      <c r="F72" s="2120">
        <v>0.05</v>
      </c>
    </row>
    <row r="73" spans="1:6" ht="14.25" thickBot="1">
      <c r="A73" s="1530" t="s">
        <v>1141</v>
      </c>
      <c r="B73" s="1524" t="s">
        <v>2155</v>
      </c>
      <c r="C73" s="2132"/>
      <c r="D73" s="2132"/>
      <c r="E73" s="2132"/>
      <c r="F73" s="2120">
        <v>0.05</v>
      </c>
    </row>
    <row r="74" spans="1:6" ht="14.25" thickBot="1">
      <c r="A74" s="1530" t="s">
        <v>1141</v>
      </c>
      <c r="B74" s="1524" t="s">
        <v>2156</v>
      </c>
      <c r="C74" s="2132"/>
      <c r="D74" s="2132"/>
      <c r="E74" s="2132"/>
      <c r="F74" s="2120">
        <v>0.05</v>
      </c>
    </row>
    <row r="75" spans="1:6" ht="14.25" thickBot="1">
      <c r="A75" s="1540" t="s">
        <v>1141</v>
      </c>
      <c r="B75" s="1536" t="s">
        <v>2157</v>
      </c>
      <c r="C75" s="2129"/>
      <c r="D75" s="2129"/>
      <c r="E75" s="2129"/>
      <c r="F75" s="2122">
        <v>0.05</v>
      </c>
    </row>
    <row r="76" spans="1:6" ht="14.25" thickBot="1">
      <c r="A76" s="1530" t="s">
        <v>1541</v>
      </c>
      <c r="B76" s="1531" t="s">
        <v>2158</v>
      </c>
      <c r="C76" s="2117">
        <v>0.1</v>
      </c>
      <c r="D76" s="2117">
        <v>0.1</v>
      </c>
      <c r="E76" s="2117">
        <v>0.1</v>
      </c>
      <c r="F76" s="2118">
        <v>0.1</v>
      </c>
    </row>
    <row r="77" spans="1:6" ht="14.25" thickBot="1">
      <c r="A77" s="1530" t="s">
        <v>1541</v>
      </c>
      <c r="B77" s="1524" t="s">
        <v>1209</v>
      </c>
      <c r="C77" s="2119">
        <v>8.7999999999999995E-2</v>
      </c>
      <c r="D77" s="2119">
        <v>8.6999999999999994E-2</v>
      </c>
      <c r="E77" s="2119">
        <v>7.9000000000000001E-2</v>
      </c>
      <c r="F77" s="2120">
        <v>0.1</v>
      </c>
    </row>
    <row r="78" spans="1:6" ht="14.25" thickBot="1">
      <c r="A78" s="1530" t="s">
        <v>1541</v>
      </c>
      <c r="B78" s="1524" t="s">
        <v>1222</v>
      </c>
      <c r="C78" s="2119">
        <v>8.6999999999999994E-2</v>
      </c>
      <c r="D78" s="2119">
        <v>8.4000000000000005E-2</v>
      </c>
      <c r="E78" s="2119">
        <v>9.6000000000000002E-2</v>
      </c>
      <c r="F78" s="2120">
        <v>0.1</v>
      </c>
    </row>
    <row r="79" spans="1:6" ht="14.25" thickBot="1">
      <c r="A79" s="1530" t="s">
        <v>1541</v>
      </c>
      <c r="B79" s="1524" t="s">
        <v>1235</v>
      </c>
      <c r="C79" s="2119">
        <v>9.8000000000000004E-2</v>
      </c>
      <c r="D79" s="2119">
        <v>9.8000000000000004E-2</v>
      </c>
      <c r="E79" s="2119">
        <v>9.0999999999999998E-2</v>
      </c>
      <c r="F79" s="2120">
        <v>0.1</v>
      </c>
    </row>
    <row r="80" spans="1:6" ht="14.25" thickBot="1">
      <c r="A80" s="1530" t="s">
        <v>1541</v>
      </c>
      <c r="B80" s="1524" t="s">
        <v>1247</v>
      </c>
      <c r="C80" s="2119">
        <v>9.6000000000000002E-2</v>
      </c>
      <c r="D80" s="2119">
        <v>9.6000000000000002E-2</v>
      </c>
      <c r="E80" s="2119">
        <v>0.1</v>
      </c>
      <c r="F80" s="2120">
        <v>0.1</v>
      </c>
    </row>
    <row r="81" spans="1:6" ht="14.25" thickBot="1">
      <c r="A81" s="1530" t="s">
        <v>1541</v>
      </c>
      <c r="B81" s="1524" t="s">
        <v>1258</v>
      </c>
      <c r="C81" s="2119">
        <v>9.9000000000000005E-2</v>
      </c>
      <c r="D81" s="2119">
        <v>9.9000000000000005E-2</v>
      </c>
      <c r="E81" s="2119">
        <v>9.8000000000000004E-2</v>
      </c>
      <c r="F81" s="2120">
        <v>0.1</v>
      </c>
    </row>
    <row r="82" spans="1:6" ht="14.25" thickBot="1">
      <c r="A82" s="1530" t="s">
        <v>1541</v>
      </c>
      <c r="B82" s="1524" t="s">
        <v>1269</v>
      </c>
      <c r="C82" s="2119">
        <v>9.9000000000000005E-2</v>
      </c>
      <c r="D82" s="2119">
        <v>9.9000000000000005E-2</v>
      </c>
      <c r="E82" s="2119">
        <v>9.7000000000000003E-2</v>
      </c>
      <c r="F82" s="2120">
        <v>0.1</v>
      </c>
    </row>
    <row r="83" spans="1:6" ht="14.25" thickBot="1">
      <c r="A83" s="1530" t="s">
        <v>1541</v>
      </c>
      <c r="B83" s="1524" t="s">
        <v>1280</v>
      </c>
      <c r="C83" s="2119">
        <v>9.8000000000000004E-2</v>
      </c>
      <c r="D83" s="2119">
        <v>9.8000000000000004E-2</v>
      </c>
      <c r="E83" s="2119">
        <v>9.8000000000000004E-2</v>
      </c>
      <c r="F83" s="2120">
        <v>0.1</v>
      </c>
    </row>
    <row r="84" spans="1:6" ht="14.25" thickBot="1">
      <c r="A84" s="1530" t="s">
        <v>1541</v>
      </c>
      <c r="B84" s="1524" t="s">
        <v>1292</v>
      </c>
      <c r="C84" s="2119">
        <v>9.9000000000000005E-2</v>
      </c>
      <c r="D84" s="2119">
        <v>9.9000000000000005E-2</v>
      </c>
      <c r="E84" s="2119">
        <v>9.9000000000000005E-2</v>
      </c>
      <c r="F84" s="2120">
        <v>0.1</v>
      </c>
    </row>
    <row r="85" spans="1:6" ht="14.25" thickBot="1">
      <c r="A85" s="1530" t="s">
        <v>1541</v>
      </c>
      <c r="B85" s="1524" t="s">
        <v>1302</v>
      </c>
      <c r="C85" s="2119">
        <v>9.9000000000000005E-2</v>
      </c>
      <c r="D85" s="2119">
        <v>9.9000000000000005E-2</v>
      </c>
      <c r="E85" s="2119">
        <v>9.9000000000000005E-2</v>
      </c>
      <c r="F85" s="2120">
        <v>0.1</v>
      </c>
    </row>
    <row r="86" spans="1:6" ht="14.25" thickBot="1">
      <c r="A86" s="1530" t="s">
        <v>1541</v>
      </c>
      <c r="B86" s="1524" t="s">
        <v>1312</v>
      </c>
      <c r="C86" s="2119">
        <v>0.1</v>
      </c>
      <c r="D86" s="2119">
        <v>0.1</v>
      </c>
      <c r="E86" s="2119">
        <v>7.6999999999999999E-2</v>
      </c>
      <c r="F86" s="2120">
        <v>0.1</v>
      </c>
    </row>
    <row r="87" spans="1:6" ht="14.25" thickBot="1">
      <c r="A87" s="1530" t="s">
        <v>1541</v>
      </c>
      <c r="B87" s="1524" t="s">
        <v>1322</v>
      </c>
      <c r="C87" s="2119">
        <v>0.1</v>
      </c>
      <c r="D87" s="2119">
        <v>0.1</v>
      </c>
      <c r="E87" s="2119">
        <v>9.8000000000000004E-2</v>
      </c>
      <c r="F87" s="2131"/>
    </row>
    <row r="88" spans="1:6" ht="14.25" thickBot="1">
      <c r="A88" s="1530" t="s">
        <v>1541</v>
      </c>
      <c r="B88" s="1524" t="s">
        <v>1332</v>
      </c>
      <c r="C88" s="2119">
        <v>9.1999999999999998E-2</v>
      </c>
      <c r="D88" s="2119">
        <v>8.5000000000000006E-2</v>
      </c>
      <c r="E88" s="2119">
        <v>9.6000000000000002E-2</v>
      </c>
      <c r="F88" s="2131"/>
    </row>
    <row r="89" spans="1:6" ht="14.25" thickBot="1">
      <c r="A89" s="1530" t="s">
        <v>1541</v>
      </c>
      <c r="B89" s="1524" t="s">
        <v>1343</v>
      </c>
      <c r="C89" s="2119">
        <v>0.1</v>
      </c>
      <c r="D89" s="2119">
        <v>0.1</v>
      </c>
      <c r="E89" s="2119">
        <v>9.7000000000000003E-2</v>
      </c>
      <c r="F89" s="2131"/>
    </row>
    <row r="90" spans="1:6" ht="14.25" thickBot="1">
      <c r="A90" s="1530" t="s">
        <v>1541</v>
      </c>
      <c r="B90" s="1524" t="s">
        <v>1354</v>
      </c>
      <c r="C90" s="2119">
        <v>9.8000000000000004E-2</v>
      </c>
      <c r="D90" s="2119">
        <v>9.8000000000000004E-2</v>
      </c>
      <c r="E90" s="2119">
        <v>8.7999999999999995E-2</v>
      </c>
      <c r="F90" s="2131"/>
    </row>
    <row r="91" spans="1:6" ht="14.25" thickBot="1">
      <c r="A91" s="1530" t="s">
        <v>1541</v>
      </c>
      <c r="B91" s="1524" t="s">
        <v>1364</v>
      </c>
      <c r="C91" s="2119">
        <v>9.9000000000000005E-2</v>
      </c>
      <c r="D91" s="2119">
        <v>9.9000000000000005E-2</v>
      </c>
      <c r="E91" s="2119">
        <v>9.0999999999999998E-2</v>
      </c>
      <c r="F91" s="2131"/>
    </row>
    <row r="92" spans="1:6" ht="14.25" thickBot="1">
      <c r="A92" s="1530" t="s">
        <v>1541</v>
      </c>
      <c r="B92" s="1524" t="s">
        <v>1374</v>
      </c>
      <c r="C92" s="2119">
        <v>9.6000000000000002E-2</v>
      </c>
      <c r="D92" s="2119">
        <v>9.6000000000000002E-2</v>
      </c>
      <c r="E92" s="2119">
        <v>7.2999999999999995E-2</v>
      </c>
      <c r="F92" s="2131"/>
    </row>
    <row r="93" spans="1:6" ht="14.25" thickBot="1">
      <c r="A93" s="1530" t="s">
        <v>1541</v>
      </c>
      <c r="B93" s="1524" t="s">
        <v>1384</v>
      </c>
      <c r="C93" s="2119">
        <v>9.6000000000000002E-2</v>
      </c>
      <c r="D93" s="2119">
        <v>9.6000000000000002E-2</v>
      </c>
      <c r="E93" s="2119">
        <v>9.9000000000000005E-2</v>
      </c>
      <c r="F93" s="2131"/>
    </row>
    <row r="94" spans="1:6" ht="14.25" thickBot="1">
      <c r="A94" s="1530" t="s">
        <v>1541</v>
      </c>
      <c r="B94" s="1524" t="s">
        <v>1394</v>
      </c>
      <c r="C94" s="2119">
        <v>7.5999999999999998E-2</v>
      </c>
      <c r="D94" s="2119">
        <v>7.3999999999999996E-2</v>
      </c>
      <c r="E94" s="2119">
        <v>9.7000000000000003E-2</v>
      </c>
      <c r="F94" s="2131"/>
    </row>
    <row r="95" spans="1:6" ht="14.25" thickBot="1">
      <c r="A95" s="1530" t="s">
        <v>1541</v>
      </c>
      <c r="B95" s="1524" t="s">
        <v>1403</v>
      </c>
      <c r="C95" s="2119">
        <v>9.9000000000000005E-2</v>
      </c>
      <c r="D95" s="2119">
        <v>9.4E-2</v>
      </c>
      <c r="E95" s="2119">
        <v>9.6000000000000002E-2</v>
      </c>
      <c r="F95" s="2131"/>
    </row>
    <row r="96" spans="1:6" ht="14.25" thickBot="1">
      <c r="A96" s="1530" t="s">
        <v>1541</v>
      </c>
      <c r="B96" s="1524" t="s">
        <v>1412</v>
      </c>
      <c r="C96" s="2119">
        <v>9.9000000000000005E-2</v>
      </c>
      <c r="D96" s="2119">
        <v>9.9000000000000005E-2</v>
      </c>
      <c r="E96" s="2119">
        <v>9.9000000000000005E-2</v>
      </c>
      <c r="F96" s="2131"/>
    </row>
    <row r="97" spans="1:6" ht="14.25" thickBot="1">
      <c r="A97" s="1530" t="s">
        <v>1541</v>
      </c>
      <c r="B97" s="1524" t="s">
        <v>1420</v>
      </c>
      <c r="C97" s="2119">
        <v>9.8000000000000004E-2</v>
      </c>
      <c r="D97" s="2119">
        <v>9.8000000000000004E-2</v>
      </c>
      <c r="E97" s="2119">
        <v>9.7000000000000003E-2</v>
      </c>
      <c r="F97" s="2131"/>
    </row>
    <row r="98" spans="1:6" ht="14.25" thickBot="1">
      <c r="A98" s="1530" t="s">
        <v>1541</v>
      </c>
      <c r="B98" s="1524" t="s">
        <v>1427</v>
      </c>
      <c r="C98" s="2119">
        <v>0.1</v>
      </c>
      <c r="D98" s="2119">
        <v>0.1</v>
      </c>
      <c r="E98" s="2119">
        <v>9.7000000000000003E-2</v>
      </c>
      <c r="F98" s="2131"/>
    </row>
    <row r="99" spans="1:6" ht="14.25" thickBot="1">
      <c r="A99" s="1530" t="s">
        <v>1541</v>
      </c>
      <c r="B99" s="1524" t="s">
        <v>1434</v>
      </c>
      <c r="C99" s="2119">
        <v>0.1</v>
      </c>
      <c r="D99" s="2119">
        <v>0.1</v>
      </c>
      <c r="E99" s="2132"/>
      <c r="F99" s="2131"/>
    </row>
    <row r="100" spans="1:6" ht="14.25" thickBot="1">
      <c r="A100" s="1530" t="s">
        <v>1541</v>
      </c>
      <c r="B100" s="1524" t="s">
        <v>1441</v>
      </c>
      <c r="C100" s="2119">
        <v>0.09</v>
      </c>
      <c r="D100" s="2119">
        <v>8.8999999999999996E-2</v>
      </c>
      <c r="E100" s="2132"/>
      <c r="F100" s="2131"/>
    </row>
    <row r="101" spans="1:6" ht="14.25" thickBot="1">
      <c r="A101" s="1530" t="s">
        <v>1541</v>
      </c>
      <c r="B101" s="1524" t="s">
        <v>1448</v>
      </c>
      <c r="C101" s="2119">
        <v>9.8000000000000004E-2</v>
      </c>
      <c r="D101" s="2119">
        <v>9.7000000000000003E-2</v>
      </c>
      <c r="E101" s="2132"/>
      <c r="F101" s="2131"/>
    </row>
    <row r="102" spans="1:6" ht="14.25" thickBot="1">
      <c r="A102" s="1530" t="s">
        <v>1541</v>
      </c>
      <c r="B102" s="1524" t="s">
        <v>2159</v>
      </c>
      <c r="C102" s="2132"/>
      <c r="D102" s="2132"/>
      <c r="E102" s="2132"/>
      <c r="F102" s="2120">
        <v>0.05</v>
      </c>
    </row>
    <row r="103" spans="1:6" ht="24.75" thickBot="1">
      <c r="A103" s="1530" t="s">
        <v>1541</v>
      </c>
      <c r="B103" s="1524" t="s">
        <v>2160</v>
      </c>
      <c r="C103" s="2132"/>
      <c r="D103" s="2132"/>
      <c r="E103" s="2132"/>
      <c r="F103" s="2120">
        <v>0.05</v>
      </c>
    </row>
    <row r="104" spans="1:6" ht="14.25" thickBot="1">
      <c r="A104" s="1530" t="s">
        <v>1541</v>
      </c>
      <c r="B104" s="1524" t="s">
        <v>2161</v>
      </c>
      <c r="C104" s="2132"/>
      <c r="D104" s="2132"/>
      <c r="E104" s="2132"/>
      <c r="F104" s="2120">
        <v>0.05</v>
      </c>
    </row>
    <row r="105" spans="1:6" ht="14.25" thickBot="1">
      <c r="A105" s="1530" t="s">
        <v>1541</v>
      </c>
      <c r="B105" s="1524" t="s">
        <v>2162</v>
      </c>
      <c r="C105" s="2132"/>
      <c r="D105" s="2132"/>
      <c r="E105" s="2132"/>
      <c r="F105" s="2120">
        <v>0.05</v>
      </c>
    </row>
    <row r="106" spans="1:6" ht="14.25" thickBot="1">
      <c r="A106" s="1530" t="s">
        <v>1541</v>
      </c>
      <c r="B106" s="1524" t="s">
        <v>2163</v>
      </c>
      <c r="C106" s="2132"/>
      <c r="D106" s="2132"/>
      <c r="E106" s="2132"/>
      <c r="F106" s="2120">
        <v>0.05</v>
      </c>
    </row>
    <row r="107" spans="1:6" ht="24.75" thickBot="1">
      <c r="A107" s="1530" t="s">
        <v>1541</v>
      </c>
      <c r="B107" s="1524" t="s">
        <v>2164</v>
      </c>
      <c r="C107" s="2132"/>
      <c r="D107" s="2132"/>
      <c r="E107" s="2132"/>
      <c r="F107" s="2120">
        <v>0.05</v>
      </c>
    </row>
    <row r="108" spans="1:6" ht="24.75" thickBot="1">
      <c r="A108" s="1530" t="s">
        <v>1541</v>
      </c>
      <c r="B108" s="1524" t="s">
        <v>2165</v>
      </c>
      <c r="C108" s="2132"/>
      <c r="D108" s="2132"/>
      <c r="E108" s="2132"/>
      <c r="F108" s="2120">
        <v>0.05</v>
      </c>
    </row>
    <row r="109" spans="1:6" ht="24.75" thickBot="1">
      <c r="A109" s="1540" t="s">
        <v>1541</v>
      </c>
      <c r="B109" s="1536" t="s">
        <v>2166</v>
      </c>
      <c r="C109" s="2129"/>
      <c r="D109" s="2129"/>
      <c r="E109" s="2129"/>
      <c r="F109" s="2122">
        <v>0.05</v>
      </c>
    </row>
    <row r="110" spans="1:6" ht="14.25" thickBot="1">
      <c r="A110" s="1530" t="s">
        <v>203</v>
      </c>
      <c r="B110" s="1531" t="s">
        <v>2167</v>
      </c>
      <c r="C110" s="2117">
        <v>0.129</v>
      </c>
      <c r="D110" s="2117">
        <v>0.129</v>
      </c>
      <c r="E110" s="2117">
        <v>0.126</v>
      </c>
      <c r="F110" s="2118">
        <v>0.13</v>
      </c>
    </row>
    <row r="111" spans="1:6" ht="14.25" thickBot="1">
      <c r="A111" s="1530" t="s">
        <v>203</v>
      </c>
      <c r="B111" s="1524" t="s">
        <v>1210</v>
      </c>
      <c r="C111" s="2119">
        <v>0.11</v>
      </c>
      <c r="D111" s="2119">
        <v>0.11</v>
      </c>
      <c r="E111" s="2119">
        <v>9.9000000000000005E-2</v>
      </c>
      <c r="F111" s="2120">
        <v>0.128</v>
      </c>
    </row>
    <row r="112" spans="1:6" ht="14.25" thickBot="1">
      <c r="A112" s="1530" t="s">
        <v>203</v>
      </c>
      <c r="B112" s="1524" t="s">
        <v>1223</v>
      </c>
      <c r="C112" s="2119">
        <v>0.125</v>
      </c>
      <c r="D112" s="2119">
        <v>0.125</v>
      </c>
      <c r="E112" s="2119">
        <v>0.12</v>
      </c>
      <c r="F112" s="2120">
        <v>0.125</v>
      </c>
    </row>
    <row r="113" spans="1:6" ht="14.25" thickBot="1">
      <c r="A113" s="1530" t="s">
        <v>203</v>
      </c>
      <c r="B113" s="1524" t="s">
        <v>1236</v>
      </c>
      <c r="C113" s="2119">
        <v>0.13</v>
      </c>
      <c r="D113" s="2119">
        <v>0.13</v>
      </c>
      <c r="E113" s="2119">
        <v>0.13</v>
      </c>
      <c r="F113" s="2120">
        <v>0.13</v>
      </c>
    </row>
    <row r="114" spans="1:6" ht="14.25" thickBot="1">
      <c r="A114" s="1530" t="s">
        <v>203</v>
      </c>
      <c r="B114" s="1524" t="s">
        <v>1248</v>
      </c>
      <c r="C114" s="2119">
        <v>0.123</v>
      </c>
      <c r="D114" s="2119">
        <v>0.123</v>
      </c>
      <c r="E114" s="2119">
        <v>0.12</v>
      </c>
      <c r="F114" s="2120">
        <v>0.13</v>
      </c>
    </row>
    <row r="115" spans="1:6" ht="14.25" thickBot="1">
      <c r="A115" s="1530" t="s">
        <v>203</v>
      </c>
      <c r="B115" s="1524" t="s">
        <v>1259</v>
      </c>
      <c r="C115" s="2119">
        <v>0.125</v>
      </c>
      <c r="D115" s="2119">
        <v>0.125</v>
      </c>
      <c r="E115" s="2119">
        <v>0.11700000000000001</v>
      </c>
      <c r="F115" s="2120">
        <v>0.13</v>
      </c>
    </row>
    <row r="116" spans="1:6" ht="14.25" thickBot="1">
      <c r="A116" s="1530" t="s">
        <v>203</v>
      </c>
      <c r="B116" s="1524" t="s">
        <v>1270</v>
      </c>
      <c r="C116" s="2119">
        <v>0.11700000000000001</v>
      </c>
      <c r="D116" s="2119">
        <v>0.11700000000000001</v>
      </c>
      <c r="E116" s="2119">
        <v>8.7999999999999995E-2</v>
      </c>
      <c r="F116" s="2120">
        <v>0.13</v>
      </c>
    </row>
    <row r="117" spans="1:6" ht="14.25" thickBot="1">
      <c r="A117" s="1530" t="s">
        <v>203</v>
      </c>
      <c r="B117" s="1524" t="s">
        <v>1281</v>
      </c>
      <c r="C117" s="2119">
        <v>0.13</v>
      </c>
      <c r="D117" s="2119">
        <v>0.13</v>
      </c>
      <c r="E117" s="2119">
        <v>0.129</v>
      </c>
      <c r="F117" s="2120">
        <v>0.13</v>
      </c>
    </row>
    <row r="118" spans="1:6" ht="14.25" thickBot="1">
      <c r="A118" s="1530" t="s">
        <v>203</v>
      </c>
      <c r="B118" s="1524" t="s">
        <v>1293</v>
      </c>
      <c r="C118" s="2119">
        <v>0.123</v>
      </c>
      <c r="D118" s="2119">
        <v>0.123</v>
      </c>
      <c r="E118" s="2119">
        <v>0.11600000000000001</v>
      </c>
      <c r="F118" s="2120">
        <v>0.13</v>
      </c>
    </row>
    <row r="119" spans="1:6" ht="14.25" thickBot="1">
      <c r="A119" s="1530" t="s">
        <v>203</v>
      </c>
      <c r="B119" s="1524" t="s">
        <v>1303</v>
      </c>
      <c r="C119" s="2119">
        <v>0.127</v>
      </c>
      <c r="D119" s="2119">
        <v>0.127</v>
      </c>
      <c r="E119" s="2119">
        <v>0.124</v>
      </c>
      <c r="F119" s="2120">
        <v>0.13</v>
      </c>
    </row>
    <row r="120" spans="1:6" ht="14.25" thickBot="1">
      <c r="A120" s="1530" t="s">
        <v>203</v>
      </c>
      <c r="B120" s="1524" t="s">
        <v>1313</v>
      </c>
      <c r="C120" s="2119">
        <v>0.125</v>
      </c>
      <c r="D120" s="2119">
        <v>0.125</v>
      </c>
      <c r="E120" s="2119">
        <v>0.122</v>
      </c>
      <c r="F120" s="2120">
        <v>0.13</v>
      </c>
    </row>
    <row r="121" spans="1:6" ht="14.25" thickBot="1">
      <c r="A121" s="1530" t="s">
        <v>203</v>
      </c>
      <c r="B121" s="1524" t="s">
        <v>1323</v>
      </c>
      <c r="C121" s="2119">
        <v>0.13</v>
      </c>
      <c r="D121" s="2119">
        <v>0.13</v>
      </c>
      <c r="E121" s="2119">
        <v>0.13</v>
      </c>
      <c r="F121" s="2120">
        <v>0.13</v>
      </c>
    </row>
    <row r="122" spans="1:6" ht="14.25" thickBot="1">
      <c r="A122" s="1530" t="s">
        <v>203</v>
      </c>
      <c r="B122" s="1524" t="s">
        <v>1333</v>
      </c>
      <c r="C122" s="2119">
        <v>0.13</v>
      </c>
      <c r="D122" s="2119">
        <v>0.13</v>
      </c>
      <c r="E122" s="2119">
        <v>0.125</v>
      </c>
      <c r="F122" s="2120">
        <v>0.13</v>
      </c>
    </row>
    <row r="123" spans="1:6" ht="14.25" thickBot="1">
      <c r="A123" s="1530" t="s">
        <v>203</v>
      </c>
      <c r="B123" s="1524" t="s">
        <v>1344</v>
      </c>
      <c r="C123" s="2119">
        <v>0.129</v>
      </c>
      <c r="D123" s="2119">
        <v>0.129</v>
      </c>
      <c r="E123" s="2119">
        <v>0.123</v>
      </c>
      <c r="F123" s="2120">
        <v>0.13</v>
      </c>
    </row>
    <row r="124" spans="1:6" ht="14.25" thickBot="1">
      <c r="A124" s="1530" t="s">
        <v>203</v>
      </c>
      <c r="B124" s="1524" t="s">
        <v>1355</v>
      </c>
      <c r="C124" s="2119">
        <v>0.10199999999999999</v>
      </c>
      <c r="D124" s="2119">
        <v>0.10100000000000001</v>
      </c>
      <c r="E124" s="2119">
        <v>0.08</v>
      </c>
      <c r="F124" s="2131"/>
    </row>
    <row r="125" spans="1:6" ht="14.25" thickBot="1">
      <c r="A125" s="1530" t="s">
        <v>203</v>
      </c>
      <c r="B125" s="1524" t="s">
        <v>1365</v>
      </c>
      <c r="C125" s="2119">
        <v>0.13</v>
      </c>
      <c r="D125" s="2119">
        <v>0.13</v>
      </c>
      <c r="E125" s="2119">
        <v>0.129</v>
      </c>
      <c r="F125" s="2131"/>
    </row>
    <row r="126" spans="1:6" ht="14.25" thickBot="1">
      <c r="A126" s="1530" t="s">
        <v>203</v>
      </c>
      <c r="B126" s="1524" t="s">
        <v>1375</v>
      </c>
      <c r="C126" s="2119">
        <v>0.13</v>
      </c>
      <c r="D126" s="2119">
        <v>0.13</v>
      </c>
      <c r="E126" s="2119">
        <v>0.126</v>
      </c>
      <c r="F126" s="2131"/>
    </row>
    <row r="127" spans="1:6" ht="14.25" thickBot="1">
      <c r="A127" s="1530" t="s">
        <v>203</v>
      </c>
      <c r="B127" s="1524" t="s">
        <v>1385</v>
      </c>
      <c r="C127" s="2119">
        <v>0.125</v>
      </c>
      <c r="D127" s="2119">
        <v>0.125</v>
      </c>
      <c r="E127" s="2119">
        <v>0.121</v>
      </c>
      <c r="F127" s="2131"/>
    </row>
    <row r="128" spans="1:6" ht="14.25" thickBot="1">
      <c r="A128" s="1530" t="s">
        <v>203</v>
      </c>
      <c r="B128" s="1524" t="s">
        <v>1395</v>
      </c>
      <c r="C128" s="2119">
        <v>0.12</v>
      </c>
      <c r="D128" s="2119">
        <v>0.12</v>
      </c>
      <c r="E128" s="2119">
        <v>0.105</v>
      </c>
      <c r="F128" s="2131"/>
    </row>
    <row r="129" spans="1:6" ht="14.25" thickBot="1">
      <c r="A129" s="1530" t="s">
        <v>203</v>
      </c>
      <c r="B129" s="1524" t="s">
        <v>1404</v>
      </c>
      <c r="C129" s="2119">
        <v>0.13</v>
      </c>
      <c r="D129" s="2119">
        <v>0.13</v>
      </c>
      <c r="E129" s="2119">
        <v>0.126</v>
      </c>
      <c r="F129" s="2131"/>
    </row>
    <row r="130" spans="1:6" ht="14.25" thickBot="1">
      <c r="A130" s="1530" t="s">
        <v>203</v>
      </c>
      <c r="B130" s="1524" t="s">
        <v>1413</v>
      </c>
      <c r="C130" s="2119">
        <v>0.125</v>
      </c>
      <c r="D130" s="2119">
        <v>0.125</v>
      </c>
      <c r="E130" s="2119">
        <v>0.122</v>
      </c>
      <c r="F130" s="2131"/>
    </row>
    <row r="131" spans="1:6" ht="14.25" thickBot="1">
      <c r="A131" s="1530" t="s">
        <v>203</v>
      </c>
      <c r="B131" s="1524" t="s">
        <v>1421</v>
      </c>
      <c r="C131" s="2119">
        <v>0.127</v>
      </c>
      <c r="D131" s="2119">
        <v>0.126</v>
      </c>
      <c r="E131" s="2119">
        <v>0.123</v>
      </c>
      <c r="F131" s="2131"/>
    </row>
    <row r="132" spans="1:6" ht="14.25" thickBot="1">
      <c r="A132" s="1530" t="s">
        <v>203</v>
      </c>
      <c r="B132" s="1524" t="s">
        <v>1428</v>
      </c>
      <c r="C132" s="2119">
        <v>9.0999999999999998E-2</v>
      </c>
      <c r="D132" s="2119">
        <v>0.121</v>
      </c>
      <c r="E132" s="2119">
        <v>9.9000000000000005E-2</v>
      </c>
      <c r="F132" s="2131"/>
    </row>
    <row r="133" spans="1:6" ht="14.25" thickBot="1">
      <c r="A133" s="1530" t="s">
        <v>203</v>
      </c>
      <c r="B133" s="1524" t="s">
        <v>1435</v>
      </c>
      <c r="C133" s="2119">
        <v>0.13</v>
      </c>
      <c r="D133" s="2119">
        <v>0.13</v>
      </c>
      <c r="E133" s="2119">
        <v>0.129</v>
      </c>
      <c r="F133" s="2131"/>
    </row>
    <row r="134" spans="1:6" ht="14.25" thickBot="1">
      <c r="A134" s="1530" t="s">
        <v>203</v>
      </c>
      <c r="B134" s="1524" t="s">
        <v>2168</v>
      </c>
      <c r="C134" s="2119">
        <v>6.8000000000000005E-2</v>
      </c>
      <c r="D134" s="2119">
        <v>6.5000000000000002E-2</v>
      </c>
      <c r="E134" s="2119">
        <v>6.5000000000000002E-2</v>
      </c>
      <c r="F134" s="2120">
        <v>0.13</v>
      </c>
    </row>
    <row r="135" spans="1:6" ht="14.25" thickBot="1">
      <c r="A135" s="1530" t="s">
        <v>203</v>
      </c>
      <c r="B135" s="1524" t="s">
        <v>1449</v>
      </c>
      <c r="C135" s="2119">
        <v>0.123</v>
      </c>
      <c r="D135" s="2119">
        <v>0.123</v>
      </c>
      <c r="E135" s="2119">
        <v>0.11</v>
      </c>
      <c r="F135" s="2131"/>
    </row>
    <row r="136" spans="1:6" ht="14.25" thickBot="1">
      <c r="A136" s="1530" t="s">
        <v>203</v>
      </c>
      <c r="B136" s="1524" t="s">
        <v>1456</v>
      </c>
      <c r="C136" s="2119">
        <v>0.13</v>
      </c>
      <c r="D136" s="2119">
        <v>0.13</v>
      </c>
      <c r="E136" s="2119">
        <v>0.125</v>
      </c>
      <c r="F136" s="2131"/>
    </row>
    <row r="137" spans="1:6" ht="14.25" thickBot="1">
      <c r="A137" s="1530" t="s">
        <v>203</v>
      </c>
      <c r="B137" s="1524" t="s">
        <v>1463</v>
      </c>
      <c r="C137" s="2119">
        <v>0.121</v>
      </c>
      <c r="D137" s="2119">
        <v>0.122</v>
      </c>
      <c r="E137" s="2119">
        <v>0.115</v>
      </c>
      <c r="F137" s="2131"/>
    </row>
    <row r="138" spans="1:6" ht="14.25" thickBot="1">
      <c r="A138" s="1530" t="s">
        <v>203</v>
      </c>
      <c r="B138" s="1524" t="s">
        <v>2169</v>
      </c>
      <c r="C138" s="2119">
        <v>0.105</v>
      </c>
      <c r="D138" s="2119">
        <v>0.125</v>
      </c>
      <c r="E138" s="2119">
        <v>0.112</v>
      </c>
      <c r="F138" s="2131"/>
    </row>
    <row r="139" spans="1:6" ht="14.25" thickBot="1">
      <c r="A139" s="1530" t="s">
        <v>203</v>
      </c>
      <c r="B139" s="1524" t="s">
        <v>2170</v>
      </c>
      <c r="C139" s="2119">
        <v>0.127</v>
      </c>
      <c r="D139" s="2119">
        <v>0.127</v>
      </c>
      <c r="E139" s="2119">
        <v>0.122</v>
      </c>
      <c r="F139" s="2120">
        <v>0.13</v>
      </c>
    </row>
    <row r="140" spans="1:6" ht="14.25" thickBot="1">
      <c r="A140" s="1530" t="s">
        <v>203</v>
      </c>
      <c r="B140" s="1524" t="s">
        <v>2171</v>
      </c>
      <c r="C140" s="2119">
        <v>0.125</v>
      </c>
      <c r="D140" s="2119">
        <v>0.125</v>
      </c>
      <c r="E140" s="2119">
        <v>0.11899999999999999</v>
      </c>
      <c r="F140" s="2120">
        <v>0.13</v>
      </c>
    </row>
    <row r="141" spans="1:6" ht="14.25" thickBot="1">
      <c r="A141" s="1530" t="s">
        <v>203</v>
      </c>
      <c r="B141" s="1524" t="s">
        <v>1482</v>
      </c>
      <c r="C141" s="2119">
        <v>0.125</v>
      </c>
      <c r="D141" s="2119">
        <v>0.125</v>
      </c>
      <c r="E141" s="2119">
        <v>0.11700000000000001</v>
      </c>
      <c r="F141" s="2131"/>
    </row>
    <row r="142" spans="1:6" ht="14.25" thickBot="1">
      <c r="A142" s="1530" t="s">
        <v>203</v>
      </c>
      <c r="B142" s="1524" t="s">
        <v>1487</v>
      </c>
      <c r="C142" s="2119">
        <v>0.125</v>
      </c>
      <c r="D142" s="2119">
        <v>0.125</v>
      </c>
      <c r="E142" s="2119">
        <v>0.115</v>
      </c>
      <c r="F142" s="2131"/>
    </row>
    <row r="143" spans="1:6" ht="14.25" thickBot="1">
      <c r="A143" s="1530" t="s">
        <v>203</v>
      </c>
      <c r="B143" s="1524" t="s">
        <v>1492</v>
      </c>
      <c r="C143" s="2119">
        <v>0.121</v>
      </c>
      <c r="D143" s="2119">
        <v>0.121</v>
      </c>
      <c r="E143" s="2119">
        <v>0.108</v>
      </c>
      <c r="F143" s="2131"/>
    </row>
    <row r="144" spans="1:6" ht="14.25" thickBot="1">
      <c r="A144" s="1530" t="s">
        <v>203</v>
      </c>
      <c r="B144" s="2123" t="s">
        <v>2172</v>
      </c>
      <c r="C144" s="2124">
        <v>0.126</v>
      </c>
      <c r="D144" s="2124">
        <v>0.126</v>
      </c>
      <c r="E144" s="2124">
        <v>0.121</v>
      </c>
      <c r="F144" s="2131"/>
    </row>
    <row r="145" spans="1:6" ht="14.25" thickBot="1">
      <c r="A145" s="1540" t="s">
        <v>203</v>
      </c>
      <c r="B145" s="2125" t="s">
        <v>2173</v>
      </c>
      <c r="C145" s="2133"/>
      <c r="D145" s="2133"/>
      <c r="E145" s="2133"/>
      <c r="F145" s="2126">
        <v>0.05</v>
      </c>
    </row>
    <row r="146" spans="1:6" ht="24.75" thickBot="1">
      <c r="A146" s="2127" t="s">
        <v>203</v>
      </c>
      <c r="B146" s="1534" t="s">
        <v>2174</v>
      </c>
      <c r="C146" s="2132"/>
      <c r="D146" s="2132"/>
      <c r="E146" s="2132"/>
      <c r="F146" s="2128">
        <v>0.05</v>
      </c>
    </row>
    <row r="147" spans="1:6" ht="24.75" thickBot="1">
      <c r="A147" s="1530" t="s">
        <v>203</v>
      </c>
      <c r="B147" s="1524" t="s">
        <v>2175</v>
      </c>
      <c r="C147" s="2132"/>
      <c r="D147" s="2132"/>
      <c r="E147" s="2132"/>
      <c r="F147" s="2120">
        <v>0.05</v>
      </c>
    </row>
    <row r="148" spans="1:6" ht="24.75" thickBot="1">
      <c r="A148" s="1530" t="s">
        <v>203</v>
      </c>
      <c r="B148" s="1524" t="s">
        <v>2176</v>
      </c>
      <c r="C148" s="2132"/>
      <c r="D148" s="2132"/>
      <c r="E148" s="2132"/>
      <c r="F148" s="2120">
        <v>0.05</v>
      </c>
    </row>
    <row r="149" spans="1:6" ht="24.75" thickBot="1">
      <c r="A149" s="1530" t="s">
        <v>203</v>
      </c>
      <c r="B149" s="1524" t="s">
        <v>2177</v>
      </c>
      <c r="C149" s="2132"/>
      <c r="D149" s="2132"/>
      <c r="E149" s="2132"/>
      <c r="F149" s="2120">
        <v>0.05</v>
      </c>
    </row>
    <row r="150" spans="1:6" ht="24.75" thickBot="1">
      <c r="A150" s="1530" t="s">
        <v>203</v>
      </c>
      <c r="B150" s="1524" t="s">
        <v>2178</v>
      </c>
      <c r="C150" s="2132"/>
      <c r="D150" s="2132"/>
      <c r="E150" s="2132"/>
      <c r="F150" s="2120">
        <v>0.05</v>
      </c>
    </row>
    <row r="151" spans="1:6" ht="24.75" thickBot="1">
      <c r="A151" s="1530" t="s">
        <v>203</v>
      </c>
      <c r="B151" s="1524" t="s">
        <v>2179</v>
      </c>
      <c r="C151" s="2132"/>
      <c r="D151" s="2132"/>
      <c r="E151" s="2132"/>
      <c r="F151" s="2120">
        <v>0.05</v>
      </c>
    </row>
    <row r="152" spans="1:6" ht="24.75" thickBot="1">
      <c r="A152" s="1530" t="s">
        <v>203</v>
      </c>
      <c r="B152" s="1524" t="s">
        <v>1525</v>
      </c>
      <c r="C152" s="2132"/>
      <c r="D152" s="2132"/>
      <c r="E152" s="2132"/>
      <c r="F152" s="2120">
        <v>0.05</v>
      </c>
    </row>
    <row r="153" spans="1:6" ht="14.25" thickBot="1">
      <c r="A153" s="1530" t="s">
        <v>203</v>
      </c>
      <c r="B153" s="1524" t="s">
        <v>2180</v>
      </c>
      <c r="C153" s="2132"/>
      <c r="D153" s="2132"/>
      <c r="E153" s="2132"/>
      <c r="F153" s="2120">
        <v>0.05</v>
      </c>
    </row>
    <row r="154" spans="1:6" ht="14.25" thickBot="1">
      <c r="A154" s="1530" t="s">
        <v>203</v>
      </c>
      <c r="B154" s="1524" t="s">
        <v>2181</v>
      </c>
      <c r="C154" s="2132"/>
      <c r="D154" s="2132"/>
      <c r="E154" s="2132"/>
      <c r="F154" s="2120">
        <v>0.05</v>
      </c>
    </row>
    <row r="155" spans="1:6" ht="24.75" thickBot="1">
      <c r="A155" s="1530" t="s">
        <v>203</v>
      </c>
      <c r="B155" s="1524" t="s">
        <v>2182</v>
      </c>
      <c r="C155" s="2132"/>
      <c r="D155" s="2132"/>
      <c r="E155" s="2132"/>
      <c r="F155" s="2120">
        <v>0.05</v>
      </c>
    </row>
    <row r="156" spans="1:6" ht="24.75" thickBot="1">
      <c r="A156" s="1530" t="s">
        <v>203</v>
      </c>
      <c r="B156" s="1524" t="s">
        <v>2183</v>
      </c>
      <c r="C156" s="2132"/>
      <c r="D156" s="2132"/>
      <c r="E156" s="2132"/>
      <c r="F156" s="2120">
        <v>0.05</v>
      </c>
    </row>
    <row r="157" spans="1:6" ht="14.25" thickBot="1">
      <c r="A157" s="1540" t="s">
        <v>203</v>
      </c>
      <c r="B157" s="1536" t="s">
        <v>2184</v>
      </c>
      <c r="C157" s="2129"/>
      <c r="D157" s="2129"/>
      <c r="E157" s="2129"/>
      <c r="F157" s="2122">
        <v>0.05</v>
      </c>
    </row>
    <row r="158" spans="1:6" ht="14.25" thickBot="1">
      <c r="A158" s="1530" t="s">
        <v>1544</v>
      </c>
      <c r="B158" s="1531" t="s">
        <v>2185</v>
      </c>
      <c r="C158" s="2117">
        <v>0.13</v>
      </c>
      <c r="D158" s="2117">
        <v>0.13</v>
      </c>
      <c r="E158" s="2117">
        <v>0.13</v>
      </c>
      <c r="F158" s="2118">
        <v>0.13</v>
      </c>
    </row>
    <row r="159" spans="1:6" ht="14.25" thickBot="1">
      <c r="A159" s="1530" t="s">
        <v>1544</v>
      </c>
      <c r="B159" s="1524" t="s">
        <v>1211</v>
      </c>
      <c r="C159" s="2119">
        <v>0.13</v>
      </c>
      <c r="D159" s="2119">
        <v>0.13</v>
      </c>
      <c r="E159" s="2119">
        <v>0.13</v>
      </c>
      <c r="F159" s="2120">
        <v>0.13</v>
      </c>
    </row>
    <row r="160" spans="1:6" ht="14.25" thickBot="1">
      <c r="A160" s="1530" t="s">
        <v>1544</v>
      </c>
      <c r="B160" s="1524" t="s">
        <v>1224</v>
      </c>
      <c r="C160" s="2119">
        <v>0.13</v>
      </c>
      <c r="D160" s="2119">
        <v>0.13</v>
      </c>
      <c r="E160" s="2119">
        <v>0.129</v>
      </c>
      <c r="F160" s="2120">
        <v>0.13</v>
      </c>
    </row>
    <row r="161" spans="1:6" ht="14.25" thickBot="1">
      <c r="A161" s="1530" t="s">
        <v>1544</v>
      </c>
      <c r="B161" s="1524" t="s">
        <v>1237</v>
      </c>
      <c r="C161" s="2119">
        <v>0.128</v>
      </c>
      <c r="D161" s="2119">
        <v>0.128</v>
      </c>
      <c r="E161" s="2119">
        <v>0.125</v>
      </c>
      <c r="F161" s="2120">
        <v>0.13</v>
      </c>
    </row>
    <row r="162" spans="1:6" ht="14.25" thickBot="1">
      <c r="A162" s="1530" t="s">
        <v>1544</v>
      </c>
      <c r="B162" s="1524" t="s">
        <v>1249</v>
      </c>
      <c r="C162" s="2119">
        <v>0.122</v>
      </c>
      <c r="D162" s="2119">
        <v>0.122</v>
      </c>
      <c r="E162" s="2119">
        <v>0.126</v>
      </c>
      <c r="F162" s="2120">
        <v>0.122</v>
      </c>
    </row>
    <row r="163" spans="1:6" ht="14.25" thickBot="1">
      <c r="A163" s="1530" t="s">
        <v>1544</v>
      </c>
      <c r="B163" s="1524" t="s">
        <v>1260</v>
      </c>
      <c r="C163" s="2119">
        <v>0.13</v>
      </c>
      <c r="D163" s="2119">
        <v>0.13</v>
      </c>
      <c r="E163" s="2119">
        <v>0.125</v>
      </c>
      <c r="F163" s="2120">
        <v>0.13</v>
      </c>
    </row>
    <row r="164" spans="1:6" ht="14.25" thickBot="1">
      <c r="A164" s="1530" t="s">
        <v>1544</v>
      </c>
      <c r="B164" s="1524" t="s">
        <v>1271</v>
      </c>
      <c r="C164" s="2119">
        <v>0.13</v>
      </c>
      <c r="D164" s="2119">
        <v>0.13</v>
      </c>
      <c r="E164" s="2119">
        <v>0.13</v>
      </c>
      <c r="F164" s="2120">
        <v>0.13</v>
      </c>
    </row>
    <row r="165" spans="1:6" ht="14.25" thickBot="1">
      <c r="A165" s="1530" t="s">
        <v>1544</v>
      </c>
      <c r="B165" s="1524" t="s">
        <v>1282</v>
      </c>
      <c r="C165" s="2119">
        <v>0.13</v>
      </c>
      <c r="D165" s="2119">
        <v>0.13</v>
      </c>
      <c r="E165" s="2119">
        <v>0.124</v>
      </c>
      <c r="F165" s="2120">
        <v>0.13</v>
      </c>
    </row>
    <row r="166" spans="1:6" ht="14.25" thickBot="1">
      <c r="A166" s="1530" t="s">
        <v>1544</v>
      </c>
      <c r="B166" s="1524" t="s">
        <v>1294</v>
      </c>
      <c r="C166" s="2119">
        <v>0.13</v>
      </c>
      <c r="D166" s="2119">
        <v>0.13</v>
      </c>
      <c r="E166" s="2119">
        <v>0.13</v>
      </c>
      <c r="F166" s="2120">
        <v>0.13</v>
      </c>
    </row>
    <row r="167" spans="1:6" ht="14.25" thickBot="1">
      <c r="A167" s="1530" t="s">
        <v>1544</v>
      </c>
      <c r="B167" s="1524" t="s">
        <v>1304</v>
      </c>
      <c r="C167" s="2119">
        <v>0.125</v>
      </c>
      <c r="D167" s="2119">
        <v>0.125</v>
      </c>
      <c r="E167" s="2119">
        <v>0.121</v>
      </c>
      <c r="F167" s="2131"/>
    </row>
    <row r="168" spans="1:6" ht="14.25" thickBot="1">
      <c r="A168" s="1530" t="s">
        <v>1544</v>
      </c>
      <c r="B168" s="1524" t="s">
        <v>1314</v>
      </c>
      <c r="C168" s="2119">
        <v>0.13</v>
      </c>
      <c r="D168" s="2119">
        <v>0.13</v>
      </c>
      <c r="E168" s="2119">
        <v>0.126</v>
      </c>
      <c r="F168" s="2131"/>
    </row>
    <row r="169" spans="1:6" ht="14.25" thickBot="1">
      <c r="A169" s="1530" t="s">
        <v>1544</v>
      </c>
      <c r="B169" s="1524" t="s">
        <v>1324</v>
      </c>
      <c r="C169" s="2119">
        <v>0.128</v>
      </c>
      <c r="D169" s="2119">
        <v>0.129</v>
      </c>
      <c r="E169" s="2119">
        <v>0.13</v>
      </c>
      <c r="F169" s="2131"/>
    </row>
    <row r="170" spans="1:6" ht="14.25" thickBot="1">
      <c r="A170" s="1530" t="s">
        <v>1544</v>
      </c>
      <c r="B170" s="1524" t="s">
        <v>1334</v>
      </c>
      <c r="C170" s="2119">
        <v>0.14099999999999999</v>
      </c>
      <c r="D170" s="2119">
        <v>0.13</v>
      </c>
      <c r="E170" s="2119">
        <v>0.125</v>
      </c>
      <c r="F170" s="2131"/>
    </row>
    <row r="171" spans="1:6" ht="14.25" thickBot="1">
      <c r="A171" s="1530" t="s">
        <v>1544</v>
      </c>
      <c r="B171" s="1524" t="s">
        <v>2186</v>
      </c>
      <c r="C171" s="2119">
        <v>0.127</v>
      </c>
      <c r="D171" s="2119">
        <v>0.126</v>
      </c>
      <c r="E171" s="2119">
        <v>0.126</v>
      </c>
      <c r="F171" s="2120">
        <v>0.11799999999999999</v>
      </c>
    </row>
    <row r="172" spans="1:6" ht="14.25" thickBot="1">
      <c r="A172" s="1530" t="s">
        <v>1544</v>
      </c>
      <c r="B172" s="1524" t="s">
        <v>2187</v>
      </c>
      <c r="C172" s="2119">
        <v>0.13</v>
      </c>
      <c r="D172" s="2119">
        <v>0.13</v>
      </c>
      <c r="E172" s="2119">
        <v>0.13</v>
      </c>
      <c r="F172" s="2131"/>
    </row>
    <row r="173" spans="1:6" ht="14.25" thickBot="1">
      <c r="A173" s="1530" t="s">
        <v>1544</v>
      </c>
      <c r="B173" s="1524" t="s">
        <v>1366</v>
      </c>
      <c r="C173" s="2119">
        <v>0.13</v>
      </c>
      <c r="D173" s="2119">
        <v>0.13</v>
      </c>
      <c r="E173" s="2119">
        <v>0.13</v>
      </c>
      <c r="F173" s="2131"/>
    </row>
    <row r="174" spans="1:6" ht="14.25" thickBot="1">
      <c r="A174" s="1530" t="s">
        <v>1544</v>
      </c>
      <c r="B174" s="1524" t="s">
        <v>2188</v>
      </c>
      <c r="C174" s="2119">
        <v>0.13</v>
      </c>
      <c r="D174" s="2119">
        <v>0.13</v>
      </c>
      <c r="E174" s="2119">
        <v>0.13</v>
      </c>
      <c r="F174" s="2120">
        <v>0.13</v>
      </c>
    </row>
    <row r="175" spans="1:6" ht="14.25" thickBot="1">
      <c r="A175" s="1530" t="s">
        <v>1544</v>
      </c>
      <c r="B175" s="1524" t="s">
        <v>2189</v>
      </c>
      <c r="C175" s="2119">
        <v>0.13</v>
      </c>
      <c r="D175" s="2119">
        <v>0.13</v>
      </c>
      <c r="E175" s="2119">
        <v>0.13</v>
      </c>
      <c r="F175" s="2120">
        <v>0.13</v>
      </c>
    </row>
    <row r="176" spans="1:6" ht="14.25" thickBot="1">
      <c r="A176" s="1530" t="s">
        <v>1544</v>
      </c>
      <c r="B176" s="1524" t="s">
        <v>1396</v>
      </c>
      <c r="C176" s="2119">
        <v>0.13</v>
      </c>
      <c r="D176" s="2119">
        <v>0.13</v>
      </c>
      <c r="E176" s="2119">
        <v>0.13</v>
      </c>
      <c r="F176" s="2120">
        <v>0.13</v>
      </c>
    </row>
    <row r="177" spans="1:6" ht="14.25" thickBot="1">
      <c r="A177" s="1530" t="s">
        <v>1544</v>
      </c>
      <c r="B177" s="1524" t="s">
        <v>2190</v>
      </c>
      <c r="C177" s="2119">
        <v>0.13</v>
      </c>
      <c r="D177" s="2119">
        <v>0.13</v>
      </c>
      <c r="E177" s="2119">
        <v>0.13</v>
      </c>
      <c r="F177" s="2120">
        <v>0.13</v>
      </c>
    </row>
    <row r="178" spans="1:6" ht="14.25" thickBot="1">
      <c r="A178" s="1530" t="s">
        <v>1544</v>
      </c>
      <c r="B178" s="1524" t="s">
        <v>1414</v>
      </c>
      <c r="C178" s="2119">
        <v>0.13</v>
      </c>
      <c r="D178" s="2119">
        <v>0.13</v>
      </c>
      <c r="E178" s="2119">
        <v>0.13</v>
      </c>
      <c r="F178" s="2120">
        <v>0.127</v>
      </c>
    </row>
    <row r="179" spans="1:6" ht="14.25" thickBot="1">
      <c r="A179" s="1530" t="s">
        <v>1544</v>
      </c>
      <c r="B179" s="1524" t="s">
        <v>1422</v>
      </c>
      <c r="C179" s="2119">
        <v>0.13</v>
      </c>
      <c r="D179" s="2119">
        <v>0.13</v>
      </c>
      <c r="E179" s="2119">
        <v>0.13</v>
      </c>
      <c r="F179" s="2131"/>
    </row>
    <row r="180" spans="1:6" ht="14.25" thickBot="1">
      <c r="A180" s="1530" t="s">
        <v>1544</v>
      </c>
      <c r="B180" s="1524" t="s">
        <v>2191</v>
      </c>
      <c r="C180" s="2119">
        <v>0.13</v>
      </c>
      <c r="D180" s="2119">
        <v>0.13</v>
      </c>
      <c r="E180" s="2119">
        <v>0.125</v>
      </c>
      <c r="F180" s="2120">
        <v>0.13</v>
      </c>
    </row>
    <row r="181" spans="1:6" ht="14.25" thickBot="1">
      <c r="A181" s="1530" t="s">
        <v>1544</v>
      </c>
      <c r="B181" s="1524" t="s">
        <v>1436</v>
      </c>
      <c r="C181" s="2119">
        <v>0.122</v>
      </c>
      <c r="D181" s="2119">
        <v>0.123</v>
      </c>
      <c r="E181" s="2119">
        <v>0.126</v>
      </c>
      <c r="F181" s="2120">
        <v>0.121</v>
      </c>
    </row>
    <row r="182" spans="1:6" ht="14.25" thickBot="1">
      <c r="A182" s="1530" t="s">
        <v>1544</v>
      </c>
      <c r="B182" s="1524" t="s">
        <v>1443</v>
      </c>
      <c r="C182" s="2119">
        <v>0.125</v>
      </c>
      <c r="D182" s="2119">
        <v>0.125</v>
      </c>
      <c r="E182" s="2119">
        <v>0.11700000000000001</v>
      </c>
      <c r="F182" s="2120">
        <v>0.13</v>
      </c>
    </row>
    <row r="183" spans="1:6" ht="14.25" thickBot="1">
      <c r="A183" s="1530" t="s">
        <v>1544</v>
      </c>
      <c r="B183" s="1524" t="s">
        <v>1450</v>
      </c>
      <c r="C183" s="2119">
        <v>0.127</v>
      </c>
      <c r="D183" s="2119">
        <v>0.127</v>
      </c>
      <c r="E183" s="2119">
        <v>0.128</v>
      </c>
      <c r="F183" s="2131"/>
    </row>
    <row r="184" spans="1:6" ht="14.25" thickBot="1">
      <c r="A184" s="1530" t="s">
        <v>1544</v>
      </c>
      <c r="B184" s="1524" t="s">
        <v>1457</v>
      </c>
      <c r="C184" s="2119">
        <v>0.125</v>
      </c>
      <c r="D184" s="2119">
        <v>0.125</v>
      </c>
      <c r="E184" s="2119">
        <v>0.127</v>
      </c>
      <c r="F184" s="2131"/>
    </row>
    <row r="185" spans="1:6" ht="14.25" thickBot="1">
      <c r="A185" s="1530" t="s">
        <v>1544</v>
      </c>
      <c r="B185" s="1524" t="s">
        <v>2192</v>
      </c>
      <c r="C185" s="2119">
        <v>0.127</v>
      </c>
      <c r="D185" s="2119">
        <v>0.127</v>
      </c>
      <c r="E185" s="2119">
        <v>0.128</v>
      </c>
      <c r="F185" s="2120">
        <v>0.13</v>
      </c>
    </row>
    <row r="186" spans="1:6" ht="24.75" thickBot="1">
      <c r="A186" s="1530" t="s">
        <v>1544</v>
      </c>
      <c r="B186" s="1524" t="s">
        <v>2193</v>
      </c>
      <c r="C186" s="2132"/>
      <c r="D186" s="2132"/>
      <c r="E186" s="2132"/>
      <c r="F186" s="2120">
        <v>0.05</v>
      </c>
    </row>
    <row r="187" spans="1:6" ht="14.25" thickBot="1">
      <c r="A187" s="1530" t="s">
        <v>1544</v>
      </c>
      <c r="B187" s="1524" t="s">
        <v>2194</v>
      </c>
      <c r="C187" s="2132"/>
      <c r="D187" s="2132"/>
      <c r="E187" s="2132"/>
      <c r="F187" s="2120">
        <v>0.05</v>
      </c>
    </row>
    <row r="188" spans="1:6" ht="14.25" thickBot="1">
      <c r="A188" s="1530" t="s">
        <v>1544</v>
      </c>
      <c r="B188" s="1524" t="s">
        <v>2195</v>
      </c>
      <c r="C188" s="2132"/>
      <c r="D188" s="2132"/>
      <c r="E188" s="2132"/>
      <c r="F188" s="2120">
        <v>0.05</v>
      </c>
    </row>
    <row r="189" spans="1:6" ht="24.75" thickBot="1">
      <c r="A189" s="1530" t="s">
        <v>1544</v>
      </c>
      <c r="B189" s="1524" t="s">
        <v>2196</v>
      </c>
      <c r="C189" s="2132"/>
      <c r="D189" s="2132"/>
      <c r="E189" s="2132"/>
      <c r="F189" s="2120">
        <v>0.05</v>
      </c>
    </row>
    <row r="190" spans="1:6" ht="24.75" thickBot="1">
      <c r="A190" s="1530" t="s">
        <v>1544</v>
      </c>
      <c r="B190" s="1524" t="s">
        <v>2197</v>
      </c>
      <c r="C190" s="2132"/>
      <c r="D190" s="2132"/>
      <c r="E190" s="2132"/>
      <c r="F190" s="2120">
        <v>0.05</v>
      </c>
    </row>
    <row r="191" spans="1:6" ht="24.75" thickBot="1">
      <c r="A191" s="1530" t="s">
        <v>1544</v>
      </c>
      <c r="B191" s="1524" t="s">
        <v>2198</v>
      </c>
      <c r="C191" s="2132"/>
      <c r="D191" s="2132"/>
      <c r="E191" s="2132"/>
      <c r="F191" s="2120">
        <v>0.05</v>
      </c>
    </row>
    <row r="192" spans="1:6" ht="24.75" thickBot="1">
      <c r="A192" s="1530" t="s">
        <v>1544</v>
      </c>
      <c r="B192" s="1524" t="s">
        <v>2199</v>
      </c>
      <c r="C192" s="2132"/>
      <c r="D192" s="2132"/>
      <c r="E192" s="2132"/>
      <c r="F192" s="2120">
        <v>0.05</v>
      </c>
    </row>
    <row r="193" spans="1:6" ht="24.75" thickBot="1">
      <c r="A193" s="1530" t="s">
        <v>1544</v>
      </c>
      <c r="B193" s="1524" t="s">
        <v>2200</v>
      </c>
      <c r="C193" s="2132"/>
      <c r="D193" s="2132"/>
      <c r="E193" s="2132"/>
      <c r="F193" s="2120">
        <v>0.05</v>
      </c>
    </row>
    <row r="194" spans="1:6" ht="24.75" thickBot="1">
      <c r="A194" s="1530" t="s">
        <v>1544</v>
      </c>
      <c r="B194" s="1524" t="s">
        <v>2201</v>
      </c>
      <c r="C194" s="2132"/>
      <c r="D194" s="2132"/>
      <c r="E194" s="2132"/>
      <c r="F194" s="2120">
        <v>0.05</v>
      </c>
    </row>
    <row r="195" spans="1:6" ht="14.25" thickBot="1">
      <c r="A195" s="1530" t="s">
        <v>1544</v>
      </c>
      <c r="B195" s="1524" t="s">
        <v>2202</v>
      </c>
      <c r="C195" s="2132"/>
      <c r="D195" s="2132"/>
      <c r="E195" s="2132"/>
      <c r="F195" s="2120">
        <v>0.05</v>
      </c>
    </row>
    <row r="196" spans="1:6" ht="24.75" thickBot="1">
      <c r="A196" s="1530" t="s">
        <v>1544</v>
      </c>
      <c r="B196" s="1524" t="s">
        <v>2203</v>
      </c>
      <c r="C196" s="2132"/>
      <c r="D196" s="2132"/>
      <c r="E196" s="2132"/>
      <c r="F196" s="2120">
        <v>0.05</v>
      </c>
    </row>
    <row r="197" spans="1:6" ht="24.75" thickBot="1">
      <c r="A197" s="1530" t="s">
        <v>1544</v>
      </c>
      <c r="B197" s="1524" t="s">
        <v>2204</v>
      </c>
      <c r="C197" s="2132"/>
      <c r="D197" s="2132"/>
      <c r="E197" s="2132"/>
      <c r="F197" s="2120">
        <v>0.05</v>
      </c>
    </row>
    <row r="198" spans="1:6" ht="24.75" thickBot="1">
      <c r="A198" s="1530" t="s">
        <v>1544</v>
      </c>
      <c r="B198" s="1524" t="s">
        <v>2205</v>
      </c>
      <c r="C198" s="2132"/>
      <c r="D198" s="2132"/>
      <c r="E198" s="2132"/>
      <c r="F198" s="2120">
        <v>0.05</v>
      </c>
    </row>
    <row r="199" spans="1:6" ht="24.75" thickBot="1">
      <c r="A199" s="1530" t="s">
        <v>1544</v>
      </c>
      <c r="B199" s="1524" t="s">
        <v>2206</v>
      </c>
      <c r="C199" s="2132"/>
      <c r="D199" s="2132"/>
      <c r="E199" s="2132"/>
      <c r="F199" s="2120">
        <v>0.05</v>
      </c>
    </row>
    <row r="200" spans="1:6" ht="24.75" thickBot="1">
      <c r="A200" s="1530" t="s">
        <v>1544</v>
      </c>
      <c r="B200" s="1524" t="s">
        <v>2207</v>
      </c>
      <c r="C200" s="2132"/>
      <c r="D200" s="2132"/>
      <c r="E200" s="2132"/>
      <c r="F200" s="2120">
        <v>0.05</v>
      </c>
    </row>
    <row r="201" spans="1:6" ht="24.75" thickBot="1">
      <c r="A201" s="1530" t="s">
        <v>1544</v>
      </c>
      <c r="B201" s="1524" t="s">
        <v>2208</v>
      </c>
      <c r="C201" s="2132"/>
      <c r="D201" s="2132"/>
      <c r="E201" s="2132"/>
      <c r="F201" s="2120">
        <v>0.05</v>
      </c>
    </row>
    <row r="202" spans="1:6" ht="24.75" thickBot="1">
      <c r="A202" s="1530" t="s">
        <v>1544</v>
      </c>
      <c r="B202" s="1524" t="s">
        <v>2209</v>
      </c>
      <c r="C202" s="2132"/>
      <c r="D202" s="2132"/>
      <c r="E202" s="2132"/>
      <c r="F202" s="2120">
        <v>0.05</v>
      </c>
    </row>
    <row r="203" spans="1:6" ht="24.75" thickBot="1">
      <c r="A203" s="1530" t="s">
        <v>1544</v>
      </c>
      <c r="B203" s="1524" t="s">
        <v>2210</v>
      </c>
      <c r="C203" s="2132"/>
      <c r="D203" s="2132"/>
      <c r="E203" s="2132"/>
      <c r="F203" s="2120">
        <v>0.05</v>
      </c>
    </row>
    <row r="204" spans="1:6" ht="14.25" thickBot="1">
      <c r="A204" s="1530" t="s">
        <v>1544</v>
      </c>
      <c r="B204" s="1524" t="s">
        <v>2211</v>
      </c>
      <c r="C204" s="2132"/>
      <c r="D204" s="2132"/>
      <c r="E204" s="2132"/>
      <c r="F204" s="2120">
        <v>0.05</v>
      </c>
    </row>
    <row r="205" spans="1:6" ht="14.25" thickBot="1">
      <c r="A205" s="1540" t="s">
        <v>1544</v>
      </c>
      <c r="B205" s="1536" t="s">
        <v>2212</v>
      </c>
      <c r="C205" s="2129"/>
      <c r="D205" s="2129"/>
      <c r="E205" s="2129"/>
      <c r="F205" s="2122">
        <v>0.05</v>
      </c>
    </row>
    <row r="206" spans="1:6" ht="14.25" thickBot="1">
      <c r="A206" s="1530" t="s">
        <v>1546</v>
      </c>
      <c r="B206" s="1531" t="s">
        <v>2213</v>
      </c>
      <c r="C206" s="2117">
        <v>0.15</v>
      </c>
      <c r="D206" s="2117">
        <v>0.15</v>
      </c>
      <c r="E206" s="2117">
        <v>0.15</v>
      </c>
      <c r="F206" s="2118">
        <v>0.15</v>
      </c>
    </row>
    <row r="207" spans="1:6" ht="14.25" thickBot="1">
      <c r="A207" s="1530" t="s">
        <v>1546</v>
      </c>
      <c r="B207" s="1524" t="s">
        <v>1212</v>
      </c>
      <c r="C207" s="2119">
        <v>0.15</v>
      </c>
      <c r="D207" s="2119">
        <v>0.15</v>
      </c>
      <c r="E207" s="2119">
        <v>0.15</v>
      </c>
      <c r="F207" s="2120">
        <v>0.14399999999999999</v>
      </c>
    </row>
    <row r="208" spans="1:6" ht="14.25" thickBot="1">
      <c r="A208" s="1530" t="s">
        <v>1546</v>
      </c>
      <c r="B208" s="1524" t="s">
        <v>1225</v>
      </c>
      <c r="C208" s="2119">
        <v>0.15</v>
      </c>
      <c r="D208" s="2119">
        <v>0.15</v>
      </c>
      <c r="E208" s="2119">
        <v>0.15</v>
      </c>
      <c r="F208" s="2120">
        <v>0.15</v>
      </c>
    </row>
    <row r="209" spans="1:6" ht="14.25" thickBot="1">
      <c r="A209" s="1530" t="s">
        <v>1546</v>
      </c>
      <c r="B209" s="1524" t="s">
        <v>1238</v>
      </c>
      <c r="C209" s="2119">
        <v>0.13700000000000001</v>
      </c>
      <c r="D209" s="2119">
        <v>0.13700000000000001</v>
      </c>
      <c r="E209" s="2119">
        <v>0.14000000000000001</v>
      </c>
      <c r="F209" s="2120">
        <v>0.11700000000000001</v>
      </c>
    </row>
    <row r="210" spans="1:6" ht="14.25" thickBot="1">
      <c r="A210" s="1530" t="s">
        <v>1546</v>
      </c>
      <c r="B210" s="1524" t="s">
        <v>2214</v>
      </c>
      <c r="C210" s="2119">
        <v>0.15</v>
      </c>
      <c r="D210" s="2119">
        <v>0.15</v>
      </c>
      <c r="E210" s="2119">
        <v>0.15</v>
      </c>
      <c r="F210" s="2120">
        <v>0.13800000000000001</v>
      </c>
    </row>
    <row r="211" spans="1:6" ht="14.25" thickBot="1">
      <c r="A211" s="1530" t="s">
        <v>1546</v>
      </c>
      <c r="B211" s="1524" t="s">
        <v>2215</v>
      </c>
      <c r="C211" s="2119">
        <v>0.13700000000000001</v>
      </c>
      <c r="D211" s="2119">
        <v>0.13500000000000001</v>
      </c>
      <c r="E211" s="2119">
        <v>0.13600000000000001</v>
      </c>
      <c r="F211" s="2120">
        <v>0.1</v>
      </c>
    </row>
    <row r="212" spans="1:6" ht="14.25" thickBot="1">
      <c r="A212" s="1530" t="s">
        <v>1546</v>
      </c>
      <c r="B212" s="1524" t="s">
        <v>2216</v>
      </c>
      <c r="C212" s="2119">
        <v>0.15</v>
      </c>
      <c r="D212" s="2119">
        <v>0.15</v>
      </c>
      <c r="E212" s="2119">
        <v>0.14799999999999999</v>
      </c>
      <c r="F212" s="2120">
        <v>0.13600000000000001</v>
      </c>
    </row>
    <row r="213" spans="1:6" ht="14.25" thickBot="1">
      <c r="A213" s="1530" t="s">
        <v>1546</v>
      </c>
      <c r="B213" s="1524" t="s">
        <v>1283</v>
      </c>
      <c r="C213" s="2119">
        <v>0.15</v>
      </c>
      <c r="D213" s="2119">
        <v>0.15</v>
      </c>
      <c r="E213" s="2119">
        <v>0.15</v>
      </c>
      <c r="F213" s="2120">
        <v>0.13800000000000001</v>
      </c>
    </row>
    <row r="214" spans="1:6" ht="14.25" thickBot="1">
      <c r="A214" s="1530" t="s">
        <v>1546</v>
      </c>
      <c r="B214" s="1524" t="s">
        <v>1295</v>
      </c>
      <c r="C214" s="2119">
        <v>9.0999999999999998E-2</v>
      </c>
      <c r="D214" s="2119">
        <v>0.09</v>
      </c>
      <c r="E214" s="2119">
        <v>9.1999999999999998E-2</v>
      </c>
      <c r="F214" s="2131"/>
    </row>
    <row r="215" spans="1:6" ht="14.25" thickBot="1">
      <c r="A215" s="1530" t="s">
        <v>1546</v>
      </c>
      <c r="B215" s="1524" t="s">
        <v>2217</v>
      </c>
      <c r="C215" s="2119">
        <v>0.15</v>
      </c>
      <c r="D215" s="2119">
        <v>0.15</v>
      </c>
      <c r="E215" s="2119">
        <v>0.15</v>
      </c>
      <c r="F215" s="2120">
        <v>0.15</v>
      </c>
    </row>
    <row r="216" spans="1:6" ht="14.25" thickBot="1">
      <c r="A216" s="1530" t="s">
        <v>1546</v>
      </c>
      <c r="B216" s="1524" t="s">
        <v>1315</v>
      </c>
      <c r="C216" s="2119">
        <v>0.14699999999999999</v>
      </c>
      <c r="D216" s="2119">
        <v>0.14699999999999999</v>
      </c>
      <c r="E216" s="2119">
        <v>0.15</v>
      </c>
      <c r="F216" s="2120">
        <v>0.14000000000000001</v>
      </c>
    </row>
    <row r="217" spans="1:6" ht="14.25" thickBot="1">
      <c r="A217" s="1530" t="s">
        <v>1546</v>
      </c>
      <c r="B217" s="1524" t="s">
        <v>1325</v>
      </c>
      <c r="C217" s="2119">
        <v>0.15</v>
      </c>
      <c r="D217" s="2119">
        <v>0.15</v>
      </c>
      <c r="E217" s="2119">
        <v>0.15</v>
      </c>
      <c r="F217" s="2120">
        <v>0.15</v>
      </c>
    </row>
    <row r="218" spans="1:6" ht="14.25" thickBot="1">
      <c r="A218" s="1530" t="s">
        <v>1546</v>
      </c>
      <c r="B218" s="1524" t="s">
        <v>2218</v>
      </c>
      <c r="C218" s="2119">
        <v>0.15</v>
      </c>
      <c r="D218" s="2119">
        <v>0.15</v>
      </c>
      <c r="E218" s="2119">
        <v>0.15</v>
      </c>
      <c r="F218" s="2120">
        <v>0.15</v>
      </c>
    </row>
    <row r="219" spans="1:6" ht="14.25" thickBot="1">
      <c r="A219" s="1530" t="s">
        <v>1546</v>
      </c>
      <c r="B219" s="1524" t="s">
        <v>1346</v>
      </c>
      <c r="C219" s="2119">
        <v>0.15</v>
      </c>
      <c r="D219" s="2119">
        <v>0.15</v>
      </c>
      <c r="E219" s="2119">
        <v>0.15</v>
      </c>
      <c r="F219" s="2120">
        <v>0.14799999999999999</v>
      </c>
    </row>
    <row r="220" spans="1:6" ht="14.25" thickBot="1">
      <c r="A220" s="1530" t="s">
        <v>1546</v>
      </c>
      <c r="B220" s="1524" t="s">
        <v>2219</v>
      </c>
      <c r="C220" s="2119">
        <v>0.15</v>
      </c>
      <c r="D220" s="2119">
        <v>0.15</v>
      </c>
      <c r="E220" s="2119">
        <v>0.15</v>
      </c>
      <c r="F220" s="2120">
        <v>0.15</v>
      </c>
    </row>
    <row r="221" spans="1:6" ht="14.25" thickBot="1">
      <c r="A221" s="1530" t="s">
        <v>1546</v>
      </c>
      <c r="B221" s="1524" t="s">
        <v>1367</v>
      </c>
      <c r="C221" s="2119"/>
      <c r="D221" s="2132"/>
      <c r="E221" s="2132"/>
      <c r="F221" s="2120">
        <v>0.14799999999999999</v>
      </c>
    </row>
    <row r="222" spans="1:6" ht="14.25" thickBot="1">
      <c r="A222" s="1530" t="s">
        <v>1546</v>
      </c>
      <c r="B222" s="1524" t="s">
        <v>1377</v>
      </c>
      <c r="C222" s="2119"/>
      <c r="D222" s="2132"/>
      <c r="E222" s="2132"/>
      <c r="F222" s="2120">
        <v>0.1</v>
      </c>
    </row>
    <row r="223" spans="1:6" ht="14.25" thickBot="1">
      <c r="A223" s="1530" t="s">
        <v>1546</v>
      </c>
      <c r="B223" s="1524" t="s">
        <v>1387</v>
      </c>
      <c r="C223" s="2119"/>
      <c r="D223" s="2132"/>
      <c r="E223" s="2132"/>
      <c r="F223" s="2120">
        <v>0.15</v>
      </c>
    </row>
    <row r="224" spans="1:6" ht="14.25" thickBot="1">
      <c r="A224" s="1530" t="s">
        <v>1546</v>
      </c>
      <c r="B224" s="1524" t="s">
        <v>1397</v>
      </c>
      <c r="C224" s="2119"/>
      <c r="D224" s="2132"/>
      <c r="E224" s="2132"/>
      <c r="F224" s="2120">
        <v>0.15</v>
      </c>
    </row>
    <row r="225" spans="1:6" ht="14.25" thickBot="1">
      <c r="A225" s="1530" t="s">
        <v>1546</v>
      </c>
      <c r="B225" s="1524" t="s">
        <v>2220</v>
      </c>
      <c r="C225" s="2119">
        <v>0.15</v>
      </c>
      <c r="D225" s="2119">
        <v>0.15</v>
      </c>
      <c r="E225" s="2119">
        <v>0.15</v>
      </c>
      <c r="F225" s="2120">
        <v>0.15</v>
      </c>
    </row>
    <row r="226" spans="1:6" ht="14.25" thickBot="1">
      <c r="A226" s="1530" t="s">
        <v>1546</v>
      </c>
      <c r="B226" s="1524" t="s">
        <v>1415</v>
      </c>
      <c r="C226" s="2119">
        <v>0.15</v>
      </c>
      <c r="D226" s="2119">
        <v>0.15</v>
      </c>
      <c r="E226" s="2119">
        <v>0.15</v>
      </c>
      <c r="F226" s="2120">
        <v>0.14799999999999999</v>
      </c>
    </row>
    <row r="227" spans="1:6" ht="14.25" thickBot="1">
      <c r="A227" s="1530" t="s">
        <v>1546</v>
      </c>
      <c r="B227" s="1524" t="s">
        <v>2221</v>
      </c>
      <c r="C227" s="2119">
        <v>0.15</v>
      </c>
      <c r="D227" s="2119">
        <v>0.15</v>
      </c>
      <c r="E227" s="2119">
        <v>0.15</v>
      </c>
      <c r="F227" s="2120">
        <v>0.15</v>
      </c>
    </row>
    <row r="228" spans="1:6" ht="14.25" thickBot="1">
      <c r="A228" s="1530" t="s">
        <v>1546</v>
      </c>
      <c r="B228" s="1524" t="s">
        <v>1430</v>
      </c>
      <c r="C228" s="2119">
        <v>0.15</v>
      </c>
      <c r="D228" s="2119">
        <v>0.15</v>
      </c>
      <c r="E228" s="2119">
        <v>0.15</v>
      </c>
      <c r="F228" s="2120">
        <v>0.15</v>
      </c>
    </row>
    <row r="229" spans="1:6" ht="14.25" thickBot="1">
      <c r="A229" s="1530" t="s">
        <v>1546</v>
      </c>
      <c r="B229" s="1524" t="s">
        <v>1437</v>
      </c>
      <c r="C229" s="2119">
        <v>0.15</v>
      </c>
      <c r="D229" s="2119">
        <v>0.15</v>
      </c>
      <c r="E229" s="2119">
        <v>0.15</v>
      </c>
      <c r="F229" s="2131"/>
    </row>
    <row r="230" spans="1:6" ht="14.25" thickBot="1">
      <c r="A230" s="1530" t="s">
        <v>1546</v>
      </c>
      <c r="B230" s="1524" t="s">
        <v>1444</v>
      </c>
      <c r="C230" s="2119">
        <v>0.14499999999999999</v>
      </c>
      <c r="D230" s="2119">
        <v>0.14499999999999999</v>
      </c>
      <c r="E230" s="2119">
        <v>0.14399999999999999</v>
      </c>
      <c r="F230" s="2131"/>
    </row>
    <row r="231" spans="1:6" ht="14.25" thickBot="1">
      <c r="A231" s="1530" t="s">
        <v>1546</v>
      </c>
      <c r="B231" s="1524" t="s">
        <v>2222</v>
      </c>
      <c r="C231" s="2119">
        <v>0.128</v>
      </c>
      <c r="D231" s="2119">
        <v>0.125</v>
      </c>
      <c r="E231" s="2119">
        <v>0.13200000000000001</v>
      </c>
      <c r="F231" s="2131"/>
    </row>
    <row r="232" spans="1:6" ht="14.25" thickBot="1">
      <c r="A232" s="1530" t="s">
        <v>1546</v>
      </c>
      <c r="B232" s="1524" t="s">
        <v>2223</v>
      </c>
      <c r="C232" s="2119">
        <v>0.14499999999999999</v>
      </c>
      <c r="D232" s="2119">
        <v>0.14399999999999999</v>
      </c>
      <c r="E232" s="2119">
        <v>0.14599999999999999</v>
      </c>
      <c r="F232" s="2120">
        <v>0.13800000000000001</v>
      </c>
    </row>
    <row r="233" spans="1:6" ht="14.25" thickBot="1">
      <c r="A233" s="1530" t="s">
        <v>1546</v>
      </c>
      <c r="B233" s="1524" t="s">
        <v>2224</v>
      </c>
      <c r="C233" s="2119">
        <v>0.14499999999999999</v>
      </c>
      <c r="D233" s="2119">
        <v>0.14299999999999999</v>
      </c>
      <c r="E233" s="2119">
        <v>0.14199999999999999</v>
      </c>
      <c r="F233" s="2131"/>
    </row>
    <row r="234" spans="1:6" ht="14.25" thickBot="1">
      <c r="A234" s="1530" t="s">
        <v>1546</v>
      </c>
      <c r="B234" s="1524" t="s">
        <v>2225</v>
      </c>
      <c r="C234" s="2119">
        <v>0.14000000000000001</v>
      </c>
      <c r="D234" s="2119">
        <v>0.14000000000000001</v>
      </c>
      <c r="E234" s="2119">
        <v>0.14399999999999999</v>
      </c>
      <c r="F234" s="2131"/>
    </row>
    <row r="235" spans="1:6" ht="14.25" thickBot="1">
      <c r="A235" s="1530" t="s">
        <v>1546</v>
      </c>
      <c r="B235" s="1524" t="s">
        <v>2226</v>
      </c>
      <c r="C235" s="2119">
        <v>0.14099999999999999</v>
      </c>
      <c r="D235" s="2119">
        <v>0.14199999999999999</v>
      </c>
      <c r="E235" s="2119">
        <v>0.14499999999999999</v>
      </c>
      <c r="F235" s="2120">
        <v>0.15</v>
      </c>
    </row>
    <row r="236" spans="1:6" ht="14.25" thickBot="1">
      <c r="A236" s="1530" t="s">
        <v>1546</v>
      </c>
      <c r="B236" s="1524" t="s">
        <v>1479</v>
      </c>
      <c r="C236" s="2132"/>
      <c r="D236" s="2132"/>
      <c r="E236" s="2132"/>
      <c r="F236" s="2120">
        <v>0.14299999999999999</v>
      </c>
    </row>
    <row r="237" spans="1:6" ht="24.75" thickBot="1">
      <c r="A237" s="1530" t="s">
        <v>1546</v>
      </c>
      <c r="B237" s="1524" t="s">
        <v>2227</v>
      </c>
      <c r="C237" s="2132"/>
      <c r="D237" s="2132"/>
      <c r="E237" s="2132"/>
      <c r="F237" s="2120">
        <v>0.05</v>
      </c>
    </row>
    <row r="238" spans="1:6" ht="24.75" thickBot="1">
      <c r="A238" s="1530" t="s">
        <v>1546</v>
      </c>
      <c r="B238" s="1524" t="s">
        <v>2228</v>
      </c>
      <c r="C238" s="2132"/>
      <c r="D238" s="2132"/>
      <c r="E238" s="2132"/>
      <c r="F238" s="2120">
        <v>0.05</v>
      </c>
    </row>
    <row r="239" spans="1:6" ht="24.75" thickBot="1">
      <c r="A239" s="1530" t="s">
        <v>1546</v>
      </c>
      <c r="B239" s="1524" t="s">
        <v>2229</v>
      </c>
      <c r="C239" s="2132"/>
      <c r="D239" s="2132"/>
      <c r="E239" s="2132"/>
      <c r="F239" s="2120">
        <v>0.05</v>
      </c>
    </row>
    <row r="240" spans="1:6" ht="24.75" thickBot="1">
      <c r="A240" s="1530" t="s">
        <v>1546</v>
      </c>
      <c r="B240" s="1524" t="s">
        <v>2230</v>
      </c>
      <c r="C240" s="2132"/>
      <c r="D240" s="2132"/>
      <c r="E240" s="2132"/>
      <c r="F240" s="2120">
        <v>0.05</v>
      </c>
    </row>
    <row r="241" spans="1:6" ht="24.75" thickBot="1">
      <c r="A241" s="1530" t="s">
        <v>1546</v>
      </c>
      <c r="B241" s="1524" t="s">
        <v>2231</v>
      </c>
      <c r="C241" s="2132"/>
      <c r="D241" s="2132"/>
      <c r="E241" s="2132"/>
      <c r="F241" s="2120">
        <v>0.05</v>
      </c>
    </row>
    <row r="242" spans="1:6" ht="24.75" thickBot="1">
      <c r="A242" s="1530" t="s">
        <v>1546</v>
      </c>
      <c r="B242" s="1524" t="s">
        <v>2232</v>
      </c>
      <c r="C242" s="2132"/>
      <c r="D242" s="2132"/>
      <c r="E242" s="2132"/>
      <c r="F242" s="2120">
        <v>0.05</v>
      </c>
    </row>
    <row r="243" spans="1:6" ht="24.75" thickBot="1">
      <c r="A243" s="1530" t="s">
        <v>1546</v>
      </c>
      <c r="B243" s="1524" t="s">
        <v>2233</v>
      </c>
      <c r="C243" s="2132"/>
      <c r="D243" s="2132"/>
      <c r="E243" s="2132"/>
      <c r="F243" s="2120">
        <v>0.05</v>
      </c>
    </row>
    <row r="244" spans="1:6" ht="24.75" thickBot="1">
      <c r="A244" s="1540" t="s">
        <v>1546</v>
      </c>
      <c r="B244" s="1536" t="s">
        <v>2234</v>
      </c>
      <c r="C244" s="2129"/>
      <c r="D244" s="2129"/>
      <c r="E244" s="2129"/>
      <c r="F244" s="2122">
        <v>0.05</v>
      </c>
    </row>
    <row r="245" spans="1:6" ht="14.25" thickBot="1">
      <c r="A245" s="1530" t="s">
        <v>1548</v>
      </c>
      <c r="B245" s="1531" t="s">
        <v>2235</v>
      </c>
      <c r="C245" s="2117">
        <v>0.15</v>
      </c>
      <c r="D245" s="2117">
        <v>0.15</v>
      </c>
      <c r="E245" s="2117">
        <v>0.15</v>
      </c>
      <c r="F245" s="2118">
        <v>0.14299999999999999</v>
      </c>
    </row>
    <row r="246" spans="1:6" ht="14.25" thickBot="1">
      <c r="A246" s="1530" t="s">
        <v>1548</v>
      </c>
      <c r="B246" s="1524" t="s">
        <v>1213</v>
      </c>
      <c r="C246" s="2119">
        <v>0.15</v>
      </c>
      <c r="D246" s="2119">
        <v>0.15</v>
      </c>
      <c r="E246" s="2119">
        <v>0.15</v>
      </c>
      <c r="F246" s="2120">
        <v>0.114</v>
      </c>
    </row>
    <row r="247" spans="1:6" ht="14.25" thickBot="1">
      <c r="A247" s="1530" t="s">
        <v>1548</v>
      </c>
      <c r="B247" s="1524" t="s">
        <v>2236</v>
      </c>
      <c r="C247" s="2119">
        <v>0.15</v>
      </c>
      <c r="D247" s="2119">
        <v>0.15</v>
      </c>
      <c r="E247" s="2119">
        <v>0.15</v>
      </c>
      <c r="F247" s="2120">
        <v>0.15</v>
      </c>
    </row>
    <row r="248" spans="1:6" ht="14.25" thickBot="1">
      <c r="A248" s="1530" t="s">
        <v>1548</v>
      </c>
      <c r="B248" s="1524" t="s">
        <v>2237</v>
      </c>
      <c r="C248" s="2119">
        <v>0.15</v>
      </c>
      <c r="D248" s="2119">
        <v>0.15</v>
      </c>
      <c r="E248" s="2119">
        <v>0.15</v>
      </c>
      <c r="F248" s="2120">
        <v>0.14000000000000001</v>
      </c>
    </row>
    <row r="249" spans="1:6" ht="14.25" thickBot="1">
      <c r="A249" s="1530" t="s">
        <v>1548</v>
      </c>
      <c r="B249" s="1524" t="s">
        <v>2238</v>
      </c>
      <c r="C249" s="2119">
        <v>0.15</v>
      </c>
      <c r="D249" s="2119">
        <v>0.14899999999999999</v>
      </c>
      <c r="E249" s="2119">
        <v>0.15</v>
      </c>
      <c r="F249" s="2120">
        <v>0.1</v>
      </c>
    </row>
    <row r="250" spans="1:6" ht="14.25" thickBot="1">
      <c r="A250" s="1530" t="s">
        <v>1548</v>
      </c>
      <c r="B250" s="1524" t="s">
        <v>2239</v>
      </c>
      <c r="C250" s="2119">
        <v>0.15</v>
      </c>
      <c r="D250" s="2119">
        <v>0.15</v>
      </c>
      <c r="E250" s="2119">
        <v>0.15</v>
      </c>
      <c r="F250" s="2120">
        <v>0.14399999999999999</v>
      </c>
    </row>
    <row r="251" spans="1:6" ht="14.25" thickBot="1">
      <c r="A251" s="1530" t="s">
        <v>1548</v>
      </c>
      <c r="B251" s="1524" t="s">
        <v>1273</v>
      </c>
      <c r="C251" s="2119">
        <v>0.15</v>
      </c>
      <c r="D251" s="2119">
        <v>0.15</v>
      </c>
      <c r="E251" s="2119">
        <v>0.15</v>
      </c>
      <c r="F251" s="2120">
        <v>0.14299999999999999</v>
      </c>
    </row>
    <row r="252" spans="1:6" ht="14.25" thickBot="1">
      <c r="A252" s="1530" t="s">
        <v>1548</v>
      </c>
      <c r="B252" s="1524" t="s">
        <v>1284</v>
      </c>
      <c r="C252" s="2119">
        <v>0.15</v>
      </c>
      <c r="D252" s="2119">
        <v>0.15</v>
      </c>
      <c r="E252" s="2119">
        <v>0.15</v>
      </c>
      <c r="F252" s="2120">
        <v>0.1</v>
      </c>
    </row>
    <row r="253" spans="1:6" ht="14.25" thickBot="1">
      <c r="A253" s="1530" t="s">
        <v>1548</v>
      </c>
      <c r="B253" s="1524" t="s">
        <v>1296</v>
      </c>
      <c r="C253" s="2119">
        <v>0.15</v>
      </c>
      <c r="D253" s="2119">
        <v>0.15</v>
      </c>
      <c r="E253" s="2119">
        <v>0.15</v>
      </c>
      <c r="F253" s="2120">
        <v>0.1</v>
      </c>
    </row>
    <row r="254" spans="1:6" ht="14.25" thickBot="1">
      <c r="A254" s="1530" t="s">
        <v>1548</v>
      </c>
      <c r="B254" s="1524" t="s">
        <v>1306</v>
      </c>
      <c r="C254" s="2132"/>
      <c r="D254" s="2132"/>
      <c r="E254" s="2132"/>
      <c r="F254" s="2120">
        <v>0.15</v>
      </c>
    </row>
    <row r="255" spans="1:6" ht="14.25" thickBot="1">
      <c r="A255" s="1530" t="s">
        <v>1548</v>
      </c>
      <c r="B255" s="1524" t="s">
        <v>1316</v>
      </c>
      <c r="C255" s="2132"/>
      <c r="D255" s="2132"/>
      <c r="E255" s="2132"/>
      <c r="F255" s="2120">
        <v>0.14299999999999999</v>
      </c>
    </row>
    <row r="256" spans="1:6" ht="14.25" thickBot="1">
      <c r="A256" s="1530" t="s">
        <v>1548</v>
      </c>
      <c r="B256" s="1524" t="s">
        <v>2240</v>
      </c>
      <c r="C256" s="2119">
        <v>0.14599999999999999</v>
      </c>
      <c r="D256" s="2119">
        <v>0.14699999999999999</v>
      </c>
      <c r="E256" s="2119">
        <v>0.15</v>
      </c>
      <c r="F256" s="2120">
        <v>0.13200000000000001</v>
      </c>
    </row>
    <row r="257" spans="1:6" ht="14.25" thickBot="1">
      <c r="A257" s="1530" t="s">
        <v>1548</v>
      </c>
      <c r="B257" s="1524" t="s">
        <v>1336</v>
      </c>
      <c r="C257" s="2119">
        <v>0.15</v>
      </c>
      <c r="D257" s="2119">
        <v>0.15</v>
      </c>
      <c r="E257" s="2119">
        <v>0.15</v>
      </c>
      <c r="F257" s="2120">
        <v>0.13900000000000001</v>
      </c>
    </row>
    <row r="258" spans="1:6" ht="14.25" thickBot="1">
      <c r="A258" s="1530" t="s">
        <v>1548</v>
      </c>
      <c r="B258" s="1524" t="s">
        <v>1347</v>
      </c>
      <c r="C258" s="2119">
        <v>0.15</v>
      </c>
      <c r="D258" s="2119">
        <v>0.15</v>
      </c>
      <c r="E258" s="2119">
        <v>0.15</v>
      </c>
      <c r="F258" s="2120">
        <v>0.13</v>
      </c>
    </row>
    <row r="259" spans="1:6" ht="14.25" thickBot="1">
      <c r="A259" s="1530" t="s">
        <v>1548</v>
      </c>
      <c r="B259" s="1524" t="s">
        <v>2241</v>
      </c>
      <c r="C259" s="2119">
        <v>0.14799999999999999</v>
      </c>
      <c r="D259" s="2119">
        <v>0.14899999999999999</v>
      </c>
      <c r="E259" s="2119">
        <v>0.15</v>
      </c>
      <c r="F259" s="2120">
        <v>0.13700000000000001</v>
      </c>
    </row>
    <row r="260" spans="1:6" ht="14.25" thickBot="1">
      <c r="A260" s="1530" t="s">
        <v>1548</v>
      </c>
      <c r="B260" s="1524" t="s">
        <v>1368</v>
      </c>
      <c r="C260" s="2119">
        <v>0.15</v>
      </c>
      <c r="D260" s="2119">
        <v>0.15</v>
      </c>
      <c r="E260" s="2119">
        <v>0.15</v>
      </c>
      <c r="F260" s="2120">
        <v>0.14199999999999999</v>
      </c>
    </row>
    <row r="261" spans="1:6" ht="14.25" thickBot="1">
      <c r="A261" s="1530" t="s">
        <v>1548</v>
      </c>
      <c r="B261" s="1524" t="s">
        <v>1378</v>
      </c>
      <c r="C261" s="2119">
        <v>0.15</v>
      </c>
      <c r="D261" s="2119">
        <v>0.15</v>
      </c>
      <c r="E261" s="2119">
        <v>0.14899999999999999</v>
      </c>
      <c r="F261" s="2120">
        <v>0.14799999999999999</v>
      </c>
    </row>
    <row r="262" spans="1:6" ht="14.25" thickBot="1">
      <c r="A262" s="1530" t="s">
        <v>1548</v>
      </c>
      <c r="B262" s="1524" t="s">
        <v>1388</v>
      </c>
      <c r="C262" s="2119">
        <v>0.15</v>
      </c>
      <c r="D262" s="2119">
        <v>0.15</v>
      </c>
      <c r="E262" s="2119">
        <v>0.15</v>
      </c>
      <c r="F262" s="2131"/>
    </row>
    <row r="263" spans="1:6" ht="14.25" thickBot="1">
      <c r="A263" s="1530" t="s">
        <v>1548</v>
      </c>
      <c r="B263" s="1524" t="s">
        <v>2242</v>
      </c>
      <c r="C263" s="2119">
        <v>0.14899999999999999</v>
      </c>
      <c r="D263" s="2119">
        <v>0.14899999999999999</v>
      </c>
      <c r="E263" s="2119">
        <v>0.15</v>
      </c>
      <c r="F263" s="2120">
        <v>0.13</v>
      </c>
    </row>
    <row r="264" spans="1:6" ht="14.25" thickBot="1">
      <c r="A264" s="1530" t="s">
        <v>1548</v>
      </c>
      <c r="B264" s="1524" t="s">
        <v>1407</v>
      </c>
      <c r="C264" s="2119">
        <v>0.14799999999999999</v>
      </c>
      <c r="D264" s="2119">
        <v>0.14699999999999999</v>
      </c>
      <c r="E264" s="2119">
        <v>0.15</v>
      </c>
      <c r="F264" s="2120">
        <v>7.8E-2</v>
      </c>
    </row>
    <row r="265" spans="1:6" ht="14.25" thickBot="1">
      <c r="A265" s="1530" t="s">
        <v>1548</v>
      </c>
      <c r="B265" s="1524" t="s">
        <v>1416</v>
      </c>
      <c r="C265" s="2119">
        <v>0.15</v>
      </c>
      <c r="D265" s="2119">
        <v>0.15</v>
      </c>
      <c r="E265" s="2119">
        <v>0.15</v>
      </c>
      <c r="F265" s="2120">
        <v>7.3999999999999996E-2</v>
      </c>
    </row>
    <row r="266" spans="1:6" ht="14.25" thickBot="1">
      <c r="A266" s="1530" t="s">
        <v>1548</v>
      </c>
      <c r="B266" s="1524" t="s">
        <v>1424</v>
      </c>
      <c r="C266" s="2119">
        <v>0.14699999999999999</v>
      </c>
      <c r="D266" s="2119">
        <v>0.14699999999999999</v>
      </c>
      <c r="E266" s="2119">
        <v>0.15</v>
      </c>
      <c r="F266" s="2120">
        <v>0.14299999999999999</v>
      </c>
    </row>
    <row r="267" spans="1:6" ht="14.25" thickBot="1">
      <c r="A267" s="1530" t="s">
        <v>1548</v>
      </c>
      <c r="B267" s="1524" t="s">
        <v>1431</v>
      </c>
      <c r="C267" s="2119">
        <v>0.14199999999999999</v>
      </c>
      <c r="D267" s="2119">
        <v>0.14299999999999999</v>
      </c>
      <c r="E267" s="2119">
        <v>0.15</v>
      </c>
      <c r="F267" s="2131"/>
    </row>
    <row r="268" spans="1:6" ht="14.25" thickBot="1">
      <c r="A268" s="1530" t="s">
        <v>1548</v>
      </c>
      <c r="B268" s="1524" t="s">
        <v>2243</v>
      </c>
      <c r="C268" s="2119">
        <v>0.15</v>
      </c>
      <c r="D268" s="2119">
        <v>0.15</v>
      </c>
      <c r="E268" s="2119">
        <v>0.15</v>
      </c>
      <c r="F268" s="2120">
        <v>0.13</v>
      </c>
    </row>
    <row r="269" spans="1:6" ht="14.25" thickBot="1">
      <c r="A269" s="1530" t="s">
        <v>1548</v>
      </c>
      <c r="B269" s="1524" t="s">
        <v>1445</v>
      </c>
      <c r="C269" s="2119">
        <v>0.15</v>
      </c>
      <c r="D269" s="2119">
        <v>0.15</v>
      </c>
      <c r="E269" s="2119">
        <v>0.15</v>
      </c>
      <c r="F269" s="2120">
        <v>0.14299999999999999</v>
      </c>
    </row>
    <row r="270" spans="1:6" ht="14.25" thickBot="1">
      <c r="A270" s="1530" t="s">
        <v>1548</v>
      </c>
      <c r="B270" s="1524" t="s">
        <v>1452</v>
      </c>
      <c r="C270" s="2119">
        <v>0.14499999999999999</v>
      </c>
      <c r="D270" s="2119">
        <v>0.14499999999999999</v>
      </c>
      <c r="E270" s="2119">
        <v>0.15</v>
      </c>
      <c r="F270" s="2120">
        <v>0.14699999999999999</v>
      </c>
    </row>
    <row r="271" spans="1:6" ht="14.25" thickBot="1">
      <c r="A271" s="1530" t="s">
        <v>1548</v>
      </c>
      <c r="B271" s="1524" t="s">
        <v>1459</v>
      </c>
      <c r="C271" s="2119">
        <v>0.15</v>
      </c>
      <c r="D271" s="2119">
        <v>0.15</v>
      </c>
      <c r="E271" s="2119">
        <v>0.15</v>
      </c>
      <c r="F271" s="2120">
        <v>0.13800000000000001</v>
      </c>
    </row>
    <row r="272" spans="1:6" ht="14.25" thickBot="1">
      <c r="A272" s="1530" t="s">
        <v>1548</v>
      </c>
      <c r="B272" s="1524" t="s">
        <v>1466</v>
      </c>
      <c r="C272" s="2132"/>
      <c r="D272" s="2132"/>
      <c r="E272" s="2132"/>
      <c r="F272" s="2120">
        <v>0.14000000000000001</v>
      </c>
    </row>
    <row r="273" spans="1:6" ht="14.25" thickBot="1">
      <c r="A273" s="1530" t="s">
        <v>1548</v>
      </c>
      <c r="B273" s="1524" t="s">
        <v>2244</v>
      </c>
      <c r="C273" s="2119">
        <v>0.14199999999999999</v>
      </c>
      <c r="D273" s="2119">
        <v>0.14299999999999999</v>
      </c>
      <c r="E273" s="2119">
        <v>0.15</v>
      </c>
      <c r="F273" s="2120">
        <v>0.1</v>
      </c>
    </row>
    <row r="274" spans="1:6" ht="14.25" thickBot="1">
      <c r="A274" s="1530" t="s">
        <v>1548</v>
      </c>
      <c r="B274" s="1524" t="s">
        <v>2245</v>
      </c>
      <c r="C274" s="2119">
        <v>0.14799999999999999</v>
      </c>
      <c r="D274" s="2119">
        <v>0.14799999999999999</v>
      </c>
      <c r="E274" s="2119">
        <v>0.15</v>
      </c>
      <c r="F274" s="2120">
        <v>6.7000000000000004E-2</v>
      </c>
    </row>
    <row r="275" spans="1:6" ht="14.25" thickBot="1">
      <c r="A275" s="1530" t="s">
        <v>1548</v>
      </c>
      <c r="B275" s="1524" t="s">
        <v>2246</v>
      </c>
      <c r="C275" s="2119">
        <v>0.15</v>
      </c>
      <c r="D275" s="2119">
        <v>0.15</v>
      </c>
      <c r="E275" s="2119">
        <v>0.15</v>
      </c>
      <c r="F275" s="2120">
        <v>0.15</v>
      </c>
    </row>
    <row r="276" spans="1:6" ht="14.25" thickBot="1">
      <c r="A276" s="1530" t="s">
        <v>1548</v>
      </c>
      <c r="B276" s="1524" t="s">
        <v>2247</v>
      </c>
      <c r="C276" s="2119">
        <v>0.14499999999999999</v>
      </c>
      <c r="D276" s="2119">
        <v>0.14299999999999999</v>
      </c>
      <c r="E276" s="2119">
        <v>0.15</v>
      </c>
      <c r="F276" s="2120">
        <v>5.8999999999999997E-2</v>
      </c>
    </row>
    <row r="277" spans="1:6" ht="14.25" thickBot="1">
      <c r="A277" s="1530" t="s">
        <v>1548</v>
      </c>
      <c r="B277" s="1524" t="s">
        <v>2248</v>
      </c>
      <c r="C277" s="2119">
        <v>0.15</v>
      </c>
      <c r="D277" s="2119">
        <v>0.15</v>
      </c>
      <c r="E277" s="2119">
        <v>0.15</v>
      </c>
      <c r="F277" s="2120">
        <v>0.121</v>
      </c>
    </row>
    <row r="278" spans="1:6" ht="14.25" thickBot="1">
      <c r="A278" s="1530" t="s">
        <v>1548</v>
      </c>
      <c r="B278" s="1524" t="s">
        <v>2249</v>
      </c>
      <c r="C278" s="2119">
        <v>0.15</v>
      </c>
      <c r="D278" s="2119">
        <v>0.15</v>
      </c>
      <c r="E278" s="2119">
        <v>0.15</v>
      </c>
      <c r="F278" s="2120">
        <v>0.13800000000000001</v>
      </c>
    </row>
    <row r="279" spans="1:6" ht="24.75" thickBot="1">
      <c r="A279" s="1530" t="s">
        <v>1548</v>
      </c>
      <c r="B279" s="1524" t="s">
        <v>2250</v>
      </c>
      <c r="C279" s="2132"/>
      <c r="D279" s="2132"/>
      <c r="E279" s="2132"/>
      <c r="F279" s="2120">
        <v>0.05</v>
      </c>
    </row>
    <row r="280" spans="1:6" ht="24.75" thickBot="1">
      <c r="A280" s="1530" t="s">
        <v>1548</v>
      </c>
      <c r="B280" s="1524" t="s">
        <v>2251</v>
      </c>
      <c r="C280" s="2132"/>
      <c r="D280" s="2132"/>
      <c r="E280" s="2132"/>
      <c r="F280" s="2120">
        <v>0.05</v>
      </c>
    </row>
    <row r="281" spans="1:6" ht="24.75" thickBot="1">
      <c r="A281" s="1530" t="s">
        <v>1548</v>
      </c>
      <c r="B281" s="1524" t="s">
        <v>2252</v>
      </c>
      <c r="C281" s="2132"/>
      <c r="D281" s="2132"/>
      <c r="E281" s="2132"/>
      <c r="F281" s="2120">
        <v>0.05</v>
      </c>
    </row>
    <row r="282" spans="1:6" ht="24.75" thickBot="1">
      <c r="A282" s="1530" t="s">
        <v>1548</v>
      </c>
      <c r="B282" s="1524" t="s">
        <v>2253</v>
      </c>
      <c r="C282" s="2132"/>
      <c r="D282" s="2132"/>
      <c r="E282" s="2132"/>
      <c r="F282" s="2120">
        <v>0.05</v>
      </c>
    </row>
    <row r="283" spans="1:6" ht="24.75" thickBot="1">
      <c r="A283" s="1530" t="s">
        <v>1548</v>
      </c>
      <c r="B283" s="1524" t="s">
        <v>2254</v>
      </c>
      <c r="C283" s="2132"/>
      <c r="D283" s="2132"/>
      <c r="E283" s="2132"/>
      <c r="F283" s="2120">
        <v>0.05</v>
      </c>
    </row>
    <row r="284" spans="1:6" ht="24.75" thickBot="1">
      <c r="A284" s="1530" t="s">
        <v>1548</v>
      </c>
      <c r="B284" s="1524" t="s">
        <v>2255</v>
      </c>
      <c r="C284" s="2132"/>
      <c r="D284" s="2132"/>
      <c r="E284" s="2132"/>
      <c r="F284" s="2120">
        <v>0.05</v>
      </c>
    </row>
    <row r="285" spans="1:6" ht="24.75" thickBot="1">
      <c r="A285" s="1530" t="s">
        <v>1548</v>
      </c>
      <c r="B285" s="1524" t="s">
        <v>2256</v>
      </c>
      <c r="C285" s="2132"/>
      <c r="D285" s="2132"/>
      <c r="E285" s="2132"/>
      <c r="F285" s="2120">
        <v>0.05</v>
      </c>
    </row>
    <row r="286" spans="1:6" ht="24.75" thickBot="1">
      <c r="A286" s="1530" t="s">
        <v>1548</v>
      </c>
      <c r="B286" s="1524" t="s">
        <v>2257</v>
      </c>
      <c r="C286" s="2132"/>
      <c r="D286" s="2132"/>
      <c r="E286" s="2132"/>
      <c r="F286" s="2120">
        <v>0.05</v>
      </c>
    </row>
    <row r="287" spans="1:6" ht="24.75" thickBot="1">
      <c r="A287" s="1530" t="s">
        <v>1548</v>
      </c>
      <c r="B287" s="1524" t="s">
        <v>2258</v>
      </c>
      <c r="C287" s="2132"/>
      <c r="D287" s="2132"/>
      <c r="E287" s="2132"/>
      <c r="F287" s="2120">
        <v>0.05</v>
      </c>
    </row>
    <row r="288" spans="1:6" ht="24.75" thickBot="1">
      <c r="A288" s="1530" t="s">
        <v>1548</v>
      </c>
      <c r="B288" s="1524" t="s">
        <v>2259</v>
      </c>
      <c r="C288" s="2132"/>
      <c r="D288" s="2132"/>
      <c r="E288" s="2132"/>
      <c r="F288" s="2120">
        <v>0.05</v>
      </c>
    </row>
    <row r="289" spans="1:6" ht="24.75" thickBot="1">
      <c r="A289" s="1540" t="s">
        <v>1548</v>
      </c>
      <c r="B289" s="1536" t="s">
        <v>2260</v>
      </c>
      <c r="C289" s="2129"/>
      <c r="D289" s="2129"/>
      <c r="E289" s="2129"/>
      <c r="F289" s="2122">
        <v>0.05</v>
      </c>
    </row>
    <row r="290" spans="1:6" ht="14.25" thickBot="1">
      <c r="A290" s="1530" t="s">
        <v>1552</v>
      </c>
      <c r="B290" s="1531" t="s">
        <v>2261</v>
      </c>
      <c r="C290" s="2117">
        <v>0.15</v>
      </c>
      <c r="D290" s="2117">
        <v>0.15</v>
      </c>
      <c r="E290" s="2117">
        <v>0.15</v>
      </c>
      <c r="F290" s="2134"/>
    </row>
    <row r="291" spans="1:6" ht="14.25" thickBot="1">
      <c r="A291" s="1530" t="s">
        <v>1552</v>
      </c>
      <c r="B291" s="1524" t="s">
        <v>1214</v>
      </c>
      <c r="C291" s="2119">
        <v>0.15</v>
      </c>
      <c r="D291" s="2119">
        <v>0.15</v>
      </c>
      <c r="E291" s="2119">
        <v>0.15</v>
      </c>
      <c r="F291" s="2131"/>
    </row>
    <row r="292" spans="1:6" ht="14.25" thickBot="1">
      <c r="A292" s="1530" t="s">
        <v>1552</v>
      </c>
      <c r="B292" s="1524" t="s">
        <v>2262</v>
      </c>
      <c r="C292" s="2119">
        <v>0.15</v>
      </c>
      <c r="D292" s="2119">
        <v>0.15</v>
      </c>
      <c r="E292" s="2119">
        <v>0.15</v>
      </c>
      <c r="F292" s="2120">
        <v>0.14699999999999999</v>
      </c>
    </row>
    <row r="293" spans="1:6" ht="14.25" thickBot="1">
      <c r="A293" s="1530" t="s">
        <v>1552</v>
      </c>
      <c r="B293" s="1524" t="s">
        <v>2263</v>
      </c>
      <c r="C293" s="2132"/>
      <c r="D293" s="2132"/>
      <c r="E293" s="2132"/>
      <c r="F293" s="2120">
        <v>0.1</v>
      </c>
    </row>
    <row r="294" spans="1:6" ht="14.25" thickBot="1">
      <c r="A294" s="1530" t="s">
        <v>1552</v>
      </c>
      <c r="B294" s="1524" t="s">
        <v>2264</v>
      </c>
      <c r="C294" s="2119">
        <v>0.15</v>
      </c>
      <c r="D294" s="2119">
        <v>0.15</v>
      </c>
      <c r="E294" s="2119">
        <v>0.15</v>
      </c>
      <c r="F294" s="2120">
        <v>0.15</v>
      </c>
    </row>
    <row r="295" spans="1:6" ht="14.25" thickBot="1">
      <c r="A295" s="1530" t="s">
        <v>1552</v>
      </c>
      <c r="B295" s="1524" t="s">
        <v>1252</v>
      </c>
      <c r="C295" s="2119">
        <v>0.15</v>
      </c>
      <c r="D295" s="2119">
        <v>0.15</v>
      </c>
      <c r="E295" s="2119">
        <v>0.15</v>
      </c>
      <c r="F295" s="2120">
        <v>0.15</v>
      </c>
    </row>
    <row r="296" spans="1:6" ht="14.25" thickBot="1">
      <c r="A296" s="1530" t="s">
        <v>1552</v>
      </c>
      <c r="B296" s="1524" t="s">
        <v>2265</v>
      </c>
      <c r="C296" s="2119">
        <v>0.15</v>
      </c>
      <c r="D296" s="2119">
        <v>0.15</v>
      </c>
      <c r="E296" s="2119">
        <v>0.15</v>
      </c>
      <c r="F296" s="2120">
        <v>0.15</v>
      </c>
    </row>
    <row r="297" spans="1:6" ht="14.25" thickBot="1">
      <c r="A297" s="1530" t="s">
        <v>1552</v>
      </c>
      <c r="B297" s="1524" t="s">
        <v>2266</v>
      </c>
      <c r="C297" s="2119">
        <v>0.14799999999999999</v>
      </c>
      <c r="D297" s="2119">
        <v>0.14899999999999999</v>
      </c>
      <c r="E297" s="2119">
        <v>0.15</v>
      </c>
      <c r="F297" s="2120">
        <v>0.13700000000000001</v>
      </c>
    </row>
    <row r="298" spans="1:6" ht="14.25" thickBot="1">
      <c r="A298" s="1530" t="s">
        <v>1552</v>
      </c>
      <c r="B298" s="1524" t="s">
        <v>1285</v>
      </c>
      <c r="C298" s="2119">
        <v>0.13400000000000001</v>
      </c>
      <c r="D298" s="2119">
        <v>0.13400000000000001</v>
      </c>
      <c r="E298" s="2119">
        <v>0.14499999999999999</v>
      </c>
      <c r="F298" s="2120">
        <v>0.14799999999999999</v>
      </c>
    </row>
    <row r="299" spans="1:6" ht="14.25" thickBot="1">
      <c r="A299" s="1530" t="s">
        <v>1552</v>
      </c>
      <c r="B299" s="1524" t="s">
        <v>1297</v>
      </c>
      <c r="C299" s="2119">
        <v>0.15</v>
      </c>
      <c r="D299" s="2119">
        <v>0.15</v>
      </c>
      <c r="E299" s="2119">
        <v>0.15</v>
      </c>
      <c r="F299" s="2131"/>
    </row>
    <row r="300" spans="1:6" ht="14.25" thickBot="1">
      <c r="A300" s="1530" t="s">
        <v>1552</v>
      </c>
      <c r="B300" s="1524" t="s">
        <v>2267</v>
      </c>
      <c r="C300" s="2119">
        <v>0.15</v>
      </c>
      <c r="D300" s="2119">
        <v>0.15</v>
      </c>
      <c r="E300" s="2119">
        <v>0.15</v>
      </c>
      <c r="F300" s="2120">
        <v>0.15</v>
      </c>
    </row>
    <row r="301" spans="1:6" ht="14.25" thickBot="1">
      <c r="A301" s="1530" t="s">
        <v>1552</v>
      </c>
      <c r="B301" s="1524" t="s">
        <v>1317</v>
      </c>
      <c r="C301" s="2119">
        <v>0.15</v>
      </c>
      <c r="D301" s="2119">
        <v>0.15</v>
      </c>
      <c r="E301" s="2119">
        <v>0.15</v>
      </c>
      <c r="F301" s="2131"/>
    </row>
    <row r="302" spans="1:6" ht="14.25" thickBot="1">
      <c r="A302" s="1530" t="s">
        <v>1552</v>
      </c>
      <c r="B302" s="1524" t="s">
        <v>2268</v>
      </c>
      <c r="C302" s="2119">
        <v>0.15</v>
      </c>
      <c r="D302" s="2119">
        <v>0.15</v>
      </c>
      <c r="E302" s="2119">
        <v>0.15</v>
      </c>
      <c r="F302" s="2120">
        <v>0.15</v>
      </c>
    </row>
    <row r="303" spans="1:6" ht="14.25" thickBot="1">
      <c r="A303" s="1530" t="s">
        <v>1552</v>
      </c>
      <c r="B303" s="1524" t="s">
        <v>1337</v>
      </c>
      <c r="C303" s="2119">
        <v>0.15</v>
      </c>
      <c r="D303" s="2119">
        <v>0.15</v>
      </c>
      <c r="E303" s="2119">
        <v>0.15</v>
      </c>
      <c r="F303" s="2120">
        <v>0.15</v>
      </c>
    </row>
    <row r="304" spans="1:6" ht="14.25" thickBot="1">
      <c r="A304" s="1530" t="s">
        <v>1552</v>
      </c>
      <c r="B304" s="1524" t="s">
        <v>1348</v>
      </c>
      <c r="C304" s="2119">
        <v>0.15</v>
      </c>
      <c r="D304" s="2119">
        <v>0.15</v>
      </c>
      <c r="E304" s="2119">
        <v>0.15</v>
      </c>
      <c r="F304" s="2131"/>
    </row>
    <row r="305" spans="1:6" ht="14.25" thickBot="1">
      <c r="A305" s="1530" t="s">
        <v>1552</v>
      </c>
      <c r="B305" s="1524" t="s">
        <v>2269</v>
      </c>
      <c r="C305" s="2119">
        <v>0.15</v>
      </c>
      <c r="D305" s="2119">
        <v>0.15</v>
      </c>
      <c r="E305" s="2119">
        <v>0.15</v>
      </c>
      <c r="F305" s="2120">
        <v>0.14000000000000001</v>
      </c>
    </row>
    <row r="306" spans="1:6" ht="14.25" thickBot="1">
      <c r="A306" s="1530" t="s">
        <v>1552</v>
      </c>
      <c r="B306" s="1524" t="s">
        <v>1369</v>
      </c>
      <c r="C306" s="2119">
        <v>0.15</v>
      </c>
      <c r="D306" s="2119">
        <v>0.15</v>
      </c>
      <c r="E306" s="2119">
        <v>0.15</v>
      </c>
      <c r="F306" s="2131"/>
    </row>
    <row r="307" spans="1:6" ht="14.25" thickBot="1">
      <c r="A307" s="1530" t="s">
        <v>1552</v>
      </c>
      <c r="B307" s="1524" t="s">
        <v>2270</v>
      </c>
      <c r="C307" s="2119">
        <v>0.15</v>
      </c>
      <c r="D307" s="2119">
        <v>0.15</v>
      </c>
      <c r="E307" s="2119">
        <v>0.15</v>
      </c>
      <c r="F307" s="2120">
        <v>0.14299999999999999</v>
      </c>
    </row>
    <row r="308" spans="1:6" ht="14.25" thickBot="1">
      <c r="A308" s="1530" t="s">
        <v>1552</v>
      </c>
      <c r="B308" s="1524" t="s">
        <v>1389</v>
      </c>
      <c r="C308" s="2119">
        <v>0.15</v>
      </c>
      <c r="D308" s="2119">
        <v>0.15</v>
      </c>
      <c r="E308" s="2119">
        <v>0.15</v>
      </c>
      <c r="F308" s="2120">
        <v>0.15</v>
      </c>
    </row>
    <row r="309" spans="1:6" ht="14.25" thickBot="1">
      <c r="A309" s="1530" t="s">
        <v>1552</v>
      </c>
      <c r="B309" s="1524" t="s">
        <v>1399</v>
      </c>
      <c r="C309" s="2119">
        <v>0.15</v>
      </c>
      <c r="D309" s="2119">
        <v>0.15</v>
      </c>
      <c r="E309" s="2119">
        <v>0.15</v>
      </c>
      <c r="F309" s="2131"/>
    </row>
    <row r="310" spans="1:6" ht="14.25" thickBot="1">
      <c r="A310" s="1530" t="s">
        <v>1552</v>
      </c>
      <c r="B310" s="1524" t="s">
        <v>2271</v>
      </c>
      <c r="C310" s="2119">
        <v>0.15</v>
      </c>
      <c r="D310" s="2119">
        <v>0.15</v>
      </c>
      <c r="E310" s="2119">
        <v>0.15</v>
      </c>
      <c r="F310" s="2120">
        <v>0.13700000000000001</v>
      </c>
    </row>
    <row r="311" spans="1:6" ht="14.25" thickBot="1">
      <c r="A311" s="1530" t="s">
        <v>1552</v>
      </c>
      <c r="B311" s="1524" t="s">
        <v>2272</v>
      </c>
      <c r="C311" s="2119">
        <v>0.15</v>
      </c>
      <c r="D311" s="2119">
        <v>0.15</v>
      </c>
      <c r="E311" s="2119">
        <v>0.15</v>
      </c>
      <c r="F311" s="2120">
        <v>0.15</v>
      </c>
    </row>
    <row r="312" spans="1:6" ht="14.25" thickBot="1">
      <c r="A312" s="1530" t="s">
        <v>1552</v>
      </c>
      <c r="B312" s="1524" t="s">
        <v>1425</v>
      </c>
      <c r="C312" s="2119">
        <v>0.15</v>
      </c>
      <c r="D312" s="2119">
        <v>0.15</v>
      </c>
      <c r="E312" s="2119">
        <v>0.15</v>
      </c>
      <c r="F312" s="2120">
        <v>0.1</v>
      </c>
    </row>
    <row r="313" spans="1:6" ht="14.25" thickBot="1">
      <c r="A313" s="1530" t="s">
        <v>1552</v>
      </c>
      <c r="B313" s="1524" t="s">
        <v>2273</v>
      </c>
      <c r="C313" s="2119">
        <v>0.15</v>
      </c>
      <c r="D313" s="2119">
        <v>0.15</v>
      </c>
      <c r="E313" s="2119">
        <v>0.15</v>
      </c>
      <c r="F313" s="2120">
        <v>0.15</v>
      </c>
    </row>
    <row r="314" spans="1:6" ht="24.75" thickBot="1">
      <c r="A314" s="1530" t="s">
        <v>1552</v>
      </c>
      <c r="B314" s="1524" t="s">
        <v>2274</v>
      </c>
      <c r="C314" s="2132"/>
      <c r="D314" s="2132"/>
      <c r="E314" s="2132"/>
      <c r="F314" s="2120">
        <v>0.05</v>
      </c>
    </row>
    <row r="315" spans="1:6" ht="24.75" thickBot="1">
      <c r="A315" s="1530" t="s">
        <v>1552</v>
      </c>
      <c r="B315" s="1524" t="s">
        <v>2275</v>
      </c>
      <c r="C315" s="2132"/>
      <c r="D315" s="2132"/>
      <c r="E315" s="2132"/>
      <c r="F315" s="2120">
        <v>0.05</v>
      </c>
    </row>
    <row r="316" spans="1:6" ht="24.75" thickBot="1">
      <c r="A316" s="1540" t="s">
        <v>1552</v>
      </c>
      <c r="B316" s="1536" t="s">
        <v>2276</v>
      </c>
      <c r="C316" s="2129"/>
      <c r="D316" s="2129"/>
      <c r="E316" s="2129"/>
      <c r="F316" s="2122">
        <v>0.05</v>
      </c>
    </row>
    <row r="317" spans="1:6" ht="14.25" thickBot="1">
      <c r="A317" s="1530" t="s">
        <v>2277</v>
      </c>
      <c r="B317" s="1531" t="s">
        <v>2278</v>
      </c>
      <c r="C317" s="2117">
        <v>0.15</v>
      </c>
      <c r="D317" s="2117">
        <v>0.15</v>
      </c>
      <c r="E317" s="2117">
        <v>0.15</v>
      </c>
      <c r="F317" s="2118">
        <v>0.15</v>
      </c>
    </row>
    <row r="318" spans="1:6" ht="14.25" thickBot="1">
      <c r="A318" s="1530" t="s">
        <v>2277</v>
      </c>
      <c r="B318" s="1524" t="s">
        <v>2279</v>
      </c>
      <c r="C318" s="2119">
        <v>0.107</v>
      </c>
      <c r="D318" s="2119">
        <v>0.11</v>
      </c>
      <c r="E318" s="2119">
        <v>0.112</v>
      </c>
      <c r="F318" s="2131"/>
    </row>
    <row r="319" spans="1:6" ht="14.25" thickBot="1">
      <c r="A319" s="1530" t="s">
        <v>2277</v>
      </c>
      <c r="B319" s="1524" t="s">
        <v>2280</v>
      </c>
      <c r="C319" s="2119">
        <v>0.15</v>
      </c>
      <c r="D319" s="2119">
        <v>0.15</v>
      </c>
      <c r="E319" s="2119">
        <v>0.15</v>
      </c>
      <c r="F319" s="2120">
        <v>0.15</v>
      </c>
    </row>
    <row r="320" spans="1:6" ht="14.25" thickBot="1">
      <c r="A320" s="1530" t="s">
        <v>2277</v>
      </c>
      <c r="B320" s="1524" t="s">
        <v>1241</v>
      </c>
      <c r="C320" s="2119">
        <v>0.15</v>
      </c>
      <c r="D320" s="2119">
        <v>0.15</v>
      </c>
      <c r="E320" s="2119">
        <v>0.15</v>
      </c>
      <c r="F320" s="2131"/>
    </row>
    <row r="321" spans="1:6" ht="14.25" thickBot="1">
      <c r="A321" s="1530" t="s">
        <v>2277</v>
      </c>
      <c r="B321" s="1524" t="s">
        <v>2281</v>
      </c>
      <c r="C321" s="2119">
        <v>0.15</v>
      </c>
      <c r="D321" s="2119">
        <v>0.15</v>
      </c>
      <c r="E321" s="2119">
        <v>0.15</v>
      </c>
      <c r="F321" s="2131"/>
    </row>
    <row r="322" spans="1:6" ht="14.25" thickBot="1">
      <c r="A322" s="1530" t="s">
        <v>2277</v>
      </c>
      <c r="B322" s="1524" t="s">
        <v>2282</v>
      </c>
      <c r="C322" s="2119">
        <v>0.15</v>
      </c>
      <c r="D322" s="2119">
        <v>0.15</v>
      </c>
      <c r="E322" s="2119">
        <v>0.15</v>
      </c>
      <c r="F322" s="2120">
        <v>0.15</v>
      </c>
    </row>
    <row r="323" spans="1:6" ht="14.25" thickBot="1">
      <c r="A323" s="1530" t="s">
        <v>2277</v>
      </c>
      <c r="B323" s="1524" t="s">
        <v>2283</v>
      </c>
      <c r="C323" s="2119">
        <v>0.15</v>
      </c>
      <c r="D323" s="2119">
        <v>0.15</v>
      </c>
      <c r="E323" s="2119">
        <v>0.15</v>
      </c>
      <c r="F323" s="2131"/>
    </row>
    <row r="324" spans="1:6" ht="14.25" thickBot="1">
      <c r="A324" s="1530" t="s">
        <v>2277</v>
      </c>
      <c r="B324" s="1524" t="s">
        <v>2284</v>
      </c>
      <c r="C324" s="2119">
        <v>0.15</v>
      </c>
      <c r="D324" s="2119">
        <v>0.15</v>
      </c>
      <c r="E324" s="2119">
        <v>0.15</v>
      </c>
      <c r="F324" s="2131"/>
    </row>
    <row r="325" spans="1:6" ht="14.25" thickBot="1">
      <c r="A325" s="1530" t="s">
        <v>2277</v>
      </c>
      <c r="B325" s="1524" t="s">
        <v>2285</v>
      </c>
      <c r="C325" s="2119">
        <v>0.15</v>
      </c>
      <c r="D325" s="2119">
        <v>0.15</v>
      </c>
      <c r="E325" s="2119">
        <v>0.15</v>
      </c>
      <c r="F325" s="2120">
        <v>0.14699999999999999</v>
      </c>
    </row>
    <row r="326" spans="1:6" ht="14.25" thickBot="1">
      <c r="A326" s="1530" t="s">
        <v>2277</v>
      </c>
      <c r="B326" s="1524" t="s">
        <v>1308</v>
      </c>
      <c r="C326" s="2119">
        <v>0.15</v>
      </c>
      <c r="D326" s="2119">
        <v>0.15</v>
      </c>
      <c r="E326" s="2119">
        <v>0.15</v>
      </c>
      <c r="F326" s="2131"/>
    </row>
    <row r="327" spans="1:6" ht="14.25" thickBot="1">
      <c r="A327" s="1530" t="s">
        <v>2277</v>
      </c>
      <c r="B327" s="1524" t="s">
        <v>2286</v>
      </c>
      <c r="C327" s="2119">
        <v>0.15</v>
      </c>
      <c r="D327" s="2119">
        <v>0.15</v>
      </c>
      <c r="E327" s="2119">
        <v>0.15</v>
      </c>
      <c r="F327" s="2120">
        <v>0.15</v>
      </c>
    </row>
    <row r="328" spans="1:6" ht="14.25" thickBot="1">
      <c r="A328" s="1530" t="s">
        <v>2277</v>
      </c>
      <c r="B328" s="1524" t="s">
        <v>1328</v>
      </c>
      <c r="C328" s="2119">
        <v>0.15</v>
      </c>
      <c r="D328" s="2119">
        <v>0.15</v>
      </c>
      <c r="E328" s="2119">
        <v>0.15</v>
      </c>
      <c r="F328" s="2120">
        <v>0.14099999999999999</v>
      </c>
    </row>
    <row r="329" spans="1:6" ht="14.25" thickBot="1">
      <c r="A329" s="1530" t="s">
        <v>2277</v>
      </c>
      <c r="B329" s="1524" t="s">
        <v>1338</v>
      </c>
      <c r="C329" s="2119">
        <v>0.15</v>
      </c>
      <c r="D329" s="2119">
        <v>0.15</v>
      </c>
      <c r="E329" s="2119">
        <v>0.15</v>
      </c>
      <c r="F329" s="2120">
        <v>0.15</v>
      </c>
    </row>
    <row r="330" spans="1:6" ht="14.25" thickBot="1">
      <c r="A330" s="1530" t="s">
        <v>2277</v>
      </c>
      <c r="B330" s="1524" t="s">
        <v>1349</v>
      </c>
      <c r="C330" s="2119">
        <v>0.15</v>
      </c>
      <c r="D330" s="2119">
        <v>0.15</v>
      </c>
      <c r="E330" s="2119">
        <v>0.15</v>
      </c>
      <c r="F330" s="2131"/>
    </row>
    <row r="331" spans="1:6" ht="14.25" thickBot="1">
      <c r="A331" s="1530" t="s">
        <v>2277</v>
      </c>
      <c r="B331" s="1524" t="s">
        <v>2287</v>
      </c>
      <c r="C331" s="2119">
        <v>0.15</v>
      </c>
      <c r="D331" s="2119">
        <v>0.15</v>
      </c>
      <c r="E331" s="2119">
        <v>0.15</v>
      </c>
      <c r="F331" s="2120">
        <v>0.15</v>
      </c>
    </row>
    <row r="332" spans="1:6" ht="14.25" thickBot="1">
      <c r="A332" s="1530" t="s">
        <v>2277</v>
      </c>
      <c r="B332" s="1524" t="s">
        <v>1370</v>
      </c>
      <c r="C332" s="2119">
        <v>0.15</v>
      </c>
      <c r="D332" s="2119">
        <v>0.15</v>
      </c>
      <c r="E332" s="2119">
        <v>0.15</v>
      </c>
      <c r="F332" s="2120">
        <v>0.15</v>
      </c>
    </row>
    <row r="333" spans="1:6" ht="14.25" thickBot="1">
      <c r="A333" s="1530" t="s">
        <v>2277</v>
      </c>
      <c r="B333" s="1524" t="s">
        <v>2288</v>
      </c>
      <c r="C333" s="2119">
        <v>0.15</v>
      </c>
      <c r="D333" s="2119">
        <v>0.15</v>
      </c>
      <c r="E333" s="2119">
        <v>0.15</v>
      </c>
      <c r="F333" s="2120">
        <v>0.14099999999999999</v>
      </c>
    </row>
    <row r="334" spans="1:6" ht="14.25" thickBot="1">
      <c r="A334" s="1530" t="s">
        <v>2277</v>
      </c>
      <c r="B334" s="1524" t="s">
        <v>1390</v>
      </c>
      <c r="C334" s="2119">
        <v>0.15</v>
      </c>
      <c r="D334" s="2119">
        <v>0.15</v>
      </c>
      <c r="E334" s="2119">
        <v>0.15</v>
      </c>
      <c r="F334" s="2120">
        <v>0.15</v>
      </c>
    </row>
    <row r="335" spans="1:6" ht="14.25" thickBot="1">
      <c r="A335" s="1530" t="s">
        <v>2277</v>
      </c>
      <c r="B335" s="1524" t="s">
        <v>1400</v>
      </c>
      <c r="C335" s="2119">
        <v>0.15</v>
      </c>
      <c r="D335" s="2119">
        <v>0.15</v>
      </c>
      <c r="E335" s="2119">
        <v>0.15</v>
      </c>
      <c r="F335" s="2131"/>
    </row>
    <row r="336" spans="1:6" ht="14.25" thickBot="1">
      <c r="A336" s="1530" t="s">
        <v>2277</v>
      </c>
      <c r="B336" s="1524" t="s">
        <v>2289</v>
      </c>
      <c r="C336" s="2119">
        <v>0.15</v>
      </c>
      <c r="D336" s="2119">
        <v>0.15</v>
      </c>
      <c r="E336" s="2119">
        <v>0.15</v>
      </c>
      <c r="F336" s="2120">
        <v>0.11799999999999999</v>
      </c>
    </row>
    <row r="337" spans="1:6" ht="14.25" thickBot="1">
      <c r="A337" s="1540" t="s">
        <v>2277</v>
      </c>
      <c r="B337" s="1536" t="s">
        <v>1418</v>
      </c>
      <c r="C337" s="2129"/>
      <c r="D337" s="2129"/>
      <c r="E337" s="2129"/>
      <c r="F337" s="2122">
        <v>0.14299999999999999</v>
      </c>
    </row>
    <row r="338" spans="1:6" ht="14.25" thickBot="1">
      <c r="A338" s="1530" t="s">
        <v>2290</v>
      </c>
      <c r="B338" s="1531" t="s">
        <v>2291</v>
      </c>
      <c r="C338" s="2117">
        <v>0.15</v>
      </c>
      <c r="D338" s="2117">
        <v>0.15</v>
      </c>
      <c r="E338" s="2117">
        <v>0.15</v>
      </c>
      <c r="F338" s="2134"/>
    </row>
    <row r="339" spans="1:6" ht="14.25" thickBot="1">
      <c r="A339" s="1530" t="s">
        <v>2290</v>
      </c>
      <c r="B339" s="1524" t="s">
        <v>2292</v>
      </c>
      <c r="C339" s="2119">
        <v>0.15</v>
      </c>
      <c r="D339" s="2119">
        <v>0.15</v>
      </c>
      <c r="E339" s="2119">
        <v>0.15</v>
      </c>
      <c r="F339" s="2131"/>
    </row>
    <row r="340" spans="1:6" ht="14.25" thickBot="1">
      <c r="A340" s="1530" t="s">
        <v>2290</v>
      </c>
      <c r="B340" s="1524" t="s">
        <v>2293</v>
      </c>
      <c r="C340" s="2119">
        <v>0.15</v>
      </c>
      <c r="D340" s="2119">
        <v>0.15</v>
      </c>
      <c r="E340" s="2119">
        <v>0.15</v>
      </c>
      <c r="F340" s="2131"/>
    </row>
    <row r="341" spans="1:6" ht="14.25" thickBot="1">
      <c r="A341" s="1530" t="s">
        <v>2290</v>
      </c>
      <c r="B341" s="1524" t="s">
        <v>2294</v>
      </c>
      <c r="C341" s="2119">
        <v>0.15</v>
      </c>
      <c r="D341" s="2119">
        <v>0.15</v>
      </c>
      <c r="E341" s="2119">
        <v>0.15</v>
      </c>
      <c r="F341" s="2120">
        <v>0.15</v>
      </c>
    </row>
    <row r="342" spans="1:6" ht="14.25" thickBot="1">
      <c r="A342" s="1530" t="s">
        <v>2290</v>
      </c>
      <c r="B342" s="1524" t="s">
        <v>2295</v>
      </c>
      <c r="C342" s="2119">
        <v>0.15</v>
      </c>
      <c r="D342" s="2119">
        <v>0.15</v>
      </c>
      <c r="E342" s="2119">
        <v>0.15</v>
      </c>
      <c r="F342" s="2120">
        <v>0.15</v>
      </c>
    </row>
    <row r="343" spans="1:6" ht="14.25" thickBot="1">
      <c r="A343" s="1530" t="s">
        <v>2290</v>
      </c>
      <c r="B343" s="1524" t="s">
        <v>2296</v>
      </c>
      <c r="C343" s="2119">
        <v>0.15</v>
      </c>
      <c r="D343" s="2119">
        <v>0.15</v>
      </c>
      <c r="E343" s="2119">
        <v>0.15</v>
      </c>
      <c r="F343" s="2120">
        <v>0.15</v>
      </c>
    </row>
    <row r="344" spans="1:6" ht="14.25" thickBot="1">
      <c r="A344" s="1540" t="s">
        <v>2290</v>
      </c>
      <c r="B344" s="1536" t="s">
        <v>2297</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2912</v>
      </c>
      <c r="C1" s="3201">
        <f>项目基本情况!D3</f>
        <v>43040</v>
      </c>
      <c r="D1" s="3207" t="s">
        <v>2913</v>
      </c>
      <c r="E1" s="3202">
        <f>'数据-取费表'!B22</f>
        <v>1.5</v>
      </c>
      <c r="F1" s="3207" t="s">
        <v>2914</v>
      </c>
      <c r="G1" s="3203">
        <f ca="1">INDIRECT("d"&amp;$K$1)/100</f>
        <v>4.7500000000000001E-2</v>
      </c>
      <c r="H1" s="3207" t="s">
        <v>2944</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2915</v>
      </c>
      <c r="E2" s="3143"/>
      <c r="F2" s="3143" t="s">
        <v>2916</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2917</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2918</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2919</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2920</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2921</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2922</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2923</v>
      </c>
      <c r="C10" s="3171"/>
      <c r="D10" s="3171"/>
      <c r="E10" s="3171"/>
      <c r="F10" s="3171"/>
      <c r="G10" s="3171"/>
      <c r="H10" s="3171"/>
      <c r="I10" s="3145"/>
      <c r="J10" s="3145"/>
      <c r="K10" s="3171"/>
      <c r="L10" s="3172" t="s">
        <v>2924</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2925</v>
      </c>
      <c r="C11" s="3176" t="s">
        <v>2926</v>
      </c>
      <c r="D11" s="3177" t="s">
        <v>2927</v>
      </c>
      <c r="E11" s="3178"/>
      <c r="F11" s="3177" t="s">
        <v>2928</v>
      </c>
      <c r="G11" s="3179"/>
      <c r="H11" s="3178"/>
      <c r="I11" s="3177" t="s">
        <v>2929</v>
      </c>
      <c r="J11" s="3178"/>
      <c r="K11" s="3174"/>
      <c r="L11" s="3175" t="s">
        <v>2925</v>
      </c>
      <c r="M11" s="3176" t="s">
        <v>2926</v>
      </c>
      <c r="N11" s="3175" t="s">
        <v>2930</v>
      </c>
      <c r="O11" s="3177" t="s">
        <v>2931</v>
      </c>
      <c r="P11" s="3179"/>
      <c r="Q11" s="3179"/>
      <c r="R11" s="3179"/>
      <c r="S11" s="3179"/>
      <c r="T11" s="3178"/>
      <c r="U11" s="3177" t="s">
        <v>2932</v>
      </c>
      <c r="V11" s="3179"/>
      <c r="W11" s="3178"/>
      <c r="X11" s="3175" t="s">
        <v>2933</v>
      </c>
      <c r="Y11" s="3175" t="s">
        <v>2934</v>
      </c>
      <c r="Z11" s="3175" t="s">
        <v>2935</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2936</v>
      </c>
      <c r="E12" s="3184" t="s">
        <v>2937</v>
      </c>
      <c r="F12" s="3184" t="s">
        <v>2938</v>
      </c>
      <c r="G12" s="3184" t="s">
        <v>2939</v>
      </c>
      <c r="H12" s="3184" t="s">
        <v>2921</v>
      </c>
      <c r="I12" s="3185" t="s">
        <v>2940</v>
      </c>
      <c r="J12" s="3185" t="s">
        <v>2940</v>
      </c>
      <c r="K12" s="3181"/>
      <c r="L12" s="3182"/>
      <c r="M12" s="3183"/>
      <c r="N12" s="3182"/>
      <c r="O12" s="3185" t="s">
        <v>2941</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2942</v>
      </c>
      <c r="C13" s="3189">
        <v>42301</v>
      </c>
      <c r="D13" s="3190">
        <v>4.3499999999999996</v>
      </c>
      <c r="E13" s="3190">
        <v>4.3499999999999996</v>
      </c>
      <c r="F13" s="3190">
        <v>4.75</v>
      </c>
      <c r="G13" s="3190">
        <v>4.75</v>
      </c>
      <c r="H13" s="3190">
        <v>4.9000000000000004</v>
      </c>
      <c r="I13" s="3190">
        <v>2.75</v>
      </c>
      <c r="J13" s="3190">
        <v>3.25</v>
      </c>
      <c r="K13" s="3187"/>
      <c r="L13" s="3188" t="s">
        <v>2942</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2943</v>
      </c>
      <c r="Y42" s="3194" t="s">
        <v>2943</v>
      </c>
      <c r="Z42" s="3194" t="s">
        <v>2943</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2943</v>
      </c>
      <c r="Y43" s="3194" t="s">
        <v>2943</v>
      </c>
      <c r="Z43" s="3194" t="s">
        <v>2943</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2943</v>
      </c>
      <c r="Y44" s="3194" t="s">
        <v>2943</v>
      </c>
      <c r="Z44" s="3194" t="s">
        <v>2943</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2943</v>
      </c>
      <c r="Y45" s="3194" t="s">
        <v>2943</v>
      </c>
      <c r="Z45" s="3194" t="s">
        <v>2943</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2943</v>
      </c>
      <c r="Y46" s="3194" t="s">
        <v>2943</v>
      </c>
      <c r="Z46" s="3194" t="s">
        <v>2943</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2943</v>
      </c>
      <c r="Y47" s="3194" t="s">
        <v>2943</v>
      </c>
      <c r="Z47" s="3194" t="s">
        <v>2943</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2943</v>
      </c>
      <c r="Y48" s="3194" t="s">
        <v>2943</v>
      </c>
      <c r="Z48" s="3194" t="s">
        <v>2943</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2943</v>
      </c>
      <c r="Y49" s="3194" t="s">
        <v>2943</v>
      </c>
      <c r="Z49" s="3194" t="s">
        <v>2943</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2943</v>
      </c>
      <c r="Y50" s="3194" t="s">
        <v>2943</v>
      </c>
      <c r="Z50" s="3194" t="s">
        <v>2943</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2943</v>
      </c>
      <c r="V51" s="3194" t="s">
        <v>2943</v>
      </c>
      <c r="W51" s="3194" t="s">
        <v>2943</v>
      </c>
      <c r="X51" s="3194" t="s">
        <v>2943</v>
      </c>
      <c r="Y51" s="3194" t="s">
        <v>2943</v>
      </c>
      <c r="Z51" s="3194" t="s">
        <v>2943</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2943</v>
      </c>
      <c r="J55" s="3194" t="s">
        <v>2943</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G224" sqref="G224"/>
    </sheetView>
  </sheetViews>
  <sheetFormatPr defaultRowHeight="13.5"/>
  <sheetData>
    <row r="1" spans="1:13" ht="28.5">
      <c r="A1" s="3337" t="s">
        <v>3043</v>
      </c>
      <c r="E1" s="3331" t="s">
        <v>3047</v>
      </c>
      <c r="F1" s="3332" t="s">
        <v>3051</v>
      </c>
    </row>
    <row r="2" spans="1:13" ht="20.25">
      <c r="A2" s="3338" t="s">
        <v>3044</v>
      </c>
    </row>
    <row r="3" spans="1:13" ht="16.5">
      <c r="A3" s="3339" t="s">
        <v>3045</v>
      </c>
    </row>
    <row r="4" spans="1:13" ht="14.25">
      <c r="A4" s="3329" t="s">
        <v>3046</v>
      </c>
      <c r="B4" s="3334" t="s">
        <v>3048</v>
      </c>
      <c r="C4" s="3335"/>
      <c r="D4" s="3336"/>
      <c r="E4" s="3334" t="s">
        <v>141</v>
      </c>
      <c r="F4" s="3335"/>
      <c r="G4" s="3336"/>
      <c r="H4" s="3334" t="s">
        <v>3049</v>
      </c>
      <c r="I4" s="3335"/>
      <c r="J4" s="3336"/>
      <c r="K4" s="3334" t="s">
        <v>39</v>
      </c>
      <c r="L4" s="3335"/>
      <c r="M4" s="3336"/>
    </row>
    <row r="5" spans="1:13" ht="14.25">
      <c r="A5" s="3330" t="s">
        <v>3050</v>
      </c>
      <c r="B5" s="3329" t="s">
        <v>3052</v>
      </c>
      <c r="C5" s="3329" t="s">
        <v>3053</v>
      </c>
      <c r="D5" s="3329" t="s">
        <v>3054</v>
      </c>
      <c r="E5" s="3329" t="s">
        <v>3052</v>
      </c>
      <c r="F5" s="3329" t="s">
        <v>3053</v>
      </c>
      <c r="G5" s="3329" t="s">
        <v>3054</v>
      </c>
      <c r="H5" s="3329" t="s">
        <v>3052</v>
      </c>
      <c r="I5" s="3329" t="s">
        <v>3053</v>
      </c>
      <c r="J5" s="3329" t="s">
        <v>3054</v>
      </c>
      <c r="K5" s="3329" t="s">
        <v>3052</v>
      </c>
      <c r="L5" s="3329" t="s">
        <v>3053</v>
      </c>
      <c r="M5" s="3329" t="s">
        <v>3054</v>
      </c>
    </row>
    <row r="6" spans="1:13" ht="14.25">
      <c r="A6" s="3333" t="s">
        <v>1230</v>
      </c>
      <c r="B6" s="3340">
        <v>26980</v>
      </c>
      <c r="C6" s="3340">
        <v>32980</v>
      </c>
      <c r="D6" s="3340">
        <v>29980</v>
      </c>
      <c r="E6" s="3340">
        <v>26170</v>
      </c>
      <c r="F6" s="3340">
        <v>31990</v>
      </c>
      <c r="G6" s="3340">
        <v>29080</v>
      </c>
      <c r="H6" s="3340">
        <v>25850</v>
      </c>
      <c r="I6" s="3340">
        <v>31590</v>
      </c>
      <c r="J6" s="3340">
        <v>28720</v>
      </c>
      <c r="K6" s="3340">
        <v>9860</v>
      </c>
      <c r="L6" s="3341">
        <v>13340</v>
      </c>
      <c r="M6" s="3340">
        <v>11600</v>
      </c>
    </row>
    <row r="7" spans="1:13" ht="14.25">
      <c r="A7" s="3333" t="s">
        <v>1287</v>
      </c>
      <c r="B7" s="3340">
        <v>21970</v>
      </c>
      <c r="C7" s="3340">
        <v>28730</v>
      </c>
      <c r="D7" s="3340">
        <v>25350</v>
      </c>
      <c r="E7" s="3340">
        <v>21480</v>
      </c>
      <c r="F7" s="3340">
        <v>28080</v>
      </c>
      <c r="G7" s="3340">
        <v>24780</v>
      </c>
      <c r="H7" s="3340">
        <v>21250</v>
      </c>
      <c r="I7" s="3340">
        <v>27790</v>
      </c>
      <c r="J7" s="3340">
        <v>24520</v>
      </c>
      <c r="K7" s="3340">
        <v>6660</v>
      </c>
      <c r="L7" s="3341">
        <v>10000</v>
      </c>
      <c r="M7" s="3340">
        <v>8330</v>
      </c>
    </row>
    <row r="8" spans="1:13" ht="14.25">
      <c r="A8" s="3333" t="s">
        <v>1460</v>
      </c>
      <c r="B8" s="3340">
        <v>17430</v>
      </c>
      <c r="C8" s="3340">
        <v>24410</v>
      </c>
      <c r="D8" s="3340">
        <v>20920</v>
      </c>
      <c r="E8" s="3340">
        <v>17140</v>
      </c>
      <c r="F8" s="3340">
        <v>24000</v>
      </c>
      <c r="G8" s="3340">
        <v>20570</v>
      </c>
      <c r="H8" s="3340">
        <v>16990</v>
      </c>
      <c r="I8" s="3340">
        <v>23790</v>
      </c>
      <c r="J8" s="3340">
        <v>20390</v>
      </c>
      <c r="K8" s="3340">
        <v>4530</v>
      </c>
      <c r="L8" s="3341">
        <v>6790</v>
      </c>
      <c r="M8" s="3340">
        <v>5660</v>
      </c>
    </row>
    <row r="9" spans="1:13" ht="14.25">
      <c r="A9" s="3333" t="s">
        <v>1141</v>
      </c>
      <c r="B9" s="3340">
        <v>13330</v>
      </c>
      <c r="C9" s="3340">
        <v>19990</v>
      </c>
      <c r="D9" s="3340">
        <v>16660</v>
      </c>
      <c r="E9" s="3340">
        <v>13160</v>
      </c>
      <c r="F9" s="3340">
        <v>19740</v>
      </c>
      <c r="G9" s="3340">
        <v>16450</v>
      </c>
      <c r="H9" s="3340">
        <v>13060</v>
      </c>
      <c r="I9" s="3340">
        <v>19600</v>
      </c>
      <c r="J9" s="3340">
        <v>16330</v>
      </c>
      <c r="K9" s="3340">
        <v>3090</v>
      </c>
      <c r="L9" s="3341">
        <v>4650</v>
      </c>
      <c r="M9" s="3340">
        <v>3870</v>
      </c>
    </row>
    <row r="10" spans="1:13" ht="14.25">
      <c r="A10" s="3333" t="s">
        <v>1541</v>
      </c>
      <c r="B10" s="3340">
        <v>10420</v>
      </c>
      <c r="C10" s="3340">
        <v>15620</v>
      </c>
      <c r="D10" s="3340">
        <v>13020</v>
      </c>
      <c r="E10" s="3340">
        <v>10310</v>
      </c>
      <c r="F10" s="3340">
        <v>15470</v>
      </c>
      <c r="G10" s="3340">
        <v>12890</v>
      </c>
      <c r="H10" s="3340">
        <v>10250</v>
      </c>
      <c r="I10" s="3340">
        <v>15370</v>
      </c>
      <c r="J10" s="3340">
        <v>12810</v>
      </c>
      <c r="K10" s="3340">
        <v>2140</v>
      </c>
      <c r="L10" s="3341">
        <v>3200</v>
      </c>
      <c r="M10" s="3340">
        <v>2670</v>
      </c>
    </row>
    <row r="11" spans="1:13" ht="14.25">
      <c r="A11" s="3333" t="s">
        <v>203</v>
      </c>
      <c r="B11" s="3340">
        <v>8130</v>
      </c>
      <c r="C11" s="3340">
        <v>12190</v>
      </c>
      <c r="D11" s="3340">
        <v>10160</v>
      </c>
      <c r="E11" s="3340">
        <v>8060</v>
      </c>
      <c r="F11" s="3340">
        <v>12080</v>
      </c>
      <c r="G11" s="3340">
        <v>10070</v>
      </c>
      <c r="H11" s="3340">
        <v>8010</v>
      </c>
      <c r="I11" s="3340">
        <v>12010</v>
      </c>
      <c r="J11" s="3340">
        <v>10010</v>
      </c>
      <c r="K11" s="3340">
        <v>1490</v>
      </c>
      <c r="L11" s="3341">
        <v>2250</v>
      </c>
      <c r="M11" s="3340">
        <v>1870</v>
      </c>
    </row>
    <row r="12" spans="1:13" ht="14.25">
      <c r="A12" s="3333" t="s">
        <v>1544</v>
      </c>
      <c r="B12" s="3340">
        <v>5940</v>
      </c>
      <c r="C12" s="3340">
        <v>8900</v>
      </c>
      <c r="D12" s="3340">
        <v>7420</v>
      </c>
      <c r="E12" s="3340">
        <v>5880</v>
      </c>
      <c r="F12" s="3340">
        <v>8820</v>
      </c>
      <c r="G12" s="3340">
        <v>7350</v>
      </c>
      <c r="H12" s="3340">
        <v>5840</v>
      </c>
      <c r="I12" s="3340">
        <v>8760</v>
      </c>
      <c r="J12" s="3340">
        <v>7300</v>
      </c>
      <c r="K12" s="3340">
        <v>1060</v>
      </c>
      <c r="L12" s="3341">
        <v>1600</v>
      </c>
      <c r="M12" s="3340">
        <v>1330</v>
      </c>
    </row>
    <row r="13" spans="1:13" ht="14.25">
      <c r="A13" s="3333" t="s">
        <v>1546</v>
      </c>
      <c r="B13" s="3340">
        <v>3970</v>
      </c>
      <c r="C13" s="3340">
        <v>6330</v>
      </c>
      <c r="D13" s="3340">
        <v>5150</v>
      </c>
      <c r="E13" s="3340">
        <v>3920</v>
      </c>
      <c r="F13" s="3340">
        <v>6260</v>
      </c>
      <c r="G13" s="3340">
        <v>5090</v>
      </c>
      <c r="H13" s="3340">
        <v>3890</v>
      </c>
      <c r="I13" s="3340">
        <v>6210</v>
      </c>
      <c r="J13" s="3340">
        <v>5050</v>
      </c>
      <c r="K13" s="3340">
        <v>780</v>
      </c>
      <c r="L13" s="3341">
        <v>1160</v>
      </c>
      <c r="M13" s="3340">
        <v>970</v>
      </c>
    </row>
    <row r="14" spans="1:13" ht="14.25">
      <c r="A14" s="3333" t="s">
        <v>1548</v>
      </c>
      <c r="B14" s="3340">
        <v>2680</v>
      </c>
      <c r="C14" s="3340">
        <v>4280</v>
      </c>
      <c r="D14" s="3340">
        <v>3480</v>
      </c>
      <c r="E14" s="3340">
        <v>2640</v>
      </c>
      <c r="F14" s="3340">
        <v>4220</v>
      </c>
      <c r="G14" s="3340">
        <v>3430</v>
      </c>
      <c r="H14" s="3340">
        <v>2620</v>
      </c>
      <c r="I14" s="3340">
        <v>4180</v>
      </c>
      <c r="J14" s="3340">
        <v>3400</v>
      </c>
      <c r="K14" s="3340">
        <v>580</v>
      </c>
      <c r="L14" s="3341">
        <v>880</v>
      </c>
      <c r="M14" s="3340">
        <v>730</v>
      </c>
    </row>
    <row r="15" spans="1:13" ht="14.25">
      <c r="A15" s="3333" t="s">
        <v>1552</v>
      </c>
      <c r="B15" s="3340">
        <v>1700</v>
      </c>
      <c r="C15" s="3340">
        <v>2840</v>
      </c>
      <c r="D15" s="3340">
        <v>2270</v>
      </c>
      <c r="E15" s="3340">
        <v>1670</v>
      </c>
      <c r="F15" s="3340">
        <v>2790</v>
      </c>
      <c r="G15" s="3340">
        <v>2230</v>
      </c>
      <c r="H15" s="3340">
        <v>1650</v>
      </c>
      <c r="I15" s="3340">
        <v>2750</v>
      </c>
      <c r="J15" s="3340">
        <v>2200</v>
      </c>
      <c r="K15" s="3340">
        <v>450</v>
      </c>
      <c r="L15" s="3341">
        <v>670</v>
      </c>
      <c r="M15" s="3340">
        <v>560</v>
      </c>
    </row>
    <row r="16" spans="1:13" ht="14.25">
      <c r="A16" s="3333" t="s">
        <v>1951</v>
      </c>
      <c r="B16" s="3340">
        <v>1070</v>
      </c>
      <c r="C16" s="3340">
        <v>1790</v>
      </c>
      <c r="D16" s="3340">
        <v>1430</v>
      </c>
      <c r="E16" s="3340">
        <v>1050</v>
      </c>
      <c r="F16" s="3340">
        <v>1750</v>
      </c>
      <c r="G16" s="3340">
        <v>1400</v>
      </c>
      <c r="H16" s="3340">
        <v>1030</v>
      </c>
      <c r="I16" s="3340">
        <v>1730</v>
      </c>
      <c r="J16" s="3340">
        <v>1380</v>
      </c>
      <c r="K16" s="3340">
        <v>350</v>
      </c>
      <c r="L16" s="3341">
        <v>530</v>
      </c>
      <c r="M16" s="3340">
        <v>440</v>
      </c>
    </row>
    <row r="17" spans="1:13" ht="14.25">
      <c r="A17" s="3333" t="s">
        <v>1952</v>
      </c>
      <c r="B17" s="3340">
        <v>680</v>
      </c>
      <c r="C17" s="3340">
        <v>1120</v>
      </c>
      <c r="D17" s="3340">
        <v>900</v>
      </c>
      <c r="E17" s="3340">
        <v>650</v>
      </c>
      <c r="F17" s="3340">
        <v>1090</v>
      </c>
      <c r="G17" s="3340">
        <v>870</v>
      </c>
      <c r="H17" s="3340">
        <v>630</v>
      </c>
      <c r="I17" s="3340">
        <v>1070</v>
      </c>
      <c r="J17" s="3340">
        <v>850</v>
      </c>
      <c r="K17" s="3340">
        <v>280</v>
      </c>
      <c r="L17" s="3341">
        <v>420</v>
      </c>
      <c r="M17" s="3340">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5:E129"/>
  <sheetViews>
    <sheetView workbookViewId="0">
      <selection activeCell="M1" sqref="M1"/>
    </sheetView>
  </sheetViews>
  <sheetFormatPr defaultRowHeight="13.5"/>
  <sheetData>
    <row r="125" spans="1:5">
      <c r="A125" s="3369" t="s">
        <v>3179</v>
      </c>
      <c r="B125" s="3369" t="s">
        <v>3170</v>
      </c>
      <c r="C125" s="3369" t="s">
        <v>3178</v>
      </c>
      <c r="D125" s="3369" t="s">
        <v>3171</v>
      </c>
      <c r="E125" s="3369" t="s">
        <v>3172</v>
      </c>
    </row>
    <row r="126" spans="1:5">
      <c r="A126">
        <v>1</v>
      </c>
      <c r="B126" s="3369" t="s">
        <v>3173</v>
      </c>
      <c r="C126" s="3369">
        <v>1</v>
      </c>
      <c r="D126">
        <v>49.46</v>
      </c>
      <c r="E126" s="3369" t="s">
        <v>3176</v>
      </c>
    </row>
    <row r="127" spans="1:5">
      <c r="A127">
        <v>2</v>
      </c>
      <c r="B127" s="3369" t="s">
        <v>3174</v>
      </c>
      <c r="C127" s="3369">
        <v>1</v>
      </c>
      <c r="D127">
        <v>106.15</v>
      </c>
      <c r="E127" s="3369" t="s">
        <v>3176</v>
      </c>
    </row>
    <row r="128" spans="1:5">
      <c r="A128">
        <v>3</v>
      </c>
      <c r="B128" s="3369" t="s">
        <v>3175</v>
      </c>
      <c r="C128">
        <v>-1</v>
      </c>
      <c r="D128">
        <v>2530.29</v>
      </c>
      <c r="E128" s="3369" t="s">
        <v>3177</v>
      </c>
    </row>
    <row r="129" spans="1:4">
      <c r="A129" s="3369" t="s">
        <v>3180</v>
      </c>
      <c r="D129">
        <f>SUM(D126:D128)</f>
        <v>2685.9</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8" t="s">
        <v>2045</v>
      </c>
      <c r="B1" s="3398"/>
      <c r="C1" s="3398"/>
      <c r="D1" s="3398"/>
      <c r="E1" s="3398"/>
      <c r="F1" s="3398"/>
      <c r="G1" s="3398"/>
      <c r="H1" s="3398"/>
      <c r="I1" s="3398"/>
    </row>
    <row r="2" spans="1:9" ht="30" customHeight="1" thickTop="1">
      <c r="A2" s="3399" t="s">
        <v>2881</v>
      </c>
      <c r="B2" s="3399" t="s">
        <v>2046</v>
      </c>
      <c r="C2" s="3399" t="s">
        <v>2047</v>
      </c>
      <c r="D2" s="3399" t="str">
        <f>结果表仓储!D116</f>
        <v>出让国有建设用地使用权价值</v>
      </c>
      <c r="E2" s="3399"/>
      <c r="F2" s="3399" t="str">
        <f>结果表仓储!F116</f>
        <v>在建建筑物价值</v>
      </c>
      <c r="G2" s="3399"/>
      <c r="H2" s="3399" t="s">
        <v>6</v>
      </c>
      <c r="I2" s="3399"/>
    </row>
    <row r="3" spans="1:9" ht="14.25">
      <c r="A3" s="3393"/>
      <c r="B3" s="3393"/>
      <c r="C3" s="3393"/>
      <c r="D3" s="1913" t="s">
        <v>7</v>
      </c>
      <c r="E3" s="1913" t="s">
        <v>2048</v>
      </c>
      <c r="F3" s="1913" t="s">
        <v>7</v>
      </c>
      <c r="G3" s="1913" t="s">
        <v>8</v>
      </c>
      <c r="H3" s="1913" t="s">
        <v>7</v>
      </c>
      <c r="I3" s="1913" t="s">
        <v>8</v>
      </c>
    </row>
    <row r="4" spans="1:9" ht="57">
      <c r="A4" s="1983" t="str">
        <f>项目基本情况!S2</f>
        <v>北京市西城区真武庙路二条10号楼1层7单元102及103共计两套商业服务用房及-1层-102号储藏用房房地产房地产</v>
      </c>
      <c r="B4" s="1977">
        <f>项目基本情况!C17</f>
        <v>2579.75</v>
      </c>
      <c r="C4" s="1977">
        <f>项目基本情况!C18</f>
        <v>0</v>
      </c>
      <c r="D4" s="1977">
        <f ca="1">结果表仓储!D118</f>
        <v>3425</v>
      </c>
      <c r="E4" s="1977">
        <f ca="1">结果表仓储!E118</f>
        <v>13536</v>
      </c>
      <c r="F4" s="1977">
        <f ca="1">结果表仓储!F118</f>
        <v>1553</v>
      </c>
      <c r="G4" s="1977">
        <f ca="1">结果表仓储!G118</f>
        <v>6138</v>
      </c>
      <c r="H4" s="1977">
        <f ca="1">结果表仓储!H118</f>
        <v>4978</v>
      </c>
      <c r="I4" s="1977">
        <f ca="1">结果表仓储!I118</f>
        <v>19674</v>
      </c>
    </row>
    <row r="5" spans="1:9" ht="30" customHeight="1">
      <c r="A5" s="3393" t="s">
        <v>9</v>
      </c>
      <c r="B5" s="3393"/>
      <c r="C5" s="3393"/>
      <c r="D5" s="3394" t="str">
        <f ca="1">结果表仓储!D119</f>
        <v>叁仟肆佰贰拾伍万元整</v>
      </c>
      <c r="E5" s="3394"/>
      <c r="F5" s="3394" t="str">
        <f ca="1">结果表仓储!F119</f>
        <v>壹仟伍佰伍拾叁万元整</v>
      </c>
      <c r="G5" s="3394"/>
      <c r="H5" s="3394" t="str">
        <f ca="1">结果表仓储!H119</f>
        <v>肆仟玖佰柒拾捌万元整</v>
      </c>
      <c r="I5" s="3394"/>
    </row>
    <row r="6" spans="1:9" ht="15.75">
      <c r="A6" s="3391" t="str">
        <f>结果表仓储!A120</f>
        <v>估价师知悉的法定优先受偿款</v>
      </c>
      <c r="B6" s="3391"/>
      <c r="C6" s="3391"/>
      <c r="D6" s="3392">
        <f>结果表仓储!D120</f>
        <v>0</v>
      </c>
      <c r="E6" s="3392"/>
      <c r="F6" s="3392"/>
      <c r="G6" s="3392"/>
      <c r="H6" s="3392"/>
      <c r="I6" s="3392"/>
    </row>
    <row r="7" spans="1:9" ht="14.25">
      <c r="A7" s="3393" t="s">
        <v>9</v>
      </c>
      <c r="B7" s="3393"/>
      <c r="C7" s="3393"/>
      <c r="D7" s="3395" t="str">
        <f>结果表仓储!D121</f>
        <v>零元整</v>
      </c>
      <c r="E7" s="3396"/>
      <c r="F7" s="3396"/>
      <c r="G7" s="3396"/>
      <c r="H7" s="3396"/>
      <c r="I7" s="3397"/>
    </row>
    <row r="8" spans="1:9" ht="15.75">
      <c r="A8" s="3391" t="str">
        <f>结果表仓储!A122</f>
        <v>房地产抵押价值</v>
      </c>
      <c r="B8" s="3391"/>
      <c r="C8" s="3391"/>
      <c r="D8" s="3392">
        <f ca="1">结果表仓储!D122</f>
        <v>4978</v>
      </c>
      <c r="E8" s="3392"/>
      <c r="F8" s="3392"/>
      <c r="G8" s="3392"/>
      <c r="H8" s="3392"/>
      <c r="I8" s="3392"/>
    </row>
    <row r="9" spans="1:9" ht="14.25">
      <c r="A9" s="3393" t="s">
        <v>9</v>
      </c>
      <c r="B9" s="3393"/>
      <c r="C9" s="3393"/>
      <c r="D9" s="3394" t="str">
        <f ca="1">结果表仓储!D123</f>
        <v>肆仟玖佰柒拾捌万元整</v>
      </c>
      <c r="E9" s="3394"/>
      <c r="F9" s="3394"/>
      <c r="G9" s="3394"/>
      <c r="H9" s="3394"/>
      <c r="I9" s="3394"/>
    </row>
    <row r="10" spans="1:9" ht="15.75">
      <c r="A10" s="3391" t="str">
        <f>结果表仓储!A124</f>
        <v/>
      </c>
      <c r="B10" s="3391"/>
      <c r="C10" s="3391"/>
      <c r="D10" s="3392" t="str">
        <f>结果表仓储!D124</f>
        <v>——</v>
      </c>
      <c r="E10" s="3392"/>
      <c r="F10" s="3392"/>
      <c r="G10" s="3392"/>
      <c r="H10" s="3392"/>
      <c r="I10" s="3392"/>
    </row>
    <row r="11" spans="1:9" ht="14.25">
      <c r="A11" s="3393" t="s">
        <v>9</v>
      </c>
      <c r="B11" s="3393"/>
      <c r="C11" s="3393"/>
      <c r="D11" s="3394" t="e">
        <f>结果表仓储!D125</f>
        <v>#VALUE!</v>
      </c>
      <c r="E11" s="3394"/>
      <c r="F11" s="3394"/>
      <c r="G11" s="3394"/>
      <c r="H11" s="3394"/>
      <c r="I11" s="3394"/>
    </row>
    <row r="12" spans="1:9" ht="15.75">
      <c r="A12" s="3391" t="str">
        <f>结果表仓储!A126</f>
        <v/>
      </c>
      <c r="B12" s="3391"/>
      <c r="C12" s="3391"/>
      <c r="D12" s="3392" t="str">
        <f>结果表仓储!D126</f>
        <v>——</v>
      </c>
      <c r="E12" s="3392"/>
      <c r="F12" s="3392"/>
      <c r="G12" s="3392"/>
      <c r="H12" s="3392"/>
      <c r="I12" s="3392"/>
    </row>
    <row r="13" spans="1:9" ht="15" thickBot="1">
      <c r="A13" s="3388" t="s">
        <v>9</v>
      </c>
      <c r="B13" s="3388"/>
      <c r="C13" s="3388"/>
      <c r="D13" s="3389" t="e">
        <f>结果表仓储!D127</f>
        <v>#VALUE!</v>
      </c>
      <c r="E13" s="3389"/>
      <c r="F13" s="3389"/>
      <c r="G13" s="3389"/>
      <c r="H13" s="3389"/>
      <c r="I13" s="3389"/>
    </row>
    <row r="14" spans="1:9" ht="14.25" thickTop="1">
      <c r="A14" s="3390" t="s">
        <v>2049</v>
      </c>
      <c r="B14" s="3390"/>
      <c r="C14" s="3390"/>
      <c r="D14" s="3390"/>
      <c r="E14" s="3390"/>
      <c r="F14" s="3390"/>
      <c r="G14" s="3390"/>
      <c r="H14" s="3390"/>
      <c r="I14" s="3390"/>
    </row>
    <row r="16" spans="1:9" ht="18.75">
      <c r="A16" s="1992" t="s">
        <v>2050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6" t="s">
        <v>2857</v>
      </c>
      <c r="B1" s="3406"/>
      <c r="C1" s="3406"/>
      <c r="D1" s="3406"/>
    </row>
    <row r="2" spans="1:4" ht="18.75">
      <c r="A2" s="3407" t="s">
        <v>2118</v>
      </c>
      <c r="B2" s="3407"/>
      <c r="C2" s="3407"/>
      <c r="D2" s="3407"/>
    </row>
    <row r="3" spans="1:4" ht="18.75">
      <c r="A3" s="2612" t="s">
        <v>2119</v>
      </c>
      <c r="B3" s="2612" t="s">
        <v>2120</v>
      </c>
      <c r="C3" s="2612" t="s">
        <v>2121</v>
      </c>
      <c r="D3" s="2612" t="s">
        <v>2122</v>
      </c>
    </row>
    <row r="4" spans="1:4" ht="56.25" customHeight="1">
      <c r="A4" s="2618" t="str">
        <f>项目基本情况!B4</f>
        <v>吴薇</v>
      </c>
      <c r="B4" s="2613">
        <f ca="1">项目基本情况!C4</f>
        <v>1419970001</v>
      </c>
      <c r="C4" s="2616"/>
      <c r="D4" s="2614" t="s">
        <v>2123</v>
      </c>
    </row>
    <row r="5" spans="1:4" ht="56.25" customHeight="1">
      <c r="A5" s="2618" t="str">
        <f>项目基本情况!D4</f>
        <v>王鹏</v>
      </c>
      <c r="B5" s="2613">
        <f ca="1">项目基本情况!E4</f>
        <v>1120050019</v>
      </c>
      <c r="C5" s="2617"/>
      <c r="D5" s="2614" t="s">
        <v>2123</v>
      </c>
    </row>
    <row r="6" spans="1:4" ht="18.75">
      <c r="A6" s="3407" t="s">
        <v>2619</v>
      </c>
      <c r="B6" s="3407"/>
      <c r="C6" s="3407"/>
      <c r="D6" s="3407"/>
    </row>
    <row r="7" spans="1:4" ht="18.75">
      <c r="A7" s="2612" t="s">
        <v>2119</v>
      </c>
      <c r="B7" s="2613" t="s">
        <v>2124</v>
      </c>
      <c r="C7" s="2612" t="s">
        <v>2121</v>
      </c>
      <c r="D7" s="2612" t="s">
        <v>2122</v>
      </c>
    </row>
    <row r="8" spans="1:4" ht="56.25" customHeight="1">
      <c r="A8" s="2615" t="s">
        <v>2125</v>
      </c>
      <c r="B8" s="2615" t="s">
        <v>23</v>
      </c>
      <c r="C8" s="2616"/>
      <c r="D8" s="2614" t="s">
        <v>2123</v>
      </c>
    </row>
    <row r="9" spans="1:4">
      <c r="A9" s="1496"/>
      <c r="B9" s="1496"/>
      <c r="C9" s="1496"/>
      <c r="D9" s="1496"/>
    </row>
    <row r="10" spans="1:4" ht="18.75">
      <c r="A10" s="2094" t="s">
        <v>2126</v>
      </c>
      <c r="B10" s="1496"/>
      <c r="C10" s="1496"/>
      <c r="D10" s="1496"/>
    </row>
    <row r="11" spans="1:4" ht="30" customHeight="1">
      <c r="A11" s="3408" t="s">
        <v>2711</v>
      </c>
      <c r="B11" s="3400"/>
      <c r="C11" s="3400"/>
      <c r="D11" s="3400"/>
    </row>
    <row r="12" spans="1:4" ht="14.25">
      <c r="A12" s="3400" t="str">
        <f>IF(项目基本情况!B8="抵押","2.本《评估意见函》仅供金融机构进行内部审核使用，不做其他目的之用。","")</f>
        <v>2.本《评估意见函》仅供金融机构进行内部审核使用，不做其他目的之用。</v>
      </c>
      <c r="B12" s="3405"/>
      <c r="C12" s="3405"/>
      <c r="D12" s="3405"/>
    </row>
    <row r="13" spans="1:4" ht="30" customHeight="1">
      <c r="A13" s="34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5"/>
      <c r="C13" s="3405"/>
      <c r="D13" s="3405"/>
    </row>
    <row r="14" spans="1:4" ht="15.75" customHeight="1">
      <c r="A14" s="3400" t="str">
        <f>IF(项目基本情况!B8="抵押","4.本次评估估价师所知悉的法定优先受偿款情况说明如下：","")</f>
        <v>4.本次评估估价师所知悉的法定优先受偿款情况说明如下：</v>
      </c>
      <c r="B14" s="3405"/>
      <c r="C14" s="3405"/>
      <c r="D14" s="3405"/>
    </row>
    <row r="15" spans="1:4" ht="42" customHeight="1">
      <c r="A15" s="3400" t="str">
        <f>IF(项目基本情况!B8="抵押","（1）"&amp;CONCATENATE(项目基本情况!L20,项目基本情况!L21,项目基本情况!L22),"")</f>
        <v>（1）根据估价对象《房屋所有权证》复印件、《国有土地使用权》复印件，截至价值时点，估价对象抵押权未见登记。</v>
      </c>
      <c r="B15" s="3400"/>
      <c r="C15" s="3400"/>
      <c r="D15" s="3400"/>
    </row>
    <row r="16" spans="1:4" ht="30" customHeight="1">
      <c r="A16" s="3402" t="s">
        <v>2130</v>
      </c>
      <c r="B16" s="3402"/>
      <c r="C16" s="3402"/>
      <c r="D16" s="3402"/>
    </row>
    <row r="17" spans="1:4" ht="144" customHeight="1">
      <c r="A17" s="3402" t="s">
        <v>2131</v>
      </c>
      <c r="B17" s="3402"/>
      <c r="C17" s="3402"/>
      <c r="D17" s="3402"/>
    </row>
    <row r="18" spans="1:4" ht="15.75" customHeight="1">
      <c r="A18" s="3400" t="str">
        <f>IF(项目基本情况!B8="抵押",结果表仓储!K120,"")</f>
        <v>故，本次评估不存在估价师知悉的法定优先受偿款</v>
      </c>
      <c r="B18" s="3400"/>
      <c r="C18" s="3400"/>
      <c r="D18" s="3400"/>
    </row>
    <row r="19" spans="1:4" ht="46.5" customHeight="1">
      <c r="A19" s="340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仓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00"/>
      <c r="C20" s="3400"/>
      <c r="D20" s="3400"/>
    </row>
    <row r="21" spans="1:4" ht="57.75" customHeight="1">
      <c r="A21" s="3403" t="str">
        <f>IF(结果表仓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03"/>
      <c r="C21" s="3403"/>
      <c r="D21" s="3403"/>
    </row>
    <row r="22" spans="1:4" ht="18.75" customHeight="1">
      <c r="A22" s="3404" t="s">
        <v>2879</v>
      </c>
      <c r="B22" s="3404"/>
      <c r="C22" s="3404"/>
      <c r="D22" s="3404"/>
    </row>
    <row r="23" spans="1:4">
      <c r="A23" s="1984"/>
      <c r="B23" s="1993"/>
      <c r="C23" s="1993"/>
      <c r="D23" s="1993"/>
    </row>
    <row r="24" spans="1:4">
      <c r="A24" s="1984"/>
      <c r="B24" s="1993"/>
      <c r="C24" s="1993"/>
      <c r="D24" s="1993"/>
    </row>
    <row r="25" spans="1:4" ht="18.75">
      <c r="A25" s="1982" t="s">
        <v>2127</v>
      </c>
    </row>
    <row r="26" spans="1:4" ht="18.75">
      <c r="A26" s="1954"/>
    </row>
    <row r="27" spans="1:4" ht="18.75">
      <c r="A27" s="1954" t="s">
        <v>2128</v>
      </c>
    </row>
    <row r="30" spans="1:4" ht="18.75">
      <c r="D30" s="1982" t="s">
        <v>2129</v>
      </c>
    </row>
    <row r="31" spans="1:4" ht="13.5" customHeight="1">
      <c r="C31" s="3401">
        <v>42551</v>
      </c>
      <c r="D31" s="340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2134</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577</v>
      </c>
    </row>
    <row r="3" spans="1:7">
      <c r="A3" s="1139" t="s">
        <v>550</v>
      </c>
      <c r="B3" s="1140" t="s">
        <v>551</v>
      </c>
      <c r="G3" s="1141"/>
    </row>
    <row r="4" spans="1:7">
      <c r="G4" s="1141"/>
    </row>
    <row r="5" spans="1:7">
      <c r="A5" s="1143" t="s">
        <v>541</v>
      </c>
      <c r="B5" s="1140" t="s">
        <v>552</v>
      </c>
      <c r="G5" s="1141"/>
    </row>
    <row r="6" spans="1:7">
      <c r="G6" s="1141"/>
    </row>
    <row r="7" spans="1:7">
      <c r="A7" s="1144" t="s">
        <v>1138</v>
      </c>
      <c r="B7" s="1140" t="s">
        <v>553</v>
      </c>
      <c r="G7" s="1141"/>
    </row>
    <row r="8" spans="1:7">
      <c r="G8" s="1141"/>
    </row>
    <row r="9" spans="1:7">
      <c r="A9" s="1145" t="s">
        <v>542</v>
      </c>
      <c r="B9" s="1140" t="s">
        <v>554</v>
      </c>
    </row>
    <row r="11" spans="1:7">
      <c r="A11" s="1146" t="s">
        <v>543</v>
      </c>
      <c r="B11" s="1147" t="s">
        <v>540</v>
      </c>
    </row>
    <row r="13" spans="1:7">
      <c r="A13" s="1148" t="s">
        <v>555</v>
      </c>
    </row>
    <row r="15" spans="1:7" ht="13.5">
      <c r="A15" s="3414" t="s">
        <v>556</v>
      </c>
      <c r="B15" s="3409" t="s">
        <v>1139</v>
      </c>
      <c r="C15" s="3410"/>
    </row>
    <row r="16" spans="1:7" ht="13.5">
      <c r="A16" s="3415"/>
      <c r="B16" s="3409" t="s">
        <v>529</v>
      </c>
      <c r="C16" s="3410"/>
    </row>
    <row r="17" spans="1:3" ht="13.5">
      <c r="A17" s="3415"/>
      <c r="B17" s="3412" t="s">
        <v>557</v>
      </c>
      <c r="C17" s="1149" t="s">
        <v>556</v>
      </c>
    </row>
    <row r="18" spans="1:3" ht="13.5">
      <c r="A18" s="3415"/>
      <c r="B18" s="3412"/>
      <c r="C18" s="1149" t="s">
        <v>558</v>
      </c>
    </row>
    <row r="19" spans="1:3" ht="13.5">
      <c r="A19" s="3415"/>
      <c r="B19" s="3412"/>
      <c r="C19" s="1149" t="s">
        <v>559</v>
      </c>
    </row>
    <row r="20" spans="1:3" ht="13.5">
      <c r="A20" s="3416"/>
      <c r="B20" s="3411" t="s">
        <v>560</v>
      </c>
      <c r="C20" s="3410"/>
    </row>
    <row r="21" spans="1:3" ht="13.5">
      <c r="A21" s="1150" t="s">
        <v>561</v>
      </c>
      <c r="B21" s="1151"/>
      <c r="C21" s="1152"/>
    </row>
    <row r="22" spans="1:3" ht="13.5">
      <c r="A22" s="3413" t="s">
        <v>562</v>
      </c>
      <c r="B22" s="3411" t="s">
        <v>563</v>
      </c>
      <c r="C22" s="3410"/>
    </row>
    <row r="23" spans="1:3" ht="13.5">
      <c r="A23" s="3413"/>
      <c r="B23" s="3411" t="s">
        <v>564</v>
      </c>
      <c r="C23" s="3410"/>
    </row>
    <row r="24" spans="1:3" ht="13.5">
      <c r="A24" s="3413"/>
      <c r="B24" s="3411" t="s">
        <v>565</v>
      </c>
      <c r="C24" s="3410"/>
    </row>
    <row r="25" spans="1:3" ht="13.5">
      <c r="A25" s="3413"/>
      <c r="B25" s="3412" t="s">
        <v>566</v>
      </c>
      <c r="C25" s="1149" t="s">
        <v>567</v>
      </c>
    </row>
    <row r="26" spans="1:3" ht="13.5">
      <c r="A26" s="3413"/>
      <c r="B26" s="3412"/>
      <c r="C26" s="1149" t="s">
        <v>568</v>
      </c>
    </row>
    <row r="27" spans="1:3" ht="13.5">
      <c r="A27" s="3413"/>
      <c r="B27" s="3412"/>
      <c r="C27" s="1149" t="s">
        <v>569</v>
      </c>
    </row>
    <row r="28" spans="1:3" ht="13.5">
      <c r="A28" s="3413"/>
      <c r="B28" s="3412"/>
      <c r="C28" s="1149" t="s">
        <v>570</v>
      </c>
    </row>
    <row r="29" spans="1:3" ht="13.5">
      <c r="A29" s="3413"/>
      <c r="B29" s="3412"/>
      <c r="C29" s="1149" t="s">
        <v>571</v>
      </c>
    </row>
    <row r="30" spans="1:3" ht="13.5">
      <c r="A30" s="3413"/>
      <c r="B30" s="3412"/>
      <c r="C30" s="1149" t="s">
        <v>572</v>
      </c>
    </row>
    <row r="31" spans="1:3" ht="13.5">
      <c r="A31" s="3413"/>
      <c r="B31" s="3412"/>
      <c r="C31" s="1149" t="s">
        <v>573</v>
      </c>
    </row>
    <row r="32" spans="1:3" ht="13.5">
      <c r="A32" s="3413"/>
      <c r="B32" s="3412"/>
      <c r="C32" s="1149" t="s">
        <v>574</v>
      </c>
    </row>
    <row r="33" spans="1:3" ht="13.5">
      <c r="A33" s="3413"/>
      <c r="B33" s="3412"/>
      <c r="C33" s="1149" t="s">
        <v>575</v>
      </c>
    </row>
    <row r="34" spans="1:3">
      <c r="A34" s="1153" t="s">
        <v>544</v>
      </c>
    </row>
    <row r="37" spans="1:3">
      <c r="A37" s="1153" t="s">
        <v>576</v>
      </c>
    </row>
    <row r="38" spans="1:3" ht="13.5">
      <c r="A38" s="1154" t="s">
        <v>545</v>
      </c>
    </row>
    <row r="39" spans="1:3" ht="13.5">
      <c r="A39" s="1154" t="s">
        <v>546</v>
      </c>
    </row>
    <row r="40" spans="1:3" ht="13.5">
      <c r="A40" s="1154" t="s">
        <v>547</v>
      </c>
    </row>
    <row r="41" spans="1:3" ht="13.5">
      <c r="A41" s="1155" t="s">
        <v>548</v>
      </c>
    </row>
    <row r="42" spans="1:3" ht="13.5">
      <c r="A42" s="1154"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1973</v>
      </c>
      <c r="B2" s="1891">
        <f ca="1">TODAY()</f>
        <v>43042</v>
      </c>
      <c r="C2" s="1892" t="s">
        <v>1974</v>
      </c>
      <c r="D2" s="1892"/>
    </row>
    <row r="3" spans="1:6" ht="24" customHeight="1">
      <c r="A3" s="1893" t="s">
        <v>1975</v>
      </c>
      <c r="B3" s="1894" t="s">
        <v>1976</v>
      </c>
      <c r="C3" s="1894" t="s">
        <v>1977</v>
      </c>
      <c r="D3" s="1895" t="s">
        <v>1978</v>
      </c>
      <c r="E3" s="1896" t="s">
        <v>1979</v>
      </c>
      <c r="F3" s="1894" t="s">
        <v>1977</v>
      </c>
    </row>
    <row r="4" spans="1:6" ht="24" customHeight="1">
      <c r="A4" s="3209" t="s">
        <v>1980</v>
      </c>
      <c r="B4" s="1896">
        <f ca="1">IF(C4&lt;B2,"已过期",1119970066)</f>
        <v>1119970066</v>
      </c>
      <c r="C4" s="3210">
        <v>43849</v>
      </c>
      <c r="D4" s="3209" t="s">
        <v>1980</v>
      </c>
      <c r="E4" s="1896">
        <f ca="1">IF(F4&lt;B2,"已过期",96010014)</f>
        <v>96010014</v>
      </c>
      <c r="F4" s="1905">
        <v>47118</v>
      </c>
    </row>
    <row r="5" spans="1:6" ht="24" customHeight="1">
      <c r="A5" s="3209" t="s">
        <v>1981</v>
      </c>
      <c r="B5" s="1896">
        <f ca="1">IF(C5&lt;B2,"已过期",1119970074)</f>
        <v>1119970074</v>
      </c>
      <c r="C5" s="3210">
        <v>43849</v>
      </c>
      <c r="D5" s="3209" t="s">
        <v>1981</v>
      </c>
      <c r="E5" s="1896">
        <f ca="1">IF(F5&lt;B2,"已过期",2002110027)</f>
        <v>2002110027</v>
      </c>
      <c r="F5" s="1905">
        <v>46752</v>
      </c>
    </row>
    <row r="6" spans="1:6" ht="24" customHeight="1">
      <c r="A6" s="3209" t="s">
        <v>1982</v>
      </c>
      <c r="B6" s="1896">
        <f ca="1">IF(C6&lt;B2,"已过期",1119970111)</f>
        <v>1119970111</v>
      </c>
      <c r="C6" s="3210">
        <v>43849</v>
      </c>
      <c r="D6" s="3209" t="s">
        <v>1982</v>
      </c>
      <c r="E6" s="1896">
        <f ca="1">IF(F6&lt;B2,"已过期",94010078)</f>
        <v>94010078</v>
      </c>
      <c r="F6" s="1905">
        <v>46387</v>
      </c>
    </row>
    <row r="7" spans="1:6" ht="24" customHeight="1">
      <c r="A7" s="3209" t="s">
        <v>1983</v>
      </c>
      <c r="B7" s="1896">
        <f ca="1">IF(C7&lt;B2,"已过期",1120050019)</f>
        <v>1120050019</v>
      </c>
      <c r="C7" s="3210">
        <v>43359</v>
      </c>
      <c r="D7" s="3209" t="s">
        <v>1983</v>
      </c>
      <c r="E7" s="1896">
        <f ca="1">IF(F7&lt;B2,"已过期",2002110030)</f>
        <v>2002110030</v>
      </c>
      <c r="F7" s="1905">
        <v>46387</v>
      </c>
    </row>
    <row r="8" spans="1:6" ht="24" customHeight="1">
      <c r="A8" s="3209" t="s">
        <v>1984</v>
      </c>
      <c r="B8" s="1896">
        <f ca="1">IF(C8&lt;B2,"已过期",1120000080)</f>
        <v>1120000080</v>
      </c>
      <c r="C8" s="3210">
        <v>43849</v>
      </c>
      <c r="D8" s="3209" t="s">
        <v>1984</v>
      </c>
      <c r="E8" s="1896">
        <f ca="1">IF(F8&lt;B2,"已过期",2000110082)</f>
        <v>2000110082</v>
      </c>
      <c r="F8" s="1905">
        <v>46387</v>
      </c>
    </row>
    <row r="9" spans="1:6" ht="24" customHeight="1">
      <c r="A9" s="3209" t="s">
        <v>1985</v>
      </c>
      <c r="B9" s="1896">
        <f ca="1">IF(C9&lt;B2,"已过期",1419970001)</f>
        <v>1419970001</v>
      </c>
      <c r="C9" s="3210">
        <v>43867</v>
      </c>
      <c r="D9" s="3209" t="s">
        <v>1985</v>
      </c>
      <c r="E9" s="1896">
        <f ca="1">IF(F9&lt;B2,"已过期",2002110125)</f>
        <v>2002110125</v>
      </c>
      <c r="F9" s="1905">
        <v>47118</v>
      </c>
    </row>
    <row r="10" spans="1:6" ht="24" customHeight="1">
      <c r="A10" s="3209" t="s">
        <v>1986</v>
      </c>
      <c r="B10" s="1896">
        <f ca="1">IF(C10&lt;B2,"已过期",1120060040)</f>
        <v>1120060040</v>
      </c>
      <c r="C10" s="3210">
        <v>43483</v>
      </c>
      <c r="D10" s="3209" t="s">
        <v>1986</v>
      </c>
      <c r="E10" s="1896">
        <f ca="1">IF(F10&lt;B2,"已过期",2004110096)</f>
        <v>2004110096</v>
      </c>
      <c r="F10" s="1905">
        <v>47118</v>
      </c>
    </row>
    <row r="11" spans="1:6" ht="24" customHeight="1">
      <c r="A11" s="3209" t="s">
        <v>1987</v>
      </c>
      <c r="B11" s="1896">
        <f ca="1">IF(C11&lt;B2,"已过期",1120100036)</f>
        <v>1120100036</v>
      </c>
      <c r="C11" s="3210">
        <v>43622</v>
      </c>
      <c r="D11" s="3209" t="s">
        <v>1987</v>
      </c>
      <c r="E11" s="1896">
        <f ca="1">IF(F11&lt;B2,"已过期",2010110070)</f>
        <v>2010110070</v>
      </c>
      <c r="F11" s="1905">
        <v>47907</v>
      </c>
    </row>
    <row r="12" spans="1:6" ht="24" customHeight="1">
      <c r="A12" s="3209"/>
      <c r="B12" s="1896"/>
      <c r="C12" s="3210"/>
      <c r="D12" s="3209"/>
      <c r="E12" s="1896"/>
      <c r="F12" s="1896"/>
    </row>
    <row r="13" spans="1:6" ht="24" customHeight="1">
      <c r="A13" s="3209" t="s">
        <v>1988</v>
      </c>
      <c r="B13" s="1896">
        <f ca="1">IF(C13&lt;B2,"已过期",1120070131)</f>
        <v>1120070131</v>
      </c>
      <c r="C13" s="3210">
        <v>43814</v>
      </c>
      <c r="D13" s="3209" t="s">
        <v>1988</v>
      </c>
      <c r="E13" s="1896">
        <v>2014110011</v>
      </c>
      <c r="F13" s="1905">
        <v>49302</v>
      </c>
    </row>
    <row r="14" spans="1:6" ht="24" customHeight="1">
      <c r="A14" s="3209" t="s">
        <v>1989</v>
      </c>
      <c r="B14" s="1896">
        <f ca="1">IF(C14&lt;B2,"已过期",1120130020)</f>
        <v>1120130020</v>
      </c>
      <c r="C14" s="3210">
        <v>43622</v>
      </c>
      <c r="D14" s="3209"/>
      <c r="E14" s="1896"/>
      <c r="F14" s="1896"/>
    </row>
    <row r="15" spans="1:6" ht="24" customHeight="1">
      <c r="A15" s="3211" t="s">
        <v>2709</v>
      </c>
      <c r="B15" s="1896">
        <v>1120070085</v>
      </c>
      <c r="C15" s="3210">
        <v>43814</v>
      </c>
      <c r="D15" s="3211" t="s">
        <v>2709</v>
      </c>
      <c r="E15" s="1896">
        <v>2004110128</v>
      </c>
      <c r="F15" s="1897">
        <v>47118</v>
      </c>
    </row>
    <row r="16" spans="1:6" ht="24" customHeight="1">
      <c r="A16" s="3209" t="s">
        <v>1990</v>
      </c>
      <c r="B16" s="1896" t="str">
        <f ca="1">IF(C16&lt;B2,"已过期",1120140022)</f>
        <v>已过期</v>
      </c>
      <c r="C16" s="3210">
        <v>42987</v>
      </c>
      <c r="D16" s="3209" t="s">
        <v>1990</v>
      </c>
      <c r="E16" s="1896">
        <f ca="1">IF(F16&lt;B2,"已过期",2008110059)</f>
        <v>2008110059</v>
      </c>
      <c r="F16" s="1905">
        <v>47177</v>
      </c>
    </row>
    <row r="17" spans="1:7" ht="24" customHeight="1">
      <c r="A17" s="3209" t="s">
        <v>1991</v>
      </c>
      <c r="B17" s="1896" t="str">
        <f ca="1">IF(C17&lt;B2,"已过期",1120140020)</f>
        <v>已过期</v>
      </c>
      <c r="C17" s="3210">
        <v>42987</v>
      </c>
      <c r="D17" s="3209"/>
      <c r="E17" s="1896"/>
      <c r="F17" s="1905"/>
    </row>
    <row r="18" spans="1:7" ht="24" customHeight="1">
      <c r="A18" s="3209" t="s">
        <v>1992</v>
      </c>
      <c r="B18" s="1896" t="str">
        <f ca="1">IF(C18&lt;B2,"已过期",1120140024)</f>
        <v>已过期</v>
      </c>
      <c r="C18" s="3210">
        <v>42987</v>
      </c>
      <c r="D18" s="3209" t="s">
        <v>1992</v>
      </c>
      <c r="E18" s="1896">
        <f ca="1">IF(F18&lt;B2,"已过期",2011110048)</f>
        <v>2011110048</v>
      </c>
      <c r="F18" s="1905">
        <v>48302</v>
      </c>
    </row>
    <row r="19" spans="1:7" ht="24" customHeight="1">
      <c r="A19" s="3209" t="s">
        <v>1993</v>
      </c>
      <c r="B19" s="1896" t="str">
        <f ca="1">IF(C19&lt;B2,"已过期",1120140019)</f>
        <v>已过期</v>
      </c>
      <c r="C19" s="3210">
        <v>42987</v>
      </c>
      <c r="D19" s="3209"/>
      <c r="E19" s="1896"/>
      <c r="F19" s="1896"/>
    </row>
    <row r="20" spans="1:7" ht="24" customHeight="1">
      <c r="A20" s="3209" t="s">
        <v>1994</v>
      </c>
      <c r="B20" s="1896" t="str">
        <f ca="1">IF(C20&lt;B2,"已过期",1120140023)</f>
        <v>已过期</v>
      </c>
      <c r="C20" s="3210">
        <v>42987</v>
      </c>
      <c r="D20" s="3209"/>
      <c r="E20" s="1896"/>
      <c r="F20" s="1896"/>
    </row>
    <row r="21" spans="1:7" ht="24" customHeight="1">
      <c r="A21" s="3209"/>
      <c r="B21" s="1896"/>
      <c r="C21" s="3210"/>
      <c r="D21" s="3209" t="s">
        <v>1995</v>
      </c>
      <c r="E21" s="1896">
        <f ca="1">IF(F21&lt;B2,"已过期",2011110090)</f>
        <v>2011110090</v>
      </c>
      <c r="F21" s="1905">
        <v>48302</v>
      </c>
    </row>
    <row r="22" spans="1:7" ht="24" customHeight="1">
      <c r="A22" s="3209" t="s">
        <v>1996</v>
      </c>
      <c r="B22" s="1896">
        <f ca="1">IF(C22&lt;B2,"已过期",1120020033)</f>
        <v>1120020033</v>
      </c>
      <c r="C22" s="3210">
        <v>43304</v>
      </c>
      <c r="D22" s="3209" t="s">
        <v>1996</v>
      </c>
      <c r="E22" s="1896">
        <f ca="1">IF(F22&lt;B2,"已过期",2000110137)</f>
        <v>2000110137</v>
      </c>
      <c r="F22" s="1905">
        <v>46387</v>
      </c>
    </row>
    <row r="23" spans="1:7" ht="24" customHeight="1">
      <c r="A23" s="3209" t="s">
        <v>1997</v>
      </c>
      <c r="B23" s="1896">
        <f ca="1">IF(C23&lt;B2,"已过期",1120130048)</f>
        <v>1120130048</v>
      </c>
      <c r="C23" s="3210">
        <v>43686</v>
      </c>
      <c r="D23" s="3209"/>
      <c r="E23" s="1896"/>
      <c r="F23" s="1896"/>
    </row>
    <row r="24" spans="1:7" s="1898" customFormat="1" ht="24" customHeight="1">
      <c r="A24" s="3211" t="s">
        <v>2945</v>
      </c>
      <c r="B24" s="3211" t="s">
        <v>2945</v>
      </c>
      <c r="C24" s="3211" t="s">
        <v>2945</v>
      </c>
      <c r="D24" s="3211" t="s">
        <v>2945</v>
      </c>
      <c r="E24" s="3211" t="s">
        <v>2945</v>
      </c>
      <c r="F24" s="3211" t="s">
        <v>2945</v>
      </c>
    </row>
    <row r="25" spans="1:7" ht="24" customHeight="1">
      <c r="A25" s="3417" t="s">
        <v>1998</v>
      </c>
      <c r="B25" s="3417"/>
      <c r="C25" s="3417"/>
      <c r="D25" s="3417"/>
      <c r="E25" s="3417"/>
      <c r="F25" s="3417"/>
      <c r="G25" s="3417"/>
    </row>
    <row r="26" spans="1:7" s="1900" customFormat="1" ht="24" customHeight="1">
      <c r="A26" s="3418" t="s">
        <v>1999</v>
      </c>
      <c r="B26" s="3418"/>
      <c r="C26" s="3418"/>
      <c r="D26" s="1899"/>
      <c r="E26" s="3418" t="s">
        <v>2000</v>
      </c>
      <c r="F26" s="3418"/>
      <c r="G26" s="3418"/>
    </row>
    <row r="27" spans="1:7" s="1902" customFormat="1" ht="24" customHeight="1">
      <c r="A27" s="1901" t="s">
        <v>2001</v>
      </c>
      <c r="B27" s="1894" t="s">
        <v>2002</v>
      </c>
      <c r="C27" s="1894" t="s">
        <v>2003</v>
      </c>
      <c r="D27" s="1894"/>
      <c r="E27" s="1896" t="s">
        <v>2001</v>
      </c>
      <c r="F27" s="1894" t="s">
        <v>2002</v>
      </c>
      <c r="G27" s="1894" t="s">
        <v>2003</v>
      </c>
    </row>
    <row r="28" spans="1:7" s="1902" customFormat="1" ht="24" customHeight="1">
      <c r="A28" s="1903" t="s">
        <v>2004</v>
      </c>
      <c r="B28" s="1904" t="s">
        <v>2005</v>
      </c>
      <c r="C28" s="1905">
        <v>43725</v>
      </c>
      <c r="D28" s="1905"/>
      <c r="E28" s="1903" t="s">
        <v>2006</v>
      </c>
      <c r="F28" s="1903" t="s">
        <v>2007</v>
      </c>
      <c r="G28" s="2113">
        <v>44377</v>
      </c>
    </row>
    <row r="29" spans="1:7" s="1902" customFormat="1" ht="24" customHeight="1">
      <c r="A29" s="1903"/>
      <c r="B29" s="1903"/>
      <c r="C29" s="1906"/>
      <c r="D29" s="1906"/>
      <c r="E29" s="1903" t="s">
        <v>2008</v>
      </c>
      <c r="F29" s="2439" t="s">
        <v>3055</v>
      </c>
      <c r="G29" s="2440">
        <v>43281</v>
      </c>
    </row>
    <row r="30" spans="1:7" ht="24" customHeight="1">
      <c r="C30" s="1907"/>
      <c r="D30" s="1907"/>
    </row>
  </sheetData>
  <sheetProtection password="C66D" sheet="1" objects="1" scenarios="1"/>
  <mergeCells count="3">
    <mergeCell ref="A25:G25"/>
    <mergeCell ref="A26:C26"/>
    <mergeCell ref="E26:G26"/>
  </mergeCells>
  <phoneticPr fontId="116" type="noConversion"/>
  <conditionalFormatting sqref="C28:D28">
    <cfRule type="expression" dxfId="238" priority="55">
      <formula>AND($C28-TODAY()&lt;30,TODAY()&lt;$C28)</formula>
    </cfRule>
  </conditionalFormatting>
  <conditionalFormatting sqref="C28:D28 F4">
    <cfRule type="cellIs" dxfId="237" priority="57" stopIfTrue="1" operator="lessThan">
      <formula>$B$2</formula>
    </cfRule>
  </conditionalFormatting>
  <conditionalFormatting sqref="C5">
    <cfRule type="expression" dxfId="236" priority="52">
      <formula>AND($C5-TODAY()&lt;30,TODAY()&lt;$C5)</formula>
    </cfRule>
  </conditionalFormatting>
  <conditionalFormatting sqref="C5 F5">
    <cfRule type="cellIs" dxfId="235" priority="53" stopIfTrue="1" operator="lessThan">
      <formula>$B$2</formula>
    </cfRule>
  </conditionalFormatting>
  <conditionalFormatting sqref="F6 F8 F10">
    <cfRule type="cellIs" dxfId="234" priority="51" stopIfTrue="1" operator="lessThan">
      <formula>$B$2</formula>
    </cfRule>
  </conditionalFormatting>
  <conditionalFormatting sqref="C4:C23">
    <cfRule type="expression" dxfId="233" priority="49">
      <formula>AND($C4-TODAY()&lt;30,TODAY()&lt;$C4)</formula>
    </cfRule>
  </conditionalFormatting>
  <conditionalFormatting sqref="F7 F9 F11 C4:C23">
    <cfRule type="cellIs" dxfId="232" priority="50" stopIfTrue="1" operator="lessThan">
      <formula>$B$2</formula>
    </cfRule>
  </conditionalFormatting>
  <conditionalFormatting sqref="C12">
    <cfRule type="expression" dxfId="231" priority="47">
      <formula>AND($C12-TODAY()&lt;30,TODAY()&lt;$C12)</formula>
    </cfRule>
  </conditionalFormatting>
  <conditionalFormatting sqref="C12">
    <cfRule type="cellIs" dxfId="230" priority="48" stopIfTrue="1" operator="lessThan">
      <formula>$B$2</formula>
    </cfRule>
  </conditionalFormatting>
  <conditionalFormatting sqref="C14">
    <cfRule type="expression" dxfId="229" priority="43">
      <formula>AND($C14-TODAY()&lt;30,TODAY()&lt;$C14)</formula>
    </cfRule>
  </conditionalFormatting>
  <conditionalFormatting sqref="C14">
    <cfRule type="cellIs" dxfId="228" priority="44" stopIfTrue="1" operator="lessThan">
      <formula>$B$2</formula>
    </cfRule>
  </conditionalFormatting>
  <conditionalFormatting sqref="C16">
    <cfRule type="expression" dxfId="227" priority="41">
      <formula>AND($C16-TODAY()&lt;30,TODAY()&lt;$C16)</formula>
    </cfRule>
  </conditionalFormatting>
  <conditionalFormatting sqref="C16">
    <cfRule type="cellIs" dxfId="226" priority="42" stopIfTrue="1" operator="lessThan">
      <formula>$B$2</formula>
    </cfRule>
  </conditionalFormatting>
  <conditionalFormatting sqref="C18">
    <cfRule type="expression" dxfId="225" priority="39">
      <formula>AND($C18-TODAY()&lt;30,TODAY()&lt;$C18)</formula>
    </cfRule>
  </conditionalFormatting>
  <conditionalFormatting sqref="C18">
    <cfRule type="cellIs" dxfId="224" priority="40" stopIfTrue="1" operator="lessThan">
      <formula>$B$2</formula>
    </cfRule>
  </conditionalFormatting>
  <conditionalFormatting sqref="C20">
    <cfRule type="expression" dxfId="223" priority="37">
      <formula>AND($C20-TODAY()&lt;30,TODAY()&lt;$C20)</formula>
    </cfRule>
  </conditionalFormatting>
  <conditionalFormatting sqref="C20">
    <cfRule type="cellIs" dxfId="222" priority="38" stopIfTrue="1" operator="lessThan">
      <formula>$B$2</formula>
    </cfRule>
  </conditionalFormatting>
  <conditionalFormatting sqref="C22">
    <cfRule type="expression" dxfId="221" priority="35">
      <formula>AND($C22-TODAY()&lt;30,TODAY()&lt;$C22)</formula>
    </cfRule>
  </conditionalFormatting>
  <conditionalFormatting sqref="C22">
    <cfRule type="cellIs" dxfId="220" priority="36" stopIfTrue="1" operator="lessThan">
      <formula>$B$2</formula>
    </cfRule>
  </conditionalFormatting>
  <conditionalFormatting sqref="C15">
    <cfRule type="expression" dxfId="219" priority="33">
      <formula>AND($C15-TODAY()&lt;30,TODAY()&lt;$C15)</formula>
    </cfRule>
  </conditionalFormatting>
  <conditionalFormatting sqref="C15">
    <cfRule type="cellIs" dxfId="218" priority="34" stopIfTrue="1" operator="lessThan">
      <formula>$B$2</formula>
    </cfRule>
  </conditionalFormatting>
  <conditionalFormatting sqref="C17">
    <cfRule type="expression" dxfId="217" priority="31">
      <formula>AND($C17-TODAY()&lt;30,TODAY()&lt;$C17)</formula>
    </cfRule>
  </conditionalFormatting>
  <conditionalFormatting sqref="C17">
    <cfRule type="cellIs" dxfId="216" priority="32" stopIfTrue="1" operator="lessThan">
      <formula>$B$2</formula>
    </cfRule>
  </conditionalFormatting>
  <conditionalFormatting sqref="C19">
    <cfRule type="expression" dxfId="215" priority="29">
      <formula>AND($C19-TODAY()&lt;30,TODAY()&lt;$C19)</formula>
    </cfRule>
  </conditionalFormatting>
  <conditionalFormatting sqref="C19">
    <cfRule type="cellIs" dxfId="214" priority="30" stopIfTrue="1" operator="lessThan">
      <formula>$B$2</formula>
    </cfRule>
  </conditionalFormatting>
  <conditionalFormatting sqref="C21">
    <cfRule type="expression" dxfId="213" priority="27">
      <formula>AND($C21-TODAY()&lt;30,TODAY()&lt;$C21)</formula>
    </cfRule>
  </conditionalFormatting>
  <conditionalFormatting sqref="C21">
    <cfRule type="cellIs" dxfId="212" priority="28" stopIfTrue="1" operator="lessThan">
      <formula>$B$2</formula>
    </cfRule>
  </conditionalFormatting>
  <conditionalFormatting sqref="C23">
    <cfRule type="expression" dxfId="211" priority="25">
      <formula>AND($C23-TODAY()&lt;30,TODAY()&lt;$C23)</formula>
    </cfRule>
  </conditionalFormatting>
  <conditionalFormatting sqref="C23">
    <cfRule type="cellIs" dxfId="210" priority="26" stopIfTrue="1" operator="lessThan">
      <formula>$B$2</formula>
    </cfRule>
  </conditionalFormatting>
  <conditionalFormatting sqref="F16">
    <cfRule type="cellIs" dxfId="209" priority="23" stopIfTrue="1" operator="lessThan">
      <formula>$B$2</formula>
    </cfRule>
  </conditionalFormatting>
  <conditionalFormatting sqref="F18">
    <cfRule type="cellIs" dxfId="208" priority="22" stopIfTrue="1" operator="lessThan">
      <formula>$B$2</formula>
    </cfRule>
  </conditionalFormatting>
  <conditionalFormatting sqref="F22">
    <cfRule type="cellIs" dxfId="207" priority="21" stopIfTrue="1" operator="lessThan">
      <formula>$B$2</formula>
    </cfRule>
  </conditionalFormatting>
  <conditionalFormatting sqref="F21">
    <cfRule type="cellIs" dxfId="206" priority="20" stopIfTrue="1" operator="lessThan">
      <formula>$B$2</formula>
    </cfRule>
  </conditionalFormatting>
  <conditionalFormatting sqref="F17">
    <cfRule type="cellIs" dxfId="205" priority="19" stopIfTrue="1" operator="lessThan">
      <formula>$B$2</formula>
    </cfRule>
  </conditionalFormatting>
  <conditionalFormatting sqref="B4:B14 E4:E14 B16:B23 E16:E23">
    <cfRule type="cellIs" dxfId="204" priority="18" stopIfTrue="1" operator="equal">
      <formula>"已过期"</formula>
    </cfRule>
  </conditionalFormatting>
  <conditionalFormatting sqref="A24:F24">
    <cfRule type="cellIs" dxfId="203" priority="14" stopIfTrue="1" operator="equal">
      <formula>"已过期"</formula>
    </cfRule>
  </conditionalFormatting>
  <conditionalFormatting sqref="G28">
    <cfRule type="expression" dxfId="202" priority="12">
      <formula>AND($F28-TODAY()&lt;30,TODAY()&lt;$F28)</formula>
    </cfRule>
  </conditionalFormatting>
  <conditionalFormatting sqref="G28">
    <cfRule type="cellIs" dxfId="201" priority="13" stopIfTrue="1" operator="lessThan">
      <formula>$B$2</formula>
    </cfRule>
  </conditionalFormatting>
  <conditionalFormatting sqref="G29">
    <cfRule type="expression" dxfId="200" priority="8" stopIfTrue="1">
      <formula>AND($F29-TODAY()&lt;30,TODAY()&lt;$F29)</formula>
    </cfRule>
  </conditionalFormatting>
  <conditionalFormatting sqref="G29">
    <cfRule type="cellIs" dxfId="199" priority="9" stopIfTrue="1" operator="lessThan">
      <formula>$B$2</formula>
    </cfRule>
  </conditionalFormatting>
  <conditionalFormatting sqref="B15">
    <cfRule type="cellIs" dxfId="198" priority="6" stopIfTrue="1" operator="equal">
      <formula>"已过期"</formula>
    </cfRule>
  </conditionalFormatting>
  <conditionalFormatting sqref="A15">
    <cfRule type="cellIs" dxfId="197" priority="5" stopIfTrue="1" operator="equal">
      <formula>"已过期"</formula>
    </cfRule>
  </conditionalFormatting>
  <conditionalFormatting sqref="C15">
    <cfRule type="expression" dxfId="196" priority="4">
      <formula>AND($C15-TODAY()&lt;30,TODAY()&lt;$C15)</formula>
    </cfRule>
  </conditionalFormatting>
  <conditionalFormatting sqref="E15">
    <cfRule type="cellIs" dxfId="195" priority="3" stopIfTrue="1" operator="equal">
      <formula>"已过期"</formula>
    </cfRule>
  </conditionalFormatting>
  <conditionalFormatting sqref="D15">
    <cfRule type="cellIs" dxfId="194" priority="2" stopIfTrue="1" operator="equal">
      <formula>"已过期"</formula>
    </cfRule>
  </conditionalFormatting>
  <conditionalFormatting sqref="F13">
    <cfRule type="cellIs" dxfId="193"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164</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假设开发法</vt:lpstr>
      <vt:lpstr>结果表商业</vt:lpstr>
      <vt:lpstr>比较法-商业</vt:lpstr>
      <vt:lpstr>收益法 (元)</vt:lpstr>
      <vt:lpstr>收益法商业</vt:lpstr>
      <vt:lpstr>比较法-商业 (租金)</vt:lpstr>
      <vt:lpstr>比较法-商业租金</vt:lpstr>
      <vt:lpstr>典型户型修正</vt:lpstr>
      <vt:lpstr>结果表仓储</vt:lpstr>
      <vt:lpstr>收益法仓储</vt:lpstr>
      <vt:lpstr>收益法（汇总）</vt:lpstr>
      <vt:lpstr>酒店收入计算</vt:lpstr>
      <vt:lpstr>比较法-住宅</vt:lpstr>
      <vt:lpstr>比较法-办公</vt:lpstr>
      <vt:lpstr>比较法-工业</vt:lpstr>
      <vt:lpstr>比较法-车位</vt:lpstr>
      <vt:lpstr>土地比较法-工业</vt:lpstr>
      <vt:lpstr>修正</vt:lpstr>
      <vt:lpstr>容积率修正</vt:lpstr>
      <vt:lpstr>比较法-仓储</vt:lpstr>
      <vt:lpstr>成本法</vt:lpstr>
      <vt:lpstr>成本法 (元)</vt:lpstr>
      <vt:lpstr>基准地价修正</vt:lpstr>
      <vt:lpstr>地价</vt:lpstr>
      <vt:lpstr>土地比较法-住宅、综合</vt:lpstr>
      <vt:lpstr>成本法（废）</vt:lpstr>
      <vt:lpstr>区片价</vt:lpstr>
      <vt:lpstr>因素修正幅度</vt:lpstr>
      <vt:lpstr>存贷款利率</vt:lpstr>
      <vt:lpstr>区片价（范围）</vt:lpstr>
      <vt:lpstr>Sheet1</vt:lpstr>
      <vt:lpstr>估价师及机构信息!Print_Area</vt:lpstr>
      <vt:lpstr>'收益法 (元)'!Print_Area</vt:lpstr>
      <vt:lpstr>收益法仓储!Print_Area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'比较法-商业租金'!商业层高</vt:lpstr>
      <vt:lpstr>商业层高</vt:lpstr>
      <vt:lpstr>'比较法-商业 (租金)'!商业成新度</vt:lpstr>
      <vt:lpstr>'比较法-商业租金'!商业成新度</vt:lpstr>
      <vt:lpstr>商业成新度</vt:lpstr>
      <vt:lpstr>商业繁华度</vt:lpstr>
      <vt:lpstr>'比较法-商业 (租金)'!商业公共部分装修</vt:lpstr>
      <vt:lpstr>'比较法-商业租金'!商业公共部分装修</vt:lpstr>
      <vt:lpstr>商业公共部分装修</vt:lpstr>
      <vt:lpstr>'比较法-商业 (租金)'!商业基础设施水平</vt:lpstr>
      <vt:lpstr>'比较法-商业租金'!商业基础设施水平</vt:lpstr>
      <vt:lpstr>商业基础设施水平</vt:lpstr>
      <vt:lpstr>'比较法-商业 (租金)'!商业建筑结构</vt:lpstr>
      <vt:lpstr>'比较法-商业租金'!商业建筑结构</vt:lpstr>
      <vt:lpstr>商业建筑结构</vt:lpstr>
      <vt:lpstr>'比较法-商业 (租金)'!商业交易情况</vt:lpstr>
      <vt:lpstr>'比较法-商业租金'!商业交易情况</vt:lpstr>
      <vt:lpstr>商业交易情况</vt:lpstr>
      <vt:lpstr>商业街名称</vt:lpstr>
      <vt:lpstr>'比较法-商业 (租金)'!商业进深比</vt:lpstr>
      <vt:lpstr>'比较法-商业租金'!商业进深比</vt:lpstr>
      <vt:lpstr>商业进深比</vt:lpstr>
      <vt:lpstr>'比较法-商业 (租金)'!商业类型</vt:lpstr>
      <vt:lpstr>'比较法-商业租金'!商业类型</vt:lpstr>
      <vt:lpstr>商业类型</vt:lpstr>
      <vt:lpstr>'比较法-商业 (租金)'!商业临街状况</vt:lpstr>
      <vt:lpstr>'比较法-商业租金'!商业临街状况</vt:lpstr>
      <vt:lpstr>商业临街状况</vt:lpstr>
      <vt:lpstr>'比较法-商业 (租金)'!商业楼层</vt:lpstr>
      <vt:lpstr>'比较法-商业租金'!商业楼层</vt:lpstr>
      <vt:lpstr>商业楼层</vt:lpstr>
      <vt:lpstr>'比较法-商业 (租金)'!商业内部装修</vt:lpstr>
      <vt:lpstr>'比较法-商业租金'!商业内部装修</vt:lpstr>
      <vt:lpstr>商业内部装修</vt:lpstr>
      <vt:lpstr>'比较法-商业 (租金)'!商业人流量</vt:lpstr>
      <vt:lpstr>'比较法-商业租金'!商业人流量</vt:lpstr>
      <vt:lpstr>商业人流量</vt:lpstr>
      <vt:lpstr>'比较法-商业 (租金)'!商业业态</vt:lpstr>
      <vt:lpstr>'比较法-商业租金'!商业业态</vt:lpstr>
      <vt:lpstr>商业业态</vt:lpstr>
      <vt:lpstr>'比较法-商业 (租金)'!商业用途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2017-11-03T07:28:01Z</dcterms:modified>
</cp:coreProperties>
</file>