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6" i="1" l="1"/>
  <c r="N21" i="1"/>
  <c r="N6" i="1" s="1"/>
  <c r="G19" i="6"/>
  <c r="V22" i="1" s="1"/>
  <c r="X22" i="1" s="1"/>
  <c r="F19" i="6"/>
  <c r="V21" i="1" s="1"/>
  <c r="F13" i="4"/>
  <c r="I8" i="69" l="1"/>
  <c r="X21" i="1"/>
  <c r="X23" i="1" s="1"/>
  <c r="V23" i="1"/>
  <c r="I7" i="69"/>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W23" i="1" l="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R10" i="79"/>
  <c r="T10" i="79"/>
  <c r="W10" i="79" s="1"/>
  <c r="V10" i="79"/>
  <c r="S11" i="79"/>
  <c r="U11" i="79"/>
  <c r="R12" i="79"/>
  <c r="T12" i="79"/>
  <c r="W12" i="79" s="1"/>
  <c r="V12" i="79"/>
  <c r="R13" i="79"/>
  <c r="V13" i="79"/>
  <c r="S14" i="79"/>
  <c r="U14" i="79"/>
  <c r="AC3"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X32" i="71" s="1"/>
  <c r="Q34" i="71"/>
  <c r="P34" i="71"/>
  <c r="O34" i="71"/>
  <c r="Y34" i="71"/>
  <c r="Z34" i="71" s="1"/>
  <c r="N34" i="71"/>
  <c r="Q33" i="71"/>
  <c r="F34" i="71" s="1"/>
  <c r="F35" i="71" s="1"/>
  <c r="F36" i="71" s="1"/>
  <c r="V36" i="71" s="1"/>
  <c r="P33" i="71"/>
  <c r="O33" i="71"/>
  <c r="C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N29" i="71"/>
  <c r="D29" i="71"/>
  <c r="O28" i="71"/>
  <c r="N28" i="71"/>
  <c r="B30" i="71"/>
  <c r="B31" i="71" s="1"/>
  <c r="X29" i="71"/>
  <c r="B34" i="71"/>
  <c r="B35" i="71" s="1"/>
  <c r="X33" i="71"/>
  <c r="B38" i="71"/>
  <c r="B39" i="71"/>
  <c r="B40" i="71" s="1"/>
  <c r="S40" i="71" s="1"/>
  <c r="E38" i="71"/>
  <c r="E39" i="71" s="1"/>
  <c r="E40" i="71" s="1"/>
  <c r="U40" i="71" s="1"/>
  <c r="N68" i="71"/>
  <c r="E34" i="71"/>
  <c r="AA33" i="71"/>
  <c r="Y29" i="71"/>
  <c r="Z29" i="71" s="1"/>
  <c r="AA30" i="71"/>
  <c r="AA31" i="71"/>
  <c r="AA32" i="71"/>
  <c r="X34" i="71"/>
  <c r="AA34" i="71"/>
  <c r="X35" i="71"/>
  <c r="AA35" i="71"/>
  <c r="X36" i="71"/>
  <c r="AA36" i="71"/>
  <c r="C38" i="71"/>
  <c r="D38" i="71" s="1"/>
  <c r="Y37" i="71"/>
  <c r="Z37" i="71"/>
  <c r="AB37" i="71"/>
  <c r="X38" i="71"/>
  <c r="AA38" i="71"/>
  <c r="C28" i="71"/>
  <c r="C27" i="71" s="1"/>
  <c r="C26" i="71" s="1"/>
  <c r="D26" i="71" s="1"/>
  <c r="Y25" i="71"/>
  <c r="Z25" i="71" s="1"/>
  <c r="Y26" i="71"/>
  <c r="Z26" i="71" s="1"/>
  <c r="Y27" i="71"/>
  <c r="Z27" i="71" s="1"/>
  <c r="Y28" i="71"/>
  <c r="Z28" i="71" s="1"/>
  <c r="B28" i="71"/>
  <c r="B27" i="71" s="1"/>
  <c r="B26" i="71"/>
  <c r="X25" i="71"/>
  <c r="X26" i="71"/>
  <c r="X27" i="71"/>
  <c r="X28" i="71"/>
  <c r="C39" i="71"/>
  <c r="C40" i="71" s="1"/>
  <c r="C47" i="71"/>
  <c r="D47" i="71" s="1"/>
  <c r="D46" i="71"/>
  <c r="P28" i="71"/>
  <c r="E55" i="71"/>
  <c r="E56" i="71" s="1"/>
  <c r="U56" i="71" s="1"/>
  <c r="E63" i="71"/>
  <c r="E64" i="71" s="1"/>
  <c r="U64" i="71" s="1"/>
  <c r="Q65" i="71"/>
  <c r="U68" i="71"/>
  <c r="E67" i="71"/>
  <c r="P67" i="71" s="1"/>
  <c r="Q28" i="71"/>
  <c r="D54" i="71"/>
  <c r="C63" i="71"/>
  <c r="D62" i="71"/>
  <c r="Q67" i="71"/>
  <c r="T68" i="71"/>
  <c r="O68" i="71"/>
  <c r="D68" i="71"/>
  <c r="C67" i="71"/>
  <c r="Q68" i="71"/>
  <c r="C71" i="71"/>
  <c r="E71" i="71"/>
  <c r="E70" i="71" s="1"/>
  <c r="D72" i="71"/>
  <c r="C75" i="71"/>
  <c r="D75" i="71" s="1"/>
  <c r="E75" i="71"/>
  <c r="E74" i="71" s="1"/>
  <c r="D76" i="71"/>
  <c r="C79" i="71"/>
  <c r="E79" i="71"/>
  <c r="E78" i="71" s="1"/>
  <c r="D80" i="71"/>
  <c r="C83" i="71"/>
  <c r="C82" i="71" s="1"/>
  <c r="D82" i="71" s="1"/>
  <c r="C87" i="71"/>
  <c r="C86" i="71" s="1"/>
  <c r="D86" i="71" s="1"/>
  <c r="T28" i="71"/>
  <c r="S28" i="71"/>
  <c r="F28" i="71"/>
  <c r="F27" i="71" s="1"/>
  <c r="F26" i="71" s="1"/>
  <c r="AB25" i="71"/>
  <c r="AB26" i="71"/>
  <c r="AB27" i="71"/>
  <c r="AB28" i="71"/>
  <c r="E28" i="71"/>
  <c r="E27" i="71" s="1"/>
  <c r="E26" i="71" s="1"/>
  <c r="AA3" i="71"/>
  <c r="AA25" i="71"/>
  <c r="AA26" i="71"/>
  <c r="AA27" i="71"/>
  <c r="AA28" i="71"/>
  <c r="D28" i="71"/>
  <c r="U28" i="71"/>
  <c r="C66" i="71"/>
  <c r="O67" i="71"/>
  <c r="D67" i="71"/>
  <c r="C64" i="71"/>
  <c r="D64" i="71" s="1"/>
  <c r="D63" i="71"/>
  <c r="D83" i="71"/>
  <c r="C74" i="71"/>
  <c r="D74" i="71" s="1"/>
  <c r="D87" i="71"/>
  <c r="D79" i="71"/>
  <c r="C78" i="71"/>
  <c r="D78" i="71" s="1"/>
  <c r="D71" i="71"/>
  <c r="C70" i="71"/>
  <c r="D70" i="71"/>
  <c r="E66" i="71"/>
  <c r="P65" i="71" s="1"/>
  <c r="V28"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AA21" i="33" s="1"/>
  <c r="E83" i="21"/>
  <c r="F83" i="21" s="1"/>
  <c r="G83" i="21" s="1"/>
  <c r="H1" i="69"/>
  <c r="W25" i="40"/>
  <c r="U25" i="40"/>
  <c r="U29" i="39"/>
  <c r="W29" i="39"/>
  <c r="W18" i="36"/>
  <c r="AB21" i="37"/>
  <c r="U21" i="37"/>
  <c r="S21" i="37"/>
  <c r="U21" i="34"/>
  <c r="AB21" i="33"/>
  <c r="S21" i="33"/>
  <c r="U18" i="35"/>
  <c r="AC18" i="35"/>
  <c r="W18" i="35"/>
  <c r="J21" i="37"/>
  <c r="W21" i="37" s="1"/>
  <c r="J21" i="34"/>
  <c r="W21" i="34" s="1"/>
  <c r="J21" i="33"/>
  <c r="W21" i="33" s="1"/>
  <c r="H21" i="21"/>
  <c r="U21" i="21" s="1"/>
  <c r="F38" i="69"/>
  <c r="E37" i="69"/>
  <c r="F36" i="69"/>
  <c r="F35" i="69"/>
  <c r="F21" i="69"/>
  <c r="F40" i="69" s="1"/>
  <c r="F20" i="69"/>
  <c r="F39" i="69" s="1"/>
  <c r="E10" i="69"/>
  <c r="E9" i="69"/>
  <c r="AC21" i="34"/>
  <c r="AC21" i="33"/>
  <c r="AB21"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s="1"/>
  <c r="F29" i="36"/>
  <c r="AA29" i="36" s="1"/>
  <c r="F16" i="36"/>
  <c r="AA16" i="36" s="1"/>
  <c r="U9" i="36"/>
  <c r="W28" i="36"/>
  <c r="U31" i="36"/>
  <c r="J33" i="36"/>
  <c r="AC33" i="36" s="1"/>
  <c r="H22" i="35"/>
  <c r="AB22" i="35" s="1"/>
  <c r="AC27" i="35"/>
  <c r="W28" i="35"/>
  <c r="U31" i="35"/>
  <c r="W36" i="35"/>
  <c r="W22" i="35"/>
  <c r="S31" i="35"/>
  <c r="U34" i="35"/>
  <c r="F36" i="34"/>
  <c r="J35" i="34"/>
  <c r="U34" i="34"/>
  <c r="H39" i="33"/>
  <c r="AB39" i="33" s="1"/>
  <c r="F26" i="33"/>
  <c r="AA26" i="33" s="1"/>
  <c r="U35" i="33"/>
  <c r="S40" i="33"/>
  <c r="W33"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S34" i="21"/>
  <c r="C25" i="39"/>
  <c r="C27"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G105" i="37"/>
  <c r="J10" i="36"/>
  <c r="AC10" i="36" s="1"/>
  <c r="AB26" i="33"/>
  <c r="AB30" i="21"/>
  <c r="AA14" i="37"/>
  <c r="AC13" i="36"/>
  <c r="S11" i="36"/>
  <c r="AB46" i="34"/>
  <c r="AC30" i="34"/>
  <c r="AA14" i="34"/>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H17" i="37"/>
  <c r="U17" i="37" s="1"/>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14" i="40"/>
  <c r="U35" i="35"/>
  <c r="AA12" i="35"/>
  <c r="W23" i="35"/>
  <c r="W14" i="37"/>
  <c r="AB28" i="37"/>
  <c r="U33" i="37"/>
  <c r="U39" i="37"/>
  <c r="W47" i="34"/>
  <c r="AB13" i="34"/>
  <c r="AC36" i="34"/>
  <c r="AA13" i="33"/>
  <c r="AC31" i="33"/>
  <c r="AC45"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AZ24" i="3"/>
  <c r="AZ28"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AZ128" i="3" s="1"/>
  <c r="G129" i="3"/>
  <c r="BA131" i="3"/>
  <c r="AZ131" i="3" s="1"/>
  <c r="BL132" i="3"/>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204" i="3" s="1"/>
  <c r="AZ39" i="3"/>
  <c r="AZ43" i="3"/>
  <c r="AZ47" i="3"/>
  <c r="AZ55" i="3"/>
  <c r="AZ63" i="3"/>
  <c r="AZ71" i="3"/>
  <c r="AZ79" i="3"/>
  <c r="AZ83" i="3"/>
  <c r="AZ136" i="3"/>
  <c r="AZ144" i="3"/>
  <c r="AZ176" i="3"/>
  <c r="AZ85" i="3"/>
  <c r="AZ93" i="3"/>
  <c r="AZ97" i="3"/>
  <c r="AZ101" i="3"/>
  <c r="AZ105"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4" i="3"/>
  <c r="AZ170" i="3"/>
  <c r="AZ186" i="3"/>
  <c r="AZ202" i="3"/>
  <c r="AZ206"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33" i="3"/>
  <c r="AZ237" i="3"/>
  <c r="AZ249" i="3"/>
  <c r="AZ253" i="3"/>
  <c r="AZ269" i="3"/>
  <c r="AZ273" i="3"/>
  <c r="BA379" i="3"/>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BQ5" i="3"/>
  <c r="AC5" i="3"/>
  <c r="AZ549" i="3"/>
  <c r="AZ506" i="3"/>
  <c r="AZ496" i="3"/>
  <c r="G548" i="3"/>
  <c r="G538" i="3"/>
  <c r="G520" i="3"/>
  <c r="G502" i="3"/>
  <c r="BS5" i="3"/>
  <c r="BP5" i="3"/>
  <c r="BN5" i="3"/>
  <c r="BK5" i="3"/>
  <c r="BI5" i="3"/>
  <c r="BG5" i="3"/>
  <c r="BE5" i="3"/>
  <c r="BC5" i="3"/>
  <c r="G17" i="3"/>
  <c r="BA17" i="3"/>
  <c r="BT5" i="3"/>
  <c r="AZ364" i="3"/>
  <c r="AZ368" i="3"/>
  <c r="BA15" i="3"/>
  <c r="BB5" i="3"/>
  <c r="BR5" i="3"/>
  <c r="AZ388" i="3"/>
  <c r="AZ396" i="3"/>
  <c r="AZ49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C40" i="11"/>
  <c r="AZ215" i="3"/>
  <c r="AZ227" i="3"/>
  <c r="AZ232" i="3"/>
  <c r="AZ235" i="3"/>
  <c r="AZ248" i="3"/>
  <c r="AZ251" i="3"/>
  <c r="AZ271" i="3"/>
  <c r="AZ280" i="3"/>
  <c r="AZ288" i="3"/>
  <c r="AZ114" i="3"/>
  <c r="AZ133" i="3"/>
  <c r="AZ29" i="3"/>
  <c r="AZ31" i="3"/>
  <c r="AZ33" i="3"/>
  <c r="AZ37" i="3"/>
  <c r="AZ45" i="3"/>
  <c r="AZ50" i="3"/>
  <c r="AZ53" i="3"/>
  <c r="AZ58" i="3"/>
  <c r="AZ61" i="3"/>
  <c r="AZ72"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W12" i="33"/>
  <c r="AC12" i="33"/>
  <c r="AA32" i="36"/>
  <c r="S32" i="36"/>
  <c r="AZ490" i="3"/>
  <c r="AA39" i="34"/>
  <c r="F28" i="6"/>
  <c r="BL14" i="3"/>
  <c r="U30" i="33"/>
  <c r="AC13" i="34"/>
  <c r="AA47" i="34"/>
  <c r="W28" i="37"/>
  <c r="S19" i="39"/>
  <c r="F12" i="33"/>
  <c r="H12" i="39"/>
  <c r="AB12" i="39" s="1"/>
  <c r="F39" i="40"/>
  <c r="BA14" i="3"/>
  <c r="AZ14" i="3"/>
  <c r="AZ213" i="3"/>
  <c r="AZ224" i="3"/>
  <c r="AZ234" i="3"/>
  <c r="AZ250" i="3"/>
  <c r="AZ286" i="3"/>
  <c r="AZ297" i="3"/>
  <c r="AZ149" i="3"/>
  <c r="AZ165" i="3"/>
  <c r="AZ181" i="3"/>
  <c r="AZ197" i="3"/>
  <c r="AZ26" i="3"/>
  <c r="AZ35" i="3"/>
  <c r="AZ41" i="3"/>
  <c r="B12" i="1"/>
  <c r="E12" i="1" s="1"/>
  <c r="B10" i="1"/>
  <c r="E10" i="1" s="1"/>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AA23" i="21"/>
  <c r="J23" i="21"/>
  <c r="W23" i="21" s="1"/>
  <c r="F85" i="21"/>
  <c r="G85" i="21"/>
  <c r="H23" i="21"/>
  <c r="S13" i="21"/>
  <c r="D6" i="52"/>
  <c r="AP7" i="1"/>
  <c r="AB45" i="21"/>
  <c r="U9" i="21"/>
  <c r="AA32" i="21"/>
  <c r="S32" i="21"/>
  <c r="W9" i="21"/>
  <c r="AC9" i="21"/>
  <c r="AB32" i="21"/>
  <c r="U32" i="21"/>
  <c r="U32" i="39"/>
  <c r="AC32" i="39"/>
  <c r="W19" i="37"/>
  <c r="W23" i="37"/>
  <c r="AC23" i="37"/>
  <c r="H63" i="37"/>
  <c r="I63" i="37" s="1"/>
  <c r="J63" i="37" s="1"/>
  <c r="K63" i="37" s="1"/>
  <c r="L63" i="37" s="1"/>
  <c r="M63" i="37" s="1"/>
  <c r="J11" i="37"/>
  <c r="AC11" i="37" s="1"/>
  <c r="J11" i="34"/>
  <c r="W11" i="34" s="1"/>
  <c r="AB36" i="33"/>
  <c r="W27" i="33"/>
  <c r="AC27" i="33"/>
  <c r="W25" i="33"/>
  <c r="AA23" i="33"/>
  <c r="S23" i="33"/>
  <c r="AB19" i="33"/>
  <c r="AA17" i="33"/>
  <c r="U17" i="33"/>
  <c r="AB17" i="33"/>
  <c r="U23" i="21"/>
  <c r="AB23" i="21"/>
  <c r="AC23" i="21"/>
  <c r="H109" i="9"/>
  <c r="M49" i="9" s="1"/>
  <c r="H112" i="9"/>
  <c r="D21" i="53" s="1"/>
  <c r="B39" i="72" s="1"/>
  <c r="H111" i="9"/>
  <c r="D126" i="9" s="1"/>
  <c r="AD3" i="71"/>
  <c r="J1" i="73"/>
  <c r="H69" i="43"/>
  <c r="G69" i="43" s="1"/>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9" i="67"/>
  <c r="E9" i="76"/>
  <c r="B10" i="76"/>
  <c r="F5" i="73"/>
  <c r="F43" i="15"/>
  <c r="F38" i="67"/>
  <c r="B11" i="76"/>
  <c r="F42" i="67"/>
  <c r="F26" i="15"/>
  <c r="F37" i="15"/>
  <c r="F13" i="67"/>
  <c r="M9" i="67"/>
  <c r="F38" i="15"/>
  <c r="B7" i="76"/>
  <c r="F6" i="15"/>
  <c r="M8" i="67"/>
  <c r="M26" i="67"/>
  <c r="M22" i="15"/>
  <c r="F6" i="73"/>
  <c r="J15" i="15"/>
  <c r="F20" i="31"/>
  <c r="F8" i="15"/>
  <c r="F40" i="67"/>
  <c r="E13" i="76"/>
  <c r="F4" i="73"/>
  <c r="E12" i="76"/>
  <c r="L48" i="67"/>
  <c r="F42" i="15"/>
  <c r="F7" i="73"/>
  <c r="F9" i="67"/>
  <c r="M8" i="15"/>
  <c r="E7" i="76"/>
  <c r="M6" i="15"/>
  <c r="F7" i="67"/>
  <c r="F37" i="67"/>
  <c r="M28" i="67"/>
  <c r="E2" i="69"/>
  <c r="E8" i="76"/>
  <c r="M9" i="15"/>
  <c r="B12" i="76"/>
  <c r="B9" i="76"/>
  <c r="F16" i="67"/>
  <c r="E11" i="76"/>
  <c r="F40" i="15"/>
  <c r="F6" i="67"/>
  <c r="M26" i="15"/>
  <c r="M6" i="67"/>
  <c r="C76" i="67"/>
  <c r="AO13" i="1"/>
  <c r="M29" i="15"/>
  <c r="M24" i="67"/>
  <c r="L47" i="15"/>
  <c r="F3" i="73"/>
  <c r="F13" i="15"/>
  <c r="F8" i="67"/>
  <c r="L47" i="67"/>
  <c r="M23" i="67"/>
  <c r="F7" i="15"/>
  <c r="D5" i="73"/>
  <c r="J15" i="67"/>
  <c r="M24" i="15"/>
  <c r="F16" i="15"/>
  <c r="D6" i="73"/>
  <c r="F43" i="67"/>
  <c r="E10" i="76"/>
  <c r="M22" i="67"/>
  <c r="M23" i="15"/>
  <c r="F26" i="67"/>
  <c r="F36" i="67"/>
  <c r="C76" i="15"/>
  <c r="F36" i="15"/>
  <c r="B13" i="76"/>
  <c r="E2" i="68"/>
  <c r="L48" i="15"/>
  <c r="B8" i="76"/>
  <c r="M28" i="15"/>
  <c r="F9" i="15"/>
  <c r="M69" i="43" l="1"/>
  <c r="N69" i="43" s="1"/>
  <c r="K69" i="43"/>
  <c r="J69" i="43" s="1"/>
  <c r="AB15" i="21"/>
  <c r="S37" i="21"/>
  <c r="AC15" i="21"/>
  <c r="M67" i="43"/>
  <c r="N67" i="43" s="1"/>
  <c r="K67" i="43"/>
  <c r="J67" i="43" s="1"/>
  <c r="AZ351" i="3"/>
  <c r="AZ380" i="3"/>
  <c r="S12" i="21"/>
  <c r="AA12" i="21"/>
  <c r="AC34" i="35"/>
  <c r="W34" i="35"/>
  <c r="AB14" i="37"/>
  <c r="U14" i="37"/>
  <c r="U27" i="37"/>
  <c r="AB27" i="37"/>
  <c r="AZ581" i="3"/>
  <c r="BL586" i="3"/>
  <c r="AZ586" i="3" s="1"/>
  <c r="BL585" i="3"/>
  <c r="AZ585" i="3" s="1"/>
  <c r="BL550" i="3"/>
  <c r="BA550" i="3"/>
  <c r="BL15" i="3"/>
  <c r="BL5" i="3" s="1"/>
  <c r="AZ402" i="3"/>
  <c r="AZ406" i="3"/>
  <c r="AZ419" i="3"/>
  <c r="AZ379" i="3"/>
  <c r="AZ345" i="3"/>
  <c r="AZ318" i="3"/>
  <c r="AZ372" i="3"/>
  <c r="AZ337" i="3"/>
  <c r="AZ320" i="3"/>
  <c r="AZ305" i="3"/>
  <c r="AZ376" i="3"/>
  <c r="AZ362" i="3"/>
  <c r="AZ360" i="3"/>
  <c r="AZ343" i="3"/>
  <c r="K64" i="43"/>
  <c r="J64" i="43" s="1"/>
  <c r="M64" i="43"/>
  <c r="N64" i="43" s="1"/>
  <c r="AZ511" i="3"/>
  <c r="AZ519" i="3"/>
  <c r="AZ569" i="3"/>
  <c r="AZ577" i="3"/>
  <c r="AZ495" i="3"/>
  <c r="AZ513" i="3"/>
  <c r="AZ517" i="3"/>
  <c r="AZ567" i="3"/>
  <c r="AZ571" i="3"/>
  <c r="AZ575" i="3"/>
  <c r="AZ579" i="3"/>
  <c r="AZ568" i="3"/>
  <c r="AZ576" i="3"/>
  <c r="AC28" i="21"/>
  <c r="W31" i="34"/>
  <c r="AA14" i="33"/>
  <c r="AA44" i="33"/>
  <c r="S28" i="34"/>
  <c r="U33" i="35"/>
  <c r="AC11" i="40"/>
  <c r="U34" i="21"/>
  <c r="W39" i="33"/>
  <c r="U33" i="33"/>
  <c r="W9" i="34"/>
  <c r="H12" i="21"/>
  <c r="B73" i="43"/>
  <c r="B79" i="43"/>
  <c r="B76" i="43"/>
  <c r="B75" i="43"/>
  <c r="F34" i="35"/>
  <c r="F9" i="36"/>
  <c r="H12" i="36"/>
  <c r="H24" i="36"/>
  <c r="G578" i="3"/>
  <c r="G562" i="3"/>
  <c r="BA551" i="3"/>
  <c r="AZ551" i="3" s="1"/>
  <c r="BL548" i="3"/>
  <c r="AZ548" i="3" s="1"/>
  <c r="G14" i="3"/>
  <c r="G5" i="3" s="1"/>
  <c r="B3" i="3" s="1"/>
  <c r="A15" i="62"/>
  <c r="B61" i="72"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BA430" i="3"/>
  <c r="AZ430" i="3" s="1"/>
  <c r="AZ435" i="3"/>
  <c r="AZ451" i="3"/>
  <c r="G463" i="3"/>
  <c r="G464" i="3"/>
  <c r="G465" i="3"/>
  <c r="BL465" i="3"/>
  <c r="AZ465" i="3" s="1"/>
  <c r="BA466" i="3"/>
  <c r="AZ466" i="3" s="1"/>
  <c r="G469" i="3"/>
  <c r="G471" i="3"/>
  <c r="BL471" i="3"/>
  <c r="BA472" i="3"/>
  <c r="AZ472" i="3" s="1"/>
  <c r="BA473" i="3"/>
  <c r="AZ473" i="3" s="1"/>
  <c r="G476" i="3"/>
  <c r="BL476" i="3"/>
  <c r="G478" i="3"/>
  <c r="BL478" i="3"/>
  <c r="BA479" i="3"/>
  <c r="AZ479" i="3" s="1"/>
  <c r="G484" i="3"/>
  <c r="BL484" i="3"/>
  <c r="AZ484" i="3" s="1"/>
  <c r="BA485" i="3"/>
  <c r="AZ485" i="3" s="1"/>
  <c r="G491" i="3"/>
  <c r="G492" i="3"/>
  <c r="G311" i="3"/>
  <c r="G315" i="3"/>
  <c r="BA317" i="3"/>
  <c r="AZ317" i="3" s="1"/>
  <c r="G327" i="3"/>
  <c r="G331" i="3"/>
  <c r="BA333" i="3"/>
  <c r="AZ333" i="3" s="1"/>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G213" i="3"/>
  <c r="G214" i="3"/>
  <c r="G215" i="3"/>
  <c r="G216" i="3"/>
  <c r="BL216" i="3"/>
  <c r="BA217" i="3"/>
  <c r="AZ217" i="3" s="1"/>
  <c r="BA218" i="3"/>
  <c r="AZ218" i="3" s="1"/>
  <c r="G221" i="3"/>
  <c r="BL221" i="3"/>
  <c r="BL223" i="3"/>
  <c r="AZ223" i="3" s="1"/>
  <c r="G226" i="3"/>
  <c r="BL226" i="3"/>
  <c r="G229" i="3"/>
  <c r="AZ272" i="3"/>
  <c r="BL113" i="3"/>
  <c r="G116" i="3"/>
  <c r="BA117" i="3"/>
  <c r="AZ117" i="3" s="1"/>
  <c r="G120" i="3"/>
  <c r="G123" i="3"/>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BA452" i="3"/>
  <c r="AZ452" i="3" s="1"/>
  <c r="BL452" i="3"/>
  <c r="BA453" i="3"/>
  <c r="AZ453" i="3" s="1"/>
  <c r="BA454" i="3"/>
  <c r="BL454" i="3"/>
  <c r="BA455" i="3"/>
  <c r="AZ455" i="3" s="1"/>
  <c r="BL457" i="3"/>
  <c r="AZ457" i="3" s="1"/>
  <c r="G459" i="3"/>
  <c r="G461" i="3"/>
  <c r="AZ471" i="3"/>
  <c r="AZ476" i="3"/>
  <c r="AZ478" i="3"/>
  <c r="AZ481" i="3"/>
  <c r="AZ487" i="3"/>
  <c r="AZ489" i="3"/>
  <c r="AZ397" i="3"/>
  <c r="AZ221" i="3"/>
  <c r="AZ226" i="3"/>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AZ300" i="3" s="1"/>
  <c r="BA301" i="3"/>
  <c r="AZ301" i="3" s="1"/>
  <c r="AZ113" i="3"/>
  <c r="BA125" i="3"/>
  <c r="AZ125" i="3" s="1"/>
  <c r="G128" i="3"/>
  <c r="BL130" i="3"/>
  <c r="AZ130" i="3" s="1"/>
  <c r="BA132" i="3"/>
  <c r="AZ132" i="3" s="1"/>
  <c r="G134" i="3"/>
  <c r="BL134" i="3"/>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AZ54" i="3"/>
  <c r="AZ64" i="3"/>
  <c r="G53" i="3"/>
  <c r="G54" i="3"/>
  <c r="BL54" i="3"/>
  <c r="G57" i="3"/>
  <c r="BL57" i="3"/>
  <c r="AZ57" i="3" s="1"/>
  <c r="BL59" i="3"/>
  <c r="AZ59" i="3" s="1"/>
  <c r="BA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C31" i="71"/>
  <c r="D30" i="71"/>
  <c r="C43" i="71"/>
  <c r="D42" i="71"/>
  <c r="C51" i="71"/>
  <c r="D50" i="71"/>
  <c r="D34" i="71"/>
  <c r="C35" i="71"/>
  <c r="C59" i="71"/>
  <c r="D58" i="71"/>
  <c r="G104" i="3"/>
  <c r="BL104" i="3"/>
  <c r="G107" i="3"/>
  <c r="G108" i="3"/>
  <c r="BL108" i="3"/>
  <c r="AZ108" i="3" s="1"/>
  <c r="BL110" i="3"/>
  <c r="AZ110" i="3" s="1"/>
  <c r="BA112" i="3"/>
  <c r="AZ112" i="3" s="1"/>
  <c r="C40" i="68"/>
  <c r="AC21" i="37"/>
  <c r="S21" i="34"/>
  <c r="T64" i="71"/>
  <c r="P66" i="71"/>
  <c r="D39" i="71"/>
  <c r="AB33" i="71"/>
  <c r="Y33" i="71"/>
  <c r="Z33" i="71" s="1"/>
  <c r="AB29" i="71"/>
  <c r="E35" i="71"/>
  <c r="E36" i="71" s="1"/>
  <c r="U36" i="71" s="1"/>
  <c r="B36" i="71"/>
  <c r="S36" i="71" s="1"/>
  <c r="B32" i="71"/>
  <c r="S32" i="71" s="1"/>
  <c r="E31" i="71"/>
  <c r="E32" i="71" s="1"/>
  <c r="U32" i="71" s="1"/>
  <c r="X30" i="71"/>
  <c r="AB30" i="71"/>
  <c r="Y31" i="71"/>
  <c r="Z31" i="71" s="1"/>
  <c r="AB32" i="71"/>
  <c r="AB34" i="71"/>
  <c r="Y35" i="71"/>
  <c r="Z35" i="71" s="1"/>
  <c r="AB36" i="71"/>
  <c r="C55" i="71"/>
  <c r="V24" i="71"/>
  <c r="C21" i="68"/>
  <c r="C40" i="69"/>
  <c r="F11" i="1"/>
  <c r="G11" i="1" s="1"/>
  <c r="G44" i="43"/>
  <c r="G6" i="1"/>
  <c r="I24" i="43"/>
  <c r="C24" i="43" s="1"/>
  <c r="C28" i="67"/>
  <c r="E19" i="71"/>
  <c r="E18" i="71" s="1"/>
  <c r="E17" i="71" s="1"/>
  <c r="E16" i="71" s="1"/>
  <c r="V20" i="71"/>
  <c r="C16" i="71"/>
  <c r="D17" i="71"/>
  <c r="D19" i="53"/>
  <c r="B38" i="72" s="1"/>
  <c r="D16" i="53"/>
  <c r="B34" i="72" s="1"/>
  <c r="G28" i="6"/>
  <c r="F29" i="6"/>
  <c r="S41" i="34"/>
  <c r="AA41" i="34"/>
  <c r="AZ557" i="3"/>
  <c r="AB43" i="33"/>
  <c r="U43" i="33"/>
  <c r="AC11" i="35"/>
  <c r="J26" i="37"/>
  <c r="H26" i="37"/>
  <c r="F26" i="37"/>
  <c r="AZ424" i="3"/>
  <c r="AZ429" i="3"/>
  <c r="AZ439" i="3"/>
  <c r="AZ444" i="3"/>
  <c r="AZ467" i="3"/>
  <c r="AZ474" i="3"/>
  <c r="AZ480" i="3"/>
  <c r="AZ482" i="3"/>
  <c r="AZ486" i="3"/>
  <c r="AZ488" i="3"/>
  <c r="AZ316" i="3"/>
  <c r="AZ332" i="3"/>
  <c r="AZ385" i="3"/>
  <c r="AZ210" i="3"/>
  <c r="AZ219" i="3"/>
  <c r="AZ236" i="3"/>
  <c r="AZ252" i="3"/>
  <c r="AZ276" i="3"/>
  <c r="AZ289" i="3"/>
  <c r="AZ118" i="3"/>
  <c r="AZ121" i="3"/>
  <c r="AZ134" i="3"/>
  <c r="U46" i="33"/>
  <c r="AA13" i="35"/>
  <c r="H25" i="37"/>
  <c r="J25" i="37"/>
  <c r="F25" i="37"/>
  <c r="AZ398" i="3"/>
  <c r="AZ405" i="3"/>
  <c r="AZ407" i="3"/>
  <c r="AZ410" i="3"/>
  <c r="AZ415" i="3"/>
  <c r="AZ420" i="3"/>
  <c r="AZ448" i="3"/>
  <c r="AZ456" i="3"/>
  <c r="AZ212" i="3"/>
  <c r="AZ216" i="3"/>
  <c r="AZ292" i="3"/>
  <c r="F44" i="39"/>
  <c r="H38" i="40"/>
  <c r="J38" i="40"/>
  <c r="H39" i="40"/>
  <c r="AZ153" i="3"/>
  <c r="AZ169" i="3"/>
  <c r="AZ185" i="3"/>
  <c r="AZ201" i="3"/>
  <c r="AZ207" i="3"/>
  <c r="AZ25" i="3"/>
  <c r="AZ30" i="3"/>
  <c r="AZ36" i="3"/>
  <c r="AZ40" i="3"/>
  <c r="AZ46" i="3"/>
  <c r="AZ49" i="3"/>
  <c r="AZ73" i="3"/>
  <c r="AZ78" i="3"/>
  <c r="AZ87" i="3"/>
  <c r="AZ91" i="3"/>
  <c r="AZ95" i="3"/>
  <c r="AZ98" i="3"/>
  <c r="AZ100" i="3"/>
  <c r="AZ104" i="3"/>
  <c r="D40" i="71"/>
  <c r="T40" i="71"/>
  <c r="S21" i="21"/>
  <c r="U18" i="36"/>
  <c r="D27" i="71"/>
  <c r="X9" i="71"/>
  <c r="X10" i="71"/>
  <c r="AB9" i="71"/>
  <c r="AB10" i="71"/>
  <c r="S68" i="71"/>
  <c r="B67" i="71"/>
  <c r="Y24" i="71"/>
  <c r="Z24" i="71" s="1"/>
  <c r="X24" i="71"/>
  <c r="AB24" i="71"/>
  <c r="AA21" i="71"/>
  <c r="X21" i="71"/>
  <c r="Y21" i="71"/>
  <c r="Z21" i="71" s="1"/>
  <c r="Y17" i="71"/>
  <c r="Z17" i="71" s="1"/>
  <c r="AA17" i="71"/>
  <c r="AB18" i="71"/>
  <c r="Y14" i="71"/>
  <c r="Z14" i="71" s="1"/>
  <c r="AB14" i="71"/>
  <c r="AA29" i="71"/>
  <c r="X39" i="71"/>
  <c r="Y9" i="71"/>
  <c r="Z9" i="71" s="1"/>
  <c r="Y10" i="71"/>
  <c r="Z10" i="71" s="1"/>
  <c r="AA9" i="71"/>
  <c r="AB39" i="71"/>
  <c r="AA24" i="71"/>
  <c r="Y23" i="71"/>
  <c r="Z23" i="71" s="1"/>
  <c r="AB23" i="71"/>
  <c r="Y18" i="71"/>
  <c r="Z18" i="71" s="1"/>
  <c r="AB21" i="71"/>
  <c r="X18" i="71"/>
  <c r="AA18" i="71"/>
  <c r="X17" i="71"/>
  <c r="K56" i="9"/>
  <c r="Y22" i="71"/>
  <c r="Z22" i="71" s="1"/>
  <c r="AA23" i="71"/>
  <c r="X22" i="71"/>
  <c r="AA22" i="71"/>
  <c r="X15" i="71"/>
  <c r="AA15" i="71"/>
  <c r="AA12" i="71"/>
  <c r="AA13" i="71"/>
  <c r="AA14" i="71"/>
  <c r="X12" i="71"/>
  <c r="X13" i="71"/>
  <c r="AB12" i="71"/>
  <c r="Y12" i="71"/>
  <c r="Z12" i="71" s="1"/>
  <c r="Y13" i="71"/>
  <c r="Z13" i="71" s="1"/>
  <c r="AB15" i="71"/>
  <c r="AB17" i="71"/>
  <c r="AA10" i="71"/>
  <c r="AA11" i="71"/>
  <c r="X11" i="71"/>
  <c r="X14" i="71"/>
  <c r="AB11"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D3" i="73"/>
  <c r="D4" i="73"/>
  <c r="C16" i="67"/>
  <c r="C16" i="15"/>
  <c r="G1" i="73"/>
  <c r="E510" i="3" l="1"/>
  <c r="E165" i="3"/>
  <c r="E244" i="3"/>
  <c r="E149" i="3"/>
  <c r="E167" i="3"/>
  <c r="E141" i="3"/>
  <c r="E312" i="3"/>
  <c r="AD6" i="3"/>
  <c r="E499" i="3"/>
  <c r="E542" i="3"/>
  <c r="R6" i="3"/>
  <c r="E552" i="3"/>
  <c r="E502" i="3"/>
  <c r="E421" i="3"/>
  <c r="E442" i="3"/>
  <c r="E466" i="3"/>
  <c r="E487" i="3"/>
  <c r="E541" i="3"/>
  <c r="E398" i="3"/>
  <c r="E430" i="3"/>
  <c r="E416" i="3"/>
  <c r="E449" i="3"/>
  <c r="E255" i="3"/>
  <c r="E374" i="3"/>
  <c r="I3" i="6"/>
  <c r="E566" i="3"/>
  <c r="AP6" i="3"/>
  <c r="E500" i="3"/>
  <c r="E554" i="3"/>
  <c r="E582" i="3"/>
  <c r="E517" i="3"/>
  <c r="E435" i="3"/>
  <c r="E460" i="3"/>
  <c r="E520" i="3"/>
  <c r="E436" i="3"/>
  <c r="E479" i="3"/>
  <c r="E56" i="3"/>
  <c r="E90" i="3"/>
  <c r="E37" i="3"/>
  <c r="E131" i="3"/>
  <c r="E152" i="3"/>
  <c r="E187" i="3"/>
  <c r="E132" i="3"/>
  <c r="E155" i="3"/>
  <c r="E192" i="3"/>
  <c r="E240" i="3"/>
  <c r="E258" i="3"/>
  <c r="E297" i="3"/>
  <c r="E241" i="3"/>
  <c r="E259" i="3"/>
  <c r="E292" i="3"/>
  <c r="E348" i="3"/>
  <c r="E363" i="3"/>
  <c r="E378" i="3"/>
  <c r="E375" i="3"/>
  <c r="E389" i="3"/>
  <c r="E504" i="3"/>
  <c r="E544" i="3"/>
  <c r="E58" i="3"/>
  <c r="E76" i="3"/>
  <c r="E110" i="3"/>
  <c r="E59" i="3"/>
  <c r="E488" i="3"/>
  <c r="E409" i="3"/>
  <c r="E462" i="3"/>
  <c r="E521" i="3"/>
  <c r="E425" i="3"/>
  <c r="E446" i="3"/>
  <c r="E467" i="3"/>
  <c r="E47" i="3"/>
  <c r="E65" i="3"/>
  <c r="E103" i="3"/>
  <c r="E138" i="3"/>
  <c r="E160" i="3"/>
  <c r="E195" i="3"/>
  <c r="E142" i="3"/>
  <c r="E163" i="3"/>
  <c r="E200" i="3"/>
  <c r="E267" i="3"/>
  <c r="E209" i="3"/>
  <c r="E266" i="3"/>
  <c r="E307" i="3"/>
  <c r="E371" i="3"/>
  <c r="E386" i="3"/>
  <c r="E310" i="3"/>
  <c r="E354" i="3"/>
  <c r="E584" i="3"/>
  <c r="E23" i="3"/>
  <c r="E66" i="3"/>
  <c r="E67" i="3"/>
  <c r="E48" i="3"/>
  <c r="E33" i="3"/>
  <c r="E144" i="3"/>
  <c r="E127" i="3"/>
  <c r="E184" i="3"/>
  <c r="E284" i="3"/>
  <c r="E355" i="3"/>
  <c r="E341" i="3"/>
  <c r="E381" i="3"/>
  <c r="Y6" i="3"/>
  <c r="E68" i="3"/>
  <c r="E51" i="3"/>
  <c r="E19" i="3"/>
  <c r="E81" i="3"/>
  <c r="E154" i="3"/>
  <c r="E118" i="3"/>
  <c r="E179" i="3"/>
  <c r="E264" i="3"/>
  <c r="E222" i="3"/>
  <c r="E283" i="3"/>
  <c r="E323" i="3"/>
  <c r="E309" i="3"/>
  <c r="E373" i="3"/>
  <c r="E513" i="3"/>
  <c r="E21" i="3"/>
  <c r="E539" i="3"/>
  <c r="E536" i="3"/>
  <c r="E148" i="3"/>
  <c r="E199" i="3"/>
  <c r="E575" i="3"/>
  <c r="E493" i="3"/>
  <c r="E534" i="3"/>
  <c r="E564" i="3"/>
  <c r="T6" i="3"/>
  <c r="E543" i="3"/>
  <c r="E405" i="3"/>
  <c r="E427" i="3"/>
  <c r="E456" i="3"/>
  <c r="E486" i="3"/>
  <c r="E507" i="3"/>
  <c r="E512" i="3"/>
  <c r="E408" i="3"/>
  <c r="E440" i="3"/>
  <c r="E451" i="3"/>
  <c r="E490" i="3"/>
  <c r="E360" i="3"/>
  <c r="E376" i="3"/>
  <c r="E556" i="3"/>
  <c r="AH6" i="3"/>
  <c r="E497" i="3"/>
  <c r="J6" i="3"/>
  <c r="E13" i="3"/>
  <c r="E498" i="3"/>
  <c r="E494" i="3"/>
  <c r="E419" i="3"/>
  <c r="E452" i="3"/>
  <c r="E483" i="3"/>
  <c r="E470" i="3"/>
  <c r="E401" i="3"/>
  <c r="E420" i="3"/>
  <c r="E26" i="3"/>
  <c r="E41" i="3"/>
  <c r="E115" i="3"/>
  <c r="E178" i="3"/>
  <c r="E198" i="3"/>
  <c r="E119" i="3"/>
  <c r="E139" i="3"/>
  <c r="E202" i="3"/>
  <c r="E225" i="3"/>
  <c r="E242" i="3"/>
  <c r="E281" i="3"/>
  <c r="E243" i="3"/>
  <c r="E332" i="3"/>
  <c r="E346" i="3"/>
  <c r="E391" i="3"/>
  <c r="E333" i="3"/>
  <c r="E356" i="3"/>
  <c r="E372" i="3"/>
  <c r="AL6" i="3"/>
  <c r="L6" i="3"/>
  <c r="E42" i="3"/>
  <c r="E60" i="3"/>
  <c r="E43" i="3"/>
  <c r="E75" i="3"/>
  <c r="E540" i="3"/>
  <c r="E473" i="3"/>
  <c r="E482" i="3"/>
  <c r="E15" i="3"/>
  <c r="E455" i="3"/>
  <c r="E18" i="3"/>
  <c r="E79" i="3"/>
  <c r="E96" i="3"/>
  <c r="E38" i="3"/>
  <c r="E129" i="3"/>
  <c r="E170" i="3"/>
  <c r="E190" i="3"/>
  <c r="E137" i="3"/>
  <c r="E174" i="3"/>
  <c r="E194" i="3"/>
  <c r="E220" i="3"/>
  <c r="E219" i="3"/>
  <c r="E324" i="3"/>
  <c r="E339" i="3"/>
  <c r="E383" i="3"/>
  <c r="E325" i="3"/>
  <c r="E342" i="3"/>
  <c r="E392" i="3"/>
  <c r="E522" i="3"/>
  <c r="AQ6" i="3"/>
  <c r="E52" i="3"/>
  <c r="E34" i="3"/>
  <c r="E112" i="3"/>
  <c r="E147" i="3"/>
  <c r="E340" i="3"/>
  <c r="E370" i="3"/>
  <c r="AF6" i="3"/>
  <c r="E102" i="3"/>
  <c r="E80" i="3"/>
  <c r="E113" i="3"/>
  <c r="E158" i="3"/>
  <c r="E308" i="3"/>
  <c r="E326" i="3"/>
  <c r="E22" i="3"/>
  <c r="E364" i="3"/>
  <c r="E50" i="3"/>
  <c r="E20" i="3"/>
  <c r="E62" i="3"/>
  <c r="E176" i="3"/>
  <c r="E218" i="3"/>
  <c r="E265" i="3"/>
  <c r="E365" i="3"/>
  <c r="E524" i="3"/>
  <c r="E101" i="3"/>
  <c r="E525" i="3"/>
  <c r="E369" i="3"/>
  <c r="E173" i="3"/>
  <c r="E197" i="3"/>
  <c r="E140" i="3"/>
  <c r="E296" i="3"/>
  <c r="E205"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93" i="3"/>
  <c r="E105" i="3"/>
  <c r="E116" i="3"/>
  <c r="E223" i="3"/>
  <c r="E188" i="3"/>
  <c r="E16" i="3"/>
  <c r="E32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M66" i="43"/>
  <c r="N66" i="43" s="1"/>
  <c r="K66" i="43"/>
  <c r="K63" i="43"/>
  <c r="M63" i="43"/>
  <c r="N63" i="43" s="1"/>
  <c r="K65" i="43"/>
  <c r="J65" i="43" s="1"/>
  <c r="M65" i="43"/>
  <c r="N65" i="43" s="1"/>
  <c r="K62" i="43"/>
  <c r="M62" i="43"/>
  <c r="N62" i="43" s="1"/>
  <c r="E104" i="3"/>
  <c r="C60" i="71"/>
  <c r="D59" i="71"/>
  <c r="C52" i="71"/>
  <c r="D51" i="71"/>
  <c r="C44" i="71"/>
  <c r="D43" i="71"/>
  <c r="D31" i="71"/>
  <c r="C32" i="71"/>
  <c r="E100" i="3"/>
  <c r="E98" i="3"/>
  <c r="E94" i="3"/>
  <c r="E87" i="3"/>
  <c r="E83" i="3"/>
  <c r="E78" i="3"/>
  <c r="E64" i="3"/>
  <c r="E57" i="3"/>
  <c r="E49" i="3"/>
  <c r="E46" i="3"/>
  <c r="E40" i="3"/>
  <c r="E35" i="3"/>
  <c r="E24" i="3"/>
  <c r="E299" i="3"/>
  <c r="E286" i="3"/>
  <c r="E275" i="3"/>
  <c r="E251" i="3"/>
  <c r="E249" i="3"/>
  <c r="E234" i="3"/>
  <c r="E232" i="3"/>
  <c r="E491" i="3"/>
  <c r="E463" i="3"/>
  <c r="E428" i="3"/>
  <c r="E422" i="3"/>
  <c r="E417" i="3"/>
  <c r="E412" i="3"/>
  <c r="AB24" i="36"/>
  <c r="U24" i="36"/>
  <c r="AA9" i="36"/>
  <c r="S9" i="36"/>
  <c r="AB12" i="21"/>
  <c r="U12" i="21"/>
  <c r="AZ550" i="3"/>
  <c r="BA5" i="3"/>
  <c r="U16" i="71"/>
  <c r="M23" i="43"/>
  <c r="M68" i="43"/>
  <c r="N68" i="43" s="1"/>
  <c r="K68" i="43"/>
  <c r="J68" i="43" s="1"/>
  <c r="D68" i="43" s="1"/>
  <c r="K61" i="43"/>
  <c r="M61" i="43"/>
  <c r="N61" i="43" s="1"/>
  <c r="C56" i="71"/>
  <c r="D55" i="71"/>
  <c r="E108" i="3"/>
  <c r="D35" i="71"/>
  <c r="C36" i="71"/>
  <c r="E95" i="3"/>
  <c r="E86" i="3"/>
  <c r="E84" i="3"/>
  <c r="E82" i="3"/>
  <c r="E63" i="3"/>
  <c r="AZ60" i="3"/>
  <c r="E39" i="3"/>
  <c r="E36" i="3"/>
  <c r="E25" i="3"/>
  <c r="E206" i="3"/>
  <c r="E300" i="3"/>
  <c r="E289" i="3"/>
  <c r="E287" i="3"/>
  <c r="E276" i="3"/>
  <c r="E250" i="3"/>
  <c r="E248" i="3"/>
  <c r="E235" i="3"/>
  <c r="E233" i="3"/>
  <c r="E459" i="3"/>
  <c r="AZ454" i="3"/>
  <c r="AZ442" i="3"/>
  <c r="E123" i="3"/>
  <c r="E226" i="3"/>
  <c r="E212" i="3"/>
  <c r="E349" i="3"/>
  <c r="E492" i="3"/>
  <c r="E484" i="3"/>
  <c r="E469" i="3"/>
  <c r="E464" i="3"/>
  <c r="E413" i="3"/>
  <c r="AZ403" i="3"/>
  <c r="U12" i="36"/>
  <c r="AB12" i="36"/>
  <c r="AA34" i="35"/>
  <c r="S34" i="35"/>
  <c r="AZ15" i="3"/>
  <c r="AZ5" i="3" s="1"/>
  <c r="C44" i="43"/>
  <c r="B15" i="71"/>
  <c r="B14" i="71" s="1"/>
  <c r="B13" i="71" s="1"/>
  <c r="B12" i="71" s="1"/>
  <c r="S16" i="71"/>
  <c r="AC38" i="40"/>
  <c r="W38" i="40"/>
  <c r="AA44" i="39"/>
  <c r="S44" i="39"/>
  <c r="AA25" i="37"/>
  <c r="S25" i="37"/>
  <c r="U25" i="37"/>
  <c r="AB25" i="37"/>
  <c r="AB26" i="37"/>
  <c r="U26" i="37"/>
  <c r="N67" i="71"/>
  <c r="B66" i="71"/>
  <c r="U39" i="40"/>
  <c r="AB39" i="40"/>
  <c r="AB38" i="40"/>
  <c r="U38" i="40"/>
  <c r="AC25" i="37"/>
  <c r="W25" i="37"/>
  <c r="AA26" i="37"/>
  <c r="S26" i="37"/>
  <c r="AC26" i="37"/>
  <c r="W26" i="37"/>
  <c r="C15" i="71"/>
  <c r="T16" i="71"/>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T36" i="71"/>
  <c r="D36" i="71"/>
  <c r="T56" i="71"/>
  <c r="D56" i="71"/>
  <c r="J61" i="43"/>
  <c r="D61" i="43"/>
  <c r="T44" i="71"/>
  <c r="D44" i="71"/>
  <c r="T52" i="71"/>
  <c r="D52" i="71"/>
  <c r="T60" i="71"/>
  <c r="D60" i="71"/>
  <c r="J63" i="43"/>
  <c r="D63" i="43"/>
  <c r="T32" i="71"/>
  <c r="D32" i="71"/>
  <c r="J62" i="43"/>
  <c r="D62" i="43"/>
  <c r="J66" i="43"/>
  <c r="D66" i="43"/>
  <c r="E65" i="39"/>
  <c r="N66" i="71"/>
  <c r="N65" i="71"/>
  <c r="E11" i="71"/>
  <c r="E10" i="71" s="1"/>
  <c r="E9" i="71" s="1"/>
  <c r="E8" i="71" s="1"/>
  <c r="E7" i="71" s="1"/>
  <c r="E6" i="71" s="1"/>
  <c r="E5" i="71" s="1"/>
  <c r="V12"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B1" i="74" l="1"/>
  <c r="B14" i="74"/>
  <c r="E61" i="43"/>
  <c r="B59" i="43" s="1"/>
  <c r="C28" i="43" s="1"/>
  <c r="D116" i="43"/>
  <c r="F69" i="67"/>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T13" i="43" l="1"/>
  <c r="V13" i="43" s="1"/>
  <c r="T9" i="43"/>
  <c r="V9" i="43" s="1"/>
  <c r="T16" i="43"/>
  <c r="V16" i="43" s="1"/>
  <c r="T12" i="43"/>
  <c r="V12" i="43" s="1"/>
  <c r="T8" i="43"/>
  <c r="V8" i="43" s="1"/>
  <c r="T3" i="43"/>
  <c r="V3" i="43" s="1"/>
  <c r="T6" i="43"/>
  <c r="V6" i="43" s="1"/>
  <c r="C33" i="43"/>
  <c r="C37" i="43"/>
  <c r="C39" i="43"/>
  <c r="C38" i="43"/>
  <c r="T15" i="43"/>
  <c r="V15" i="43" s="1"/>
  <c r="T11" i="43"/>
  <c r="V11" i="43" s="1"/>
  <c r="T7" i="43"/>
  <c r="V7" i="43" s="1"/>
  <c r="T14" i="43"/>
  <c r="V14" i="43" s="1"/>
  <c r="T10" i="43"/>
  <c r="V10" i="43" s="1"/>
  <c r="T4" i="43"/>
  <c r="V4" i="43" s="1"/>
  <c r="T2" i="43"/>
  <c r="V2" i="43" s="1"/>
  <c r="T5" i="43"/>
  <c r="V5" i="43" s="1"/>
  <c r="C40" i="43"/>
  <c r="C41" i="43"/>
  <c r="C42" i="43"/>
  <c r="C25" i="1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J8" i="69" l="1"/>
  <c r="K8" i="69" s="1"/>
  <c r="E42" i="43"/>
  <c r="G42" i="43"/>
  <c r="I42" i="43" s="1"/>
  <c r="G40" i="43"/>
  <c r="I40" i="43" s="1"/>
  <c r="E40" i="43"/>
  <c r="G39" i="43"/>
  <c r="I39" i="43" s="1"/>
  <c r="E39" i="43"/>
  <c r="J7" i="69"/>
  <c r="K7" i="69" s="1"/>
  <c r="C34" i="43"/>
  <c r="E34" i="43" s="1"/>
  <c r="E33" i="43"/>
  <c r="G41" i="43"/>
  <c r="I41" i="43" s="1"/>
  <c r="E41" i="43"/>
  <c r="E38" i="43"/>
  <c r="G38" i="43"/>
  <c r="I38" i="43" s="1"/>
  <c r="G37" i="43"/>
  <c r="I37" i="43" s="1"/>
  <c r="E37" i="43"/>
  <c r="C8" i="69"/>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31" i="43"/>
  <c r="K9" i="69"/>
  <c r="C6" i="69" s="1"/>
  <c r="C7" i="69" s="1"/>
  <c r="F7" i="21"/>
  <c r="C8" i="68"/>
  <c r="C5" i="68" s="1"/>
  <c r="C23" i="68" s="1"/>
  <c r="C18" i="12"/>
  <c r="C21" i="12" s="1"/>
  <c r="J7" i="21"/>
  <c r="W7" i="21" s="1"/>
  <c r="C10" i="71"/>
  <c r="D11"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E6" i="76"/>
  <c r="E2" i="76" l="1"/>
  <c r="C5" i="69"/>
  <c r="B2" i="43"/>
  <c r="C20" i="68"/>
  <c r="C28" i="68" s="1"/>
  <c r="C27" i="68" s="1"/>
  <c r="C22" i="12"/>
  <c r="C27" i="12" s="1"/>
  <c r="C25" i="12" s="1"/>
  <c r="J7" i="35"/>
  <c r="W7" i="35" s="1"/>
  <c r="C9" i="71"/>
  <c r="D10"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B6" i="76"/>
  <c r="M21" i="67"/>
  <c r="F35" i="15"/>
  <c r="F35" i="67"/>
  <c r="M21" i="15"/>
  <c r="B2" i="76" l="1"/>
  <c r="B3" i="76" s="1"/>
  <c r="C23" i="69"/>
  <c r="C20" i="69"/>
  <c r="B3" i="43"/>
  <c r="AC7" i="35"/>
  <c r="V38" i="35" s="1"/>
  <c r="I38" i="35" s="1"/>
  <c r="C25" i="68"/>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28" i="69" l="1"/>
  <c r="C27" i="69" s="1"/>
  <c r="C25" i="69"/>
  <c r="C22" i="69" s="1"/>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8" l="1"/>
  <c r="C56" i="68" s="1"/>
  <c r="C31" i="69"/>
  <c r="C52" i="69" s="1"/>
  <c r="C57" i="69" s="1"/>
  <c r="C56" i="69" s="1"/>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69" l="1"/>
  <c r="Q67" i="67"/>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19" i="9"/>
  <c r="D19" i="9"/>
  <c r="D2" i="34"/>
  <c r="D2" i="36"/>
  <c r="D2" i="35"/>
  <c r="D2" i="37"/>
  <c r="L51" i="15"/>
  <c r="C102" i="9" l="1"/>
  <c r="C21" i="9"/>
  <c r="B3" i="69"/>
  <c r="D102" i="9"/>
  <c r="D21" i="9"/>
  <c r="D22" i="9"/>
  <c r="G19" i="9"/>
  <c r="AC23" i="1"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6" i="1"/>
  <c r="D20" i="9"/>
  <c r="AO10" i="1"/>
  <c r="AO7" i="1"/>
  <c r="AO8" i="1"/>
  <c r="AO9" i="1"/>
  <c r="AO11" i="1"/>
  <c r="AO12" i="1"/>
  <c r="C103" i="9" l="1"/>
  <c r="G21" i="9"/>
  <c r="D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5" i="9" l="1"/>
  <c r="C34" i="9"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l="1"/>
  <c r="H118" i="9" s="1"/>
  <c r="H101" i="9" s="1"/>
  <c r="D45" i="9" s="1"/>
  <c r="G118" i="9"/>
  <c r="D5" i="53" l="1"/>
  <c r="H4" i="52"/>
  <c r="C64" i="9"/>
  <c r="C63" i="9" s="1"/>
  <c r="C67" i="9" s="1"/>
  <c r="C78" i="9"/>
  <c r="C73" i="9" s="1"/>
  <c r="C85" i="9"/>
  <c r="C93" i="9"/>
  <c r="C86" i="9" s="1"/>
  <c r="D53" i="9"/>
  <c r="H119" i="9"/>
  <c r="H5" i="52" s="1"/>
  <c r="C104" i="9"/>
  <c r="M48" i="9"/>
  <c r="H107" i="9"/>
  <c r="D13" i="53" s="1"/>
  <c r="G4" i="52"/>
  <c r="B52" i="72" s="1"/>
  <c r="F118" i="9"/>
  <c r="C72" i="9"/>
  <c r="D55" i="9"/>
  <c r="M53" i="9" s="1"/>
  <c r="D52" i="9"/>
  <c r="H102" i="9"/>
  <c r="C105" i="9"/>
  <c r="E14" i="74" s="1"/>
  <c r="D14" i="74" s="1"/>
  <c r="I4" i="52"/>
  <c r="D122" i="9"/>
  <c r="H108" i="9"/>
  <c r="B20" i="72"/>
  <c r="D6" i="53"/>
  <c r="B22" i="72" s="1"/>
  <c r="D59" i="9"/>
  <c r="M55" i="9" s="1"/>
  <c r="C68" i="9"/>
  <c r="D54" i="9" s="1"/>
  <c r="B30" i="72"/>
  <c r="D14" i="53"/>
  <c r="B32" i="72" s="1"/>
  <c r="C79" i="9" l="1"/>
  <c r="C80" i="9" s="1"/>
  <c r="E80" i="9" s="1"/>
  <c r="E81" i="9" s="1"/>
  <c r="C95" i="9"/>
  <c r="C96" i="9" s="1"/>
  <c r="E96" i="9" s="1"/>
  <c r="E97" i="9" s="1"/>
  <c r="B5" i="74"/>
  <c r="D5" i="74" s="1"/>
  <c r="F14" i="74"/>
  <c r="F4" i="52"/>
  <c r="B51" i="72" s="1"/>
  <c r="F119" i="9"/>
  <c r="F5" i="52" s="1"/>
  <c r="B53" i="72" s="1"/>
  <c r="D7" i="53"/>
  <c r="B21" i="72" s="1"/>
  <c r="C5" i="74"/>
  <c r="C6" i="74"/>
  <c r="D15" i="53"/>
  <c r="B31" i="72" s="1"/>
  <c r="D8" i="52"/>
  <c r="D123" i="9"/>
  <c r="D9" i="52" s="1"/>
  <c r="C97" i="9"/>
  <c r="D58" i="9" s="1"/>
  <c r="D56" i="9" s="1"/>
  <c r="M54" i="9" s="1"/>
  <c r="N57" i="9" s="1"/>
  <c r="C81" i="9"/>
  <c r="N59" i="9" l="1"/>
  <c r="P57" i="9"/>
  <c r="N58" i="9"/>
  <c r="N60" i="9" l="1"/>
  <c r="N61" i="9"/>
  <c r="E118" i="9"/>
  <c r="E4" i="52" s="1"/>
  <c r="B48" i="72" s="1"/>
  <c r="D118" i="9" l="1"/>
  <c r="D4" i="52" l="1"/>
  <c r="B47"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<sst xmlns="http://schemas.openxmlformats.org/spreadsheetml/2006/main" count="7812" uniqueCount="3417">
  <si>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</si>
  <si>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</si>
  <si>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</si>
  <si>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</si>
  <si>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</si>
  <si>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</si>
  <si>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</si>
  <si>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</si>
  <si>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</si>
  <si>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</si>
  <si>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</si>
  <si>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</si>
  <si>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</si>
  <si>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</si>
  <si>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</si>
  <si>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</si>
  <si>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</si>
  <si>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</si>
  <si>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</si>
  <si>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</si>
  <si>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</si>
  <si>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</si>
  <si>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</si>
  <si>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</si>
  <si>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</si>
  <si>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</si>
  <si>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</si>
  <si>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</si>
  <si>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</si>
  <si>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</si>
  <si>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</si>
  <si>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</si>
  <si>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</si>
  <si>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</si>
  <si>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</si>
  <si>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</si>
  <si>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</si>
  <si>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</si>
  <si>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</si>
  <si>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</si>
  <si>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</si>
  <si>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</si>
  <si>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</si>
  <si>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</si>
  <si>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</si>
  <si>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</si>
  <si>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</si>
  <si>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</si>
  <si>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</si>
  <si>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</si>
  <si>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</si>
  <si>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</si>
  <si>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</si>
  <si>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</si>
  <si>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</si>
  <si>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</si>
  <si>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</si>
  <si>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</si>
  <si>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</si>
  <si>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</si>
  <si>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</si>
  <si>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</si>
  <si>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</si>
  <si>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</si>
  <si>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</si>
  <si>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</si>
  <si>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</si>
  <si>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</si>
  <si>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</si>
  <si>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</si>
  <si>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</si>
  <si>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</si>
  <si>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</si>
  <si>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</si>
  <si>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</si>
  <si>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</si>
  <si>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</si>
  <si>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</si>
  <si>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</si>
  <si>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</si>
  <si>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</si>
  <si>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</si>
  <si>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</si>
  <si>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</si>
  <si>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</si>
  <si>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</si>
  <si>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</si>
  <si>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</si>
  <si>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</si>
  <si>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</si>
  <si>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</si>
  <si>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</si>
  <si>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</si>
  <si>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</si>
  <si>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</si>
  <si>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</si>
  <si>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</si>
  <si>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</si>
  <si>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</si>
  <si>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</si>
  <si>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</si>
  <si>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</si>
  <si>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</si>
  <si>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</si>
  <si>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</si>
  <si>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</si>
  <si>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</si>
  <si>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</si>
  <si>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</si>
  <si>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</si>
  <si>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</si>
  <si>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</si>
  <si>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</si>
  <si>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</si>
  <si>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</si>
  <si>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</si>
  <si>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</si>
  <si>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</si>
  <si>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</si>
  <si>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</si>
  <si>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</si>
  <si>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</si>
  <si>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</si>
  <si>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</si>
  <si>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</si>
  <si>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</si>
  <si>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</si>
  <si>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</si>
  <si>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</si>
  <si>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</si>
  <si>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</si>
  <si>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</si>
  <si>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</si>
  <si>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</si>
  <si>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</si>
  <si>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</si>
  <si>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</si>
  <si>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</si>
  <si>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</si>
  <si>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</si>
  <si>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</si>
  <si>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</si>
  <si>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</si>
  <si>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</si>
  <si>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</si>
  <si>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</si>
  <si>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</si>
  <si>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</si>
  <si>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</si>
  <si>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</si>
  <si>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</si>
  <si>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</si>
  <si>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</si>
  <si>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</si>
  <si>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</si>
  <si>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</si>
  <si>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</si>
  <si>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</si>
  <si>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</si>
  <si>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</si>
  <si>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</si>
  <si>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</si>
  <si>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</si>
  <si>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</si>
  <si>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</si>
  <si>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</si>
  <si>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</si>
  <si>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</si>
  <si>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</si>
  <si>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</si>
  <si>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</si>
  <si>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</si>
  <si>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</si>
  <si>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</si>
  <si>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</si>
  <si>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</si>
  <si>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</si>
  <si>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</si>
  <si>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</si>
  <si>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</si>
  <si>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</si>
  <si>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</si>
  <si>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</si>
  <si>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</si>
  <si>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</si>
  <si>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</si>
  <si>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</si>
  <si>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</si>
  <si>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</si>
  <si>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</si>
  <si>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</si>
  <si>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</si>
  <si>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</si>
  <si>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</si>
  <si>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</si>
  <si>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</si>
  <si>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</si>
  <si>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</si>
  <si>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</si>
  <si>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</si>
  <si>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</si>
  <si>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</si>
  <si>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</si>
  <si>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</si>
  <si>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</si>
  <si>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</si>
  <si>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</si>
  <si>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</si>
  <si>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</si>
  <si>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</si>
  <si>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</si>
  <si>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</si>
  <si>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</si>
  <si>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</si>
  <si>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</si>
  <si>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</si>
  <si>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</si>
  <si>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</si>
  <si>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</si>
  <si>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</si>
  <si>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</si>
  <si>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</si>
  <si>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</si>
  <si>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</si>
  <si>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</si>
  <si>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</si>
  <si>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</si>
  <si>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</si>
  <si>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</si>
  <si>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</si>
  <si>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</si>
  <si>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</si>
  <si>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</si>
  <si>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</si>
  <si>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</si>
  <si>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</si>
  <si>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</si>
  <si>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</si>
  <si>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</si>
  <si>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</si>
  <si>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</si>
  <si>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</si>
  <si>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</si>
  <si>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</si>
  <si>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</si>
  <si>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</si>
  <si>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</si>
  <si>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</si>
  <si>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</si>
  <si>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</si>
  <si>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</si>
  <si>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</si>
  <si>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</si>
  <si>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</si>
  <si>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</si>
  <si>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</si>
  <si>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</si>
  <si>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</si>
  <si>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</si>
  <si>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</si>
  <si>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</si>
  <si>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</si>
  <si>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</si>
  <si>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</si>
  <si>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</si>
  <si>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</si>
  <si>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</si>
  <si>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</si>
  <si>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</si>
  <si>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</si>
  <si>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</si>
  <si>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</si>
  <si>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</si>
  <si>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</si>
  <si>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</si>
  <si>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</si>
  <si>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</si>
  <si>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</si>
  <si>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</si>
  <si>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</si>
  <si>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</si>
  <si>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</si>
  <si>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</si>
  <si>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</si>
  <si>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</si>
  <si>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</si>
  <si>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</si>
  <si>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</si>
  <si>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</si>
  <si>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</si>
  <si>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</si>
  <si>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</si>
  <si>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</si>
  <si>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</si>
  <si>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</si>
  <si>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</si>
  <si>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</si>
  <si>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</si>
  <si>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</si>
  <si>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</si>
  <si>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</si>
  <si>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</si>
  <si>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</si>
  <si>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</si>
  <si>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</si>
  <si>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</si>
  <si>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</si>
  <si>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</si>
  <si>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</si>
  <si>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</si>
  <si>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</si>
  <si>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</si>
  <si>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</si>
  <si>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</si>
  <si>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</si>
  <si>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</si>
  <si>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</si>
  <si>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</si>
  <si>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</si>
  <si>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</si>
  <si>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</si>
  <si>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</si>
  <si>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</si>
  <si>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</si>
  <si>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</si>
  <si>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</si>
  <si>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</si>
  <si>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</si>
  <si>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</si>
  <si>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</si>
  <si>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</si>
  <si>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</si>
  <si>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</si>
  <si>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</si>
  <si>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</si>
  <si>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</si>
  <si>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</si>
  <si>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</si>
  <si>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</si>
  <si>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</si>
  <si>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</si>
  <si>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</si>
  <si>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</si>
  <si>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</si>
  <si>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</si>
  <si>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</si>
  <si>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</si>
  <si>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</si>
  <si>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</si>
  <si>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</si>
  <si>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</si>
  <si>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</si>
  <si>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</si>
  <si>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</si>
  <si>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</si>
  <si>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</si>
  <si>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</si>
  <si>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</si>
  <si>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</si>
  <si>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</si>
  <si>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</si>
  <si>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</si>
  <si>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</si>
  <si>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</si>
  <si>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</si>
  <si>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</si>
  <si>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</si>
  <si>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</si>
  <si>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</si>
  <si>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</si>
  <si>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</si>
  <si>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</si>
  <si>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</si>
  <si>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</si>
  <si>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</si>
  <si>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</si>
  <si>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</si>
  <si>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</si>
  <si>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</si>
  <si>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</si>
  <si>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</si>
  <si>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</si>
  <si>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</si>
  <si>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</si>
  <si>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</si>
  <si>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</si>
  <si>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</si>
  <si>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</si>
  <si>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</si>
  <si>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</si>
  <si>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</si>
  <si>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</si>
  <si>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</si>
  <si>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</si>
  <si>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</si>
  <si>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</si>
  <si>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</si>
  <si>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</si>
  <si>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</si>
  <si>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</si>
  <si>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</si>
  <si>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</si>
  <si>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</si>
  <si>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</si>
  <si>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</si>
  <si>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</si>
  <si>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</si>
  <si>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</si>
  <si>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</si>
  <si>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</si>
  <si>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</si>
  <si>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</si>
  <si>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</si>
  <si>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</si>
  <si>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</si>
  <si>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</si>
  <si>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</si>
  <si>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</si>
  <si>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</si>
  <si>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</si>
  <si>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</si>
  <si>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</si>
  <si>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</si>
  <si>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</si>
  <si>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</si>
  <si>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</si>
  <si>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</si>
  <si>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</si>
  <si>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</si>
  <si>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</si>
  <si>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</si>
  <si>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</si>
  <si>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</si>
  <si>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</si>
  <si>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</si>
  <si>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</si>
  <si>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</si>
  <si>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</si>
  <si>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</si>
  <si>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</si>
  <si>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</si>
  <si>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</si>
  <si>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</si>
  <si>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</si>
  <si>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</si>
  <si>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</si>
  <si>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</si>
  <si>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</si>
  <si>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</si>
  <si>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</si>
  <si>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</si>
  <si>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</si>
  <si>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</si>
  <si>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</si>
  <si>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</si>
  <si>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</si>
  <si>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</si>
  <si>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</si>
  <si>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</si>
  <si>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</si>
  <si>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</si>
  <si>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</si>
  <si>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</si>
  <si>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</si>
  <si>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</si>
  <si>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</si>
  <si>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</si>
  <si>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</si>
  <si>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</si>
  <si>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</si>
  <si>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</si>
  <si>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</si>
  <si>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</si>
  <si>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</si>
  <si>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</si>
  <si>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</si>
  <si>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</si>
  <si>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</si>
  <si>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</si>
  <si>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</si>
  <si>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</si>
  <si>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</si>
  <si>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</si>
  <si>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</si>
  <si>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</si>
  <si>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</si>
  <si>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</si>
  <si>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</si>
  <si>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</si>
  <si>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</si>
  <si>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</si>
  <si>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</si>
  <si>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</si>
  <si>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</si>
  <si>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</si>
  <si>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</si>
  <si>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</si>
  <si>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</si>
  <si>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</si>
  <si>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</si>
  <si>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</si>
  <si>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</si>
  <si>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</si>
  <si>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</si>
  <si>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</si>
  <si>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</si>
  <si>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</si>
  <si>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</si>
  <si>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</si>
  <si>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</si>
  <si>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</si>
  <si>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</si>
  <si>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</si>
  <si>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</si>
  <si>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</si>
  <si>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</si>
  <si>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</si>
  <si>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</si>
  <si>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</si>
  <si>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</si>
  <si>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</si>
  <si>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</si>
  <si>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</si>
  <si>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</si>
  <si>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</si>
  <si>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</si>
  <si>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</si>
  <si>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</si>
  <si>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</si>
  <si>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</si>
  <si>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</si>
  <si>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</si>
  <si>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</si>
  <si>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</si>
  <si>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</si>
  <si>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</si>
  <si>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</si>
  <si>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</si>
  <si>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</si>
  <si>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</si>
  <si>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</si>
  <si>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</si>
  <si>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</si>
  <si>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</si>
  <si>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</si>
  <si>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</si>
  <si>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</si>
  <si>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</si>
  <si>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</si>
  <si>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</si>
  <si>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</si>
  <si>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</si>
  <si>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</si>
  <si>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</si>
  <si>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</si>
  <si>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</si>
  <si>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</si>
  <si>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</si>
  <si>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</si>
  <si>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</si>
  <si>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</si>
  <si>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</si>
  <si>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</si>
  <si>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</si>
  <si>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</si>
  <si>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</si>
  <si>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</si>
  <si>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</si>
  <si>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</si>
  <si>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</si>
  <si>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</si>
  <si>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</si>
  <si>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</si>
  <si>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</si>
  <si>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</si>
  <si>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</si>
  <si>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</si>
  <si>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</si>
  <si>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</si>
  <si>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</si>
  <si>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</si>
  <si>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</si>
  <si>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</si>
  <si>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</si>
  <si>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</si>
  <si>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</si>
  <si>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</si>
  <si>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</si>
  <si>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</si>
  <si>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</si>
  <si>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</si>
  <si>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</si>
  <si>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</si>
  <si>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</si>
  <si>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</si>
  <si>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</si>
  <si>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</si>
  <si>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</si>
  <si>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</si>
  <si>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</si>
  <si>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</si>
  <si>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</si>
  <si>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</si>
  <si>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</si>
  <si>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</si>
  <si>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</si>
  <si>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</si>
  <si>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</si>
  <si>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</si>
  <si>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</si>
  <si>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</si>
  <si>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</si>
  <si>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</si>
  <si>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</si>
  <si>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</si>
  <si>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</si>
  <si>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</si>
  <si>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</si>
  <si>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</si>
  <si>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</si>
  <si>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</si>
  <si>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</si>
  <si>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</si>
  <si>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</si>
  <si>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</si>
  <si>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</si>
  <si>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</si>
  <si>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</si>
  <si>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</si>
  <si>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</si>
  <si>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</si>
  <si>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</si>
  <si>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</si>
  <si>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</si>
  <si>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</si>
  <si>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</si>
  <si>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</si>
  <si>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</si>
  <si>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</si>
  <si>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</si>
  <si>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</si>
  <si>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</si>
  <si>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</si>
  <si>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</si>
  <si>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</si>
  <si>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</si>
  <si>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</si>
  <si>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</si>
  <si>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</si>
  <si>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</si>
  <si>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</si>
  <si>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</si>
  <si>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</si>
  <si>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</si>
  <si>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</si>
  <si>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</si>
  <si>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</si>
  <si>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</si>
  <si>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</si>
  <si>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</si>
  <si>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</si>
  <si>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</si>
  <si>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</si>
  <si>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</si>
  <si>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</si>
  <si>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</si>
  <si>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</si>
  <si>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</si>
  <si>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</si>
  <si>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</si>
  <si>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</si>
  <si>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</si>
  <si>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</si>
  <si>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</si>
  <si>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</si>
  <si>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</si>
  <si>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</si>
  <si>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</si>
  <si>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</si>
  <si>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</si>
  <si>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</si>
  <si>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</si>
  <si>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</si>
  <si>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</si>
  <si>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</si>
  <si>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</si>
  <si>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</si>
  <si>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</si>
  <si>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</si>
  <si>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</si>
  <si>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</si>
  <si>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</si>
  <si>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</si>
  <si>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</si>
  <si>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</si>
  <si>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</si>
  <si>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</si>
  <si>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</si>
  <si>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</si>
  <si>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</si>
  <si>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</si>
  <si>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</si>
  <si>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</si>
  <si>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</si>
  <si>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</si>
  <si>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</si>
  <si>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</si>
  <si>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</si>
  <si>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</si>
  <si>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</si>
  <si>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</si>
  <si>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</si>
  <si>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</si>
  <si>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</si>
  <si>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</si>
  <si>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</si>
  <si>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</si>
  <si>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</si>
  <si>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</si>
  <si>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</si>
  <si>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</si>
  <si>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</si>
  <si>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</si>
  <si>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</si>
  <si>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</si>
  <si>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</si>
  <si>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</si>
  <si>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</si>
  <si>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</si>
  <si>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</si>
  <si>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</si>
  <si>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</si>
  <si>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</si>
  <si>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</si>
  <si>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</si>
  <si>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</si>
  <si>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</si>
  <si>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</si>
  <si>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</si>
  <si>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</si>
  <si>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</si>
  <si>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</si>
  <si>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</si>
  <si>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</si>
  <si>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</si>
  <si>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</si>
  <si>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</si>
  <si>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</si>
  <si>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</si>
  <si>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</si>
  <si>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</si>
  <si>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</si>
  <si>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</si>
  <si>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</si>
  <si>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</si>
  <si>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</si>
  <si>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</si>
  <si>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</si>
  <si>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</si>
  <si>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</si>
  <si>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</si>
  <si>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</si>
  <si>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</si>
  <si>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</si>
  <si>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</si>
  <si>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</si>
  <si>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</si>
  <si>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</si>
  <si>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</si>
  <si>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</si>
  <si>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</si>
  <si>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</si>
  <si>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</si>
  <si>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</si>
  <si>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</si>
  <si>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</si>
  <si>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</si>
  <si>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</si>
  <si>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</si>
  <si>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</si>
  <si>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</si>
  <si>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</si>
  <si>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</si>
  <si>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</si>
  <si>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</si>
  <si>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</si>
  <si>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</si>
  <si>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</si>
  <si>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</si>
  <si>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</si>
  <si>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</si>
  <si>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</si>
  <si>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</si>
  <si>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</si>
  <si>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</si>
  <si>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</si>
  <si>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</si>
  <si>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</si>
  <si>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</si>
  <si>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</si>
  <si>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</si>
  <si>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</si>
  <si>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</si>
  <si>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</si>
  <si>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</si>
  <si>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</si>
  <si>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</si>
  <si>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</si>
  <si>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</si>
  <si>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</si>
  <si>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</si>
  <si>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</si>
  <si>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</si>
  <si>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</si>
  <si>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</si>
  <si>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</si>
  <si>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</si>
  <si>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</si>
  <si>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</si>
  <si>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</si>
  <si>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</si>
  <si>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</si>
  <si>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</si>
  <si>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</si>
  <si>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</si>
  <si>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</si>
  <si>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</si>
  <si>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</si>
  <si>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</si>
  <si>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</si>
  <si>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</si>
  <si>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</si>
  <si>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</si>
  <si>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</si>
  <si>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</si>
  <si>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</si>
  <si>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</si>
  <si>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</si>
  <si>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</si>
  <si>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</si>
  <si>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</si>
  <si>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</si>
  <si>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</si>
  <si>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</si>
  <si>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</si>
  <si>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</si>
  <si>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</si>
  <si>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</si>
  <si>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</si>
  <si>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</si>
  <si>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</si>
  <si>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</si>
  <si>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</si>
  <si>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</si>
  <si>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</si>
  <si>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</si>
  <si>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</si>
  <si>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</si>
  <si>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</si>
  <si>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</si>
  <si>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</si>
  <si>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</si>
  <si>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</si>
  <si>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</si>
  <si>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</si>
  <si>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</si>
  <si>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</si>
  <si>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</si>
  <si>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</si>
  <si>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</si>
  <si>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</si>
  <si>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</si>
  <si>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</si>
  <si>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</si>
  <si>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</si>
  <si>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</si>
  <si>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</si>
  <si>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</si>
  <si>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</si>
  <si>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</si>
  <si>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</si>
  <si>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</si>
  <si>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</si>
  <si>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</si>
  <si>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</si>
  <si>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</si>
  <si>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</si>
  <si>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</si>
  <si>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</si>
  <si>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</si>
  <si>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</si>
  <si>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</si>
  <si>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</si>
  <si>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</si>
  <si>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</si>
  <si>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</si>
  <si>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</si>
  <si>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</si>
  <si>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</si>
  <si>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</si>
  <si>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</si>
  <si>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</si>
  <si>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</si>
  <si>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</si>
  <si>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</si>
  <si>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</si>
  <si>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</si>
  <si>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</si>
  <si>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</si>
  <si>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</si>
  <si>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</si>
  <si>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</si>
  <si>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</si>
  <si>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</si>
  <si>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</si>
  <si>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</si>
  <si>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</si>
  <si>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</si>
  <si>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</si>
  <si>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</si>
  <si>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</si>
  <si>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</si>
  <si>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</si>
  <si>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</si>
  <si>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</si>
  <si>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</si>
  <si>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</si>
  <si>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</si>
  <si>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</si>
  <si>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</si>
  <si>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</si>
  <si>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</si>
  <si>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</si>
  <si>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</si>
  <si>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</si>
  <si>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</si>
  <si>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</si>
  <si>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</si>
  <si>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</si>
  <si>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</si>
  <si>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</si>
  <si>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</si>
  <si>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</si>
  <si>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</si>
  <si>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</si>
  <si>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</si>
  <si>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</si>
  <si>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</si>
  <si>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</si>
  <si>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</si>
  <si>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</si>
  <si>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</si>
  <si>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</si>
  <si>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</si>
  <si>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</si>
  <si>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</si>
  <si>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</si>
  <si>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</si>
  <si>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</si>
  <si>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</si>
  <si>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</si>
  <si>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</si>
  <si>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</si>
  <si>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</si>
  <si>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</si>
  <si>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</si>
  <si>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</si>
  <si>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</si>
  <si>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</si>
  <si>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</si>
  <si>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</si>
  <si>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</si>
  <si>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</si>
  <si>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</si>
  <si>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</si>
  <si>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</si>
  <si>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</si>
  <si>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</si>
  <si>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</si>
  <si>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</si>
  <si>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</si>
  <si>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</si>
  <si>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</si>
  <si>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</si>
  <si>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</si>
  <si>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</si>
  <si>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</si>
  <si>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</si>
  <si>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</si>
  <si>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</si>
  <si>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</si>
  <si>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</si>
  <si>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</si>
  <si>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</si>
  <si>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</si>
  <si>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</si>
  <si>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</si>
  <si>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</si>
  <si>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</si>
  <si>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</si>
  <si>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</si>
  <si>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</si>
  <si>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</si>
  <si>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</si>
  <si>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</si>
  <si>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</si>
  <si>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</si>
  <si>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</si>
  <si>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</si>
  <si>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</si>
  <si>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</si>
  <si>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</si>
  <si>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</si>
  <si>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</si>
  <si>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</si>
  <si>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</si>
  <si>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</si>
  <si>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</si>
  <si>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</si>
  <si>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</si>
  <si>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</si>
  <si>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</si>
  <si>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</si>
  <si>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</si>
  <si>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</si>
  <si>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</si>
  <si>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</si>
  <si>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</si>
  <si>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</si>
  <si>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</si>
  <si>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</si>
  <si>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</si>
  <si>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</si>
  <si>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</si>
  <si>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</si>
  <si>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</si>
  <si>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</si>
  <si>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</si>
  <si>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</si>
  <si>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</si>
  <si>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</si>
  <si>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</si>
  <si>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</si>
  <si>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</si>
  <si>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</si>
  <si>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</si>
  <si>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</si>
  <si>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</si>
  <si>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</si>
  <si>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</si>
  <si>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</si>
  <si>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</si>
  <si>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</si>
  <si>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</si>
  <si>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</si>
  <si>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</si>
  <si>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</si>
  <si>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</si>
  <si>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</si>
  <si>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</si>
  <si>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</si>
  <si>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</si>
  <si>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</si>
  <si>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</si>
  <si>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</si>
  <si>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</si>
  <si>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</si>
  <si>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</si>
  <si>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</si>
  <si>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</si>
  <si>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</si>
  <si>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</si>
  <si>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</si>
  <si>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</si>
  <si>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</si>
  <si>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</si>
  <si>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</si>
  <si>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</si>
  <si>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</si>
  <si>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</si>
  <si>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</si>
  <si>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</si>
  <si>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</si>
  <si>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</si>
  <si>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</si>
  <si>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</si>
  <si>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</si>
  <si>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</si>
  <si>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</si>
  <si>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</si>
  <si>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</si>
  <si>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</si>
  <si>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</si>
  <si>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</si>
  <si>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</si>
  <si>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</si>
  <si>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</si>
  <si>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</si>
  <si>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</si>
  <si>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</si>
  <si>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</si>
  <si>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</si>
  <si>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</si>
  <si>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</si>
  <si>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</si>
  <si>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</si>
  <si>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</si>
  <si>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</si>
  <si>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</si>
  <si>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</si>
  <si>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</si>
  <si>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</si>
  <si>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</si>
  <si>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</si>
  <si>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</si>
  <si>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</si>
  <si>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</si>
  <si>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</si>
  <si>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</si>
  <si>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</si>
  <si>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</si>
  <si>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</si>
  <si>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</si>
  <si>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</si>
  <si>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</si>
  <si>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</si>
  <si>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</si>
  <si>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</si>
  <si>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</si>
  <si>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</si>
  <si>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</si>
  <si>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</si>
  <si>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</si>
  <si>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</si>
  <si>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</si>
  <si>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</si>
  <si>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</si>
  <si>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</si>
  <si>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</si>
  <si>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</si>
  <si>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</si>
  <si>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</si>
  <si>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</si>
  <si>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</si>
  <si>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</si>
  <si>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</si>
  <si>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</si>
  <si>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</si>
  <si>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</si>
  <si>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</si>
  <si>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</si>
  <si>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</si>
  <si>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</si>
  <si>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</si>
  <si>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</si>
  <si>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</si>
  <si>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</si>
  <si>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</si>
  <si>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</si>
  <si>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</si>
  <si>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</si>
  <si>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</si>
  <si>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</si>
  <si>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</si>
  <si>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</si>
  <si>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</si>
  <si>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</si>
  <si>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</si>
  <si>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</si>
  <si>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</si>
  <si>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</si>
  <si>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</si>
  <si>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</si>
  <si>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</si>
  <si>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</si>
  <si>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</si>
  <si>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</si>
  <si>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</si>
  <si>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</si>
  <si>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</si>
  <si>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</si>
  <si>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</si>
  <si>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</si>
  <si>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</si>
  <si>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</si>
  <si>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</si>
  <si>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</si>
  <si>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</si>
  <si>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</si>
  <si>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</si>
  <si>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</si>
  <si>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</si>
  <si>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</si>
  <si>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</si>
  <si>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</si>
  <si>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</si>
  <si>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</si>
  <si>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</si>
  <si>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</si>
  <si>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</si>
  <si>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</si>
  <si>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</si>
  <si>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</si>
  <si>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</si>
  <si>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</si>
  <si>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</si>
  <si>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</si>
  <si>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</si>
  <si>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</si>
  <si>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</si>
  <si>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</si>
  <si>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</si>
  <si>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</si>
  <si>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</si>
  <si>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</si>
  <si>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</si>
  <si>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</si>
  <si>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</si>
  <si>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</si>
  <si>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</si>
  <si>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</si>
  <si>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</si>
  <si>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</si>
  <si>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</si>
  <si>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</si>
  <si>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</si>
  <si>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</si>
  <si>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</si>
  <si>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</si>
  <si>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</si>
  <si>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</si>
  <si>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</si>
  <si>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</si>
  <si>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</si>
  <si>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</si>
  <si>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</si>
  <si>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</si>
  <si>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</si>
  <si>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</si>
  <si>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</si>
  <si>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</si>
  <si>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</si>
  <si>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</si>
  <si>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</si>
  <si>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</si>
  <si>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</si>
  <si>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</si>
  <si>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</si>
  <si>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</si>
  <si>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</si>
  <si>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</si>
  <si>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</si>
  <si>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</si>
  <si>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</si>
  <si>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</si>
  <si>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</si>
  <si>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</si>
  <si>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</si>
  <si>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</si>
  <si>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</si>
  <si>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</si>
  <si>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</si>
  <si>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</si>
  <si>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</si>
  <si>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</si>
  <si>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</si>
  <si>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</si>
  <si>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</si>
  <si>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</si>
  <si>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</si>
  <si>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</si>
  <si>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</si>
  <si>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</si>
  <si>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</si>
  <si>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</si>
  <si>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</si>
  <si>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</si>
  <si>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</si>
  <si>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</si>
  <si>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</si>
  <si>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</si>
  <si>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</si>
  <si>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</si>
  <si>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</si>
  <si>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</si>
  <si>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</si>
  <si>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</si>
  <si>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</si>
  <si>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</si>
  <si>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</si>
  <si>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</si>
  <si>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</si>
  <si>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</si>
  <si>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</si>
  <si>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</si>
  <si>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</si>
  <si>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</si>
  <si>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</si>
  <si>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</si>
  <si>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</si>
  <si>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</si>
  <si>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</si>
  <si>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</si>
  <si>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</si>
  <si>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</si>
  <si>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</si>
  <si>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</si>
  <si>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</si>
  <si>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</si>
  <si>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</si>
  <si>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</si>
  <si>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</si>
  <si>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</si>
  <si>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</si>
  <si>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</si>
  <si>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</si>
  <si>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</si>
  <si>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</si>
  <si>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</si>
  <si>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</si>
  <si>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</si>
  <si>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</si>
  <si>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</si>
  <si>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</si>
  <si>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</si>
  <si>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</si>
  <si>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</si>
  <si>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</si>
  <si>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</si>
  <si>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</si>
  <si>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</si>
  <si>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</si>
  <si>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</si>
  <si>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</si>
  <si>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</si>
  <si>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</si>
  <si>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</si>
  <si>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</si>
  <si>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</si>
  <si>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</si>
  <si>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</si>
  <si>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</si>
  <si>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</si>
  <si>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</si>
  <si>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</si>
  <si>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</si>
  <si>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</si>
  <si>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</si>
  <si>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</si>
  <si>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</si>
  <si>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</si>
  <si>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</si>
  <si>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</si>
  <si>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</si>
  <si>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</si>
  <si>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</si>
  <si>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</si>
  <si>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</si>
  <si>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</si>
  <si>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</si>
  <si>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</si>
  <si>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</si>
  <si>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</si>
  <si>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</si>
  <si>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</si>
  <si>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</si>
  <si>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</si>
  <si>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</si>
  <si>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</si>
  <si>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</si>
  <si>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</si>
  <si>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</si>
  <si>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</si>
  <si>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</si>
  <si>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</si>
  <si>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</si>
  <si>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</si>
  <si>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</si>
  <si>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</si>
  <si>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</si>
  <si>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</si>
  <si>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</si>
  <si>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</si>
  <si>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</si>
  <si>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</si>
  <si>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</si>
  <si>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</si>
  <si>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</si>
  <si>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</si>
  <si>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</si>
  <si>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</si>
  <si>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</si>
  <si>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</si>
  <si>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</si>
  <si>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</si>
  <si>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</si>
  <si>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</si>
  <si>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</si>
  <si>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</si>
  <si>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</si>
  <si>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</si>
  <si>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</si>
  <si>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</si>
  <si>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</si>
  <si>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</si>
  <si>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</si>
  <si>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</si>
  <si>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</si>
  <si>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</si>
  <si>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</si>
  <si>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</si>
  <si>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</si>
  <si>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</si>
  <si>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</si>
  <si>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</si>
  <si>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</si>
  <si>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</si>
  <si>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</si>
  <si>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</si>
  <si>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</si>
  <si>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</si>
  <si>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</si>
  <si>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</si>
  <si>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</si>
  <si>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</si>
  <si>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</si>
  <si>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</si>
  <si>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</si>
  <si>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</si>
  <si>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</si>
  <si>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</si>
  <si>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</si>
  <si>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</si>
  <si>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</si>
  <si>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</si>
  <si>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</si>
  <si>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</si>
  <si>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</si>
  <si>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</si>
  <si>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</si>
  <si>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</si>
  <si>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</si>
  <si>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</si>
  <si>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</si>
  <si>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</si>
  <si>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</si>
  <si>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</si>
  <si>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</si>
  <si>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</si>
  <si>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</si>
  <si>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</si>
  <si>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</si>
  <si>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</si>
  <si>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</si>
  <si>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</si>
  <si>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</si>
  <si>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</si>
  <si>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</si>
  <si>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</si>
  <si>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</si>
  <si>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</si>
  <si>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</si>
  <si>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</si>
  <si>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</si>
  <si>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</si>
  <si>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</si>
  <si>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</si>
  <si>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</si>
  <si>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</si>
  <si>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</si>
  <si>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</si>
  <si>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</si>
  <si>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</si>
  <si>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</si>
  <si>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</si>
  <si>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</si>
  <si>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</si>
  <si>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</si>
  <si>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</si>
  <si>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</si>
  <si>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</si>
  <si>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</si>
  <si>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</si>
  <si>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</si>
  <si>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</si>
  <si>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</si>
  <si>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</si>
  <si>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</si>
  <si>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</si>
  <si>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</si>
  <si>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</si>
  <si>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</si>
  <si>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</si>
  <si>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</si>
  <si>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</si>
  <si>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</si>
  <si>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</si>
  <si>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</si>
  <si>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</si>
  <si>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</si>
  <si>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</si>
  <si>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</si>
  <si>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</si>
  <si>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</si>
  <si>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</si>
  <si>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</si>
  <si>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</si>
  <si>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</si>
  <si>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</si>
  <si>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</si>
  <si>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</si>
  <si>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</si>
  <si>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</si>
  <si>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</si>
  <si>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</si>
  <si>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</si>
  <si>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</si>
  <si>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</si>
  <si>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</si>
  <si>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</si>
  <si>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</si>
  <si>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</si>
  <si>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</si>
  <si>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</si>
  <si>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</si>
  <si>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</si>
  <si>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</si>
  <si>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</si>
  <si>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</si>
  <si>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</si>
  <si>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</si>
  <si>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</si>
  <si>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</si>
  <si>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</si>
  <si>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</si>
  <si>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</si>
  <si>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</si>
  <si>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</si>
  <si>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</si>
  <si>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</si>
  <si>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</si>
  <si>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</si>
  <si>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</si>
  <si>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</si>
  <si>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</si>
  <si>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</si>
  <si>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</si>
  <si>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</si>
  <si>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</si>
  <si>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</si>
  <si>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</si>
  <si>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</si>
  <si>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</si>
  <si>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</si>
  <si>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</si>
  <si>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</si>
  <si>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</si>
  <si>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</si>
  <si>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</si>
  <si>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</si>
  <si>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</si>
  <si>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</si>
  <si>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</si>
  <si>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</si>
  <si>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</si>
  <si>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</si>
  <si>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</si>
  <si>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</si>
  <si>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</si>
  <si>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</si>
  <si>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</si>
  <si>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</si>
  <si>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</si>
  <si>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</si>
  <si>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</si>
  <si>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</si>
  <si>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</si>
  <si>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</si>
  <si>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</si>
  <si>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</si>
  <si>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</si>
  <si>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</si>
  <si>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</si>
  <si>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</si>
  <si>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</si>
  <si>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</si>
  <si>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</si>
  <si>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</si>
  <si>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</si>
  <si>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</si>
  <si>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</si>
  <si>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</si>
  <si>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</si>
  <si>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</si>
  <si>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</si>
  <si>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</si>
  <si>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</si>
  <si>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</si>
  <si>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</si>
  <si>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</si>
  <si>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</si>
  <si>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</si>
  <si>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</si>
  <si>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</si>
  <si>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</si>
  <si>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</si>
  <si>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</si>
  <si>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</si>
  <si>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</si>
  <si>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</si>
  <si>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</si>
  <si>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</si>
  <si>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</si>
  <si>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</si>
  <si>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</si>
  <si>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</si>
  <si>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</si>
  <si>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</si>
  <si>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</si>
  <si>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</si>
  <si>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</si>
  <si>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</si>
  <si>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</si>
  <si>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</si>
  <si>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</si>
  <si>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</si>
  <si>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</si>
  <si>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</si>
  <si>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</si>
  <si>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</si>
  <si>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</si>
  <si>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</si>
  <si>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</si>
  <si>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</si>
  <si>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</si>
  <si>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</si>
  <si>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</si>
  <si>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</si>
  <si>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</si>
  <si>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</si>
  <si>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</si>
  <si>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</si>
  <si>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</si>
  <si>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</si>
  <si>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</si>
  <si>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</si>
  <si>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</si>
  <si>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</si>
  <si>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</si>
  <si>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</si>
  <si>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</si>
  <si>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</si>
  <si>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</si>
  <si>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</si>
  <si>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</si>
  <si>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</si>
  <si>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</si>
  <si>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</si>
  <si>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</si>
  <si>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</si>
  <si>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</si>
  <si>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</si>
  <si>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</si>
  <si>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</si>
  <si>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</si>
  <si>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</si>
  <si>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</si>
  <si>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</si>
  <si>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</si>
  <si>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</si>
  <si>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</si>
  <si>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</si>
  <si>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</si>
  <si>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</si>
  <si>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</si>
  <si>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</si>
  <si>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</si>
  <si>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</si>
  <si>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</si>
  <si>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</si>
  <si>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</si>
  <si>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</si>
  <si>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</si>
  <si>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</si>
  <si>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</si>
  <si>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</si>
  <si>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</si>
  <si>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</si>
  <si>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</si>
  <si>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</si>
  <si>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</si>
  <si>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</si>
  <si>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</si>
  <si>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</si>
  <si>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</si>
  <si>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</si>
  <si>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</si>
  <si>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</si>
  <si>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</si>
  <si>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</si>
  <si>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</si>
  <si>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</si>
  <si>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</si>
  <si>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</si>
  <si>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</si>
  <si>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</si>
  <si>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</si>
  <si>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</si>
  <si>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</si>
  <si>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</si>
  <si>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</si>
  <si>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</si>
  <si>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</si>
  <si>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</si>
  <si>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</si>
  <si>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</si>
  <si>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</si>
  <si>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</si>
  <si>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</si>
  <si>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</si>
  <si>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</si>
  <si>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</si>
  <si>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</si>
  <si>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</si>
  <si>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</si>
  <si>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</si>
  <si>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</si>
  <si>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</si>
  <si>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</si>
  <si>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</si>
  <si>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</si>
  <si>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</si>
  <si>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</si>
  <si>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</si>
  <si>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</si>
  <si>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</si>
  <si>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</si>
  <si>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</si>
  <si>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</si>
  <si>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</si>
  <si>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</si>
  <si>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</si>
  <si>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</si>
  <si>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</si>
  <si>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</si>
  <si>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</si>
  <si>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</si>
  <si>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</si>
  <si>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</si>
  <si>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</si>
  <si>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</si>
  <si>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</si>
  <si>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</si>
  <si>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</si>
  <si>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</si>
  <si>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</si>
  <si>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</si>
  <si>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</si>
  <si>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</si>
  <si>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</si>
  <si>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</si>
  <si>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</si>
  <si>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</si>
  <si>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</si>
  <si>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</si>
  <si>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</si>
  <si>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</si>
  <si>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</si>
  <si>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</si>
  <si>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</si>
  <si>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</si>
  <si>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</si>
  <si>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</si>
  <si>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</si>
  <si>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</si>
  <si>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</si>
  <si>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</si>
  <si>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</si>
  <si>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</si>
  <si>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</si>
  <si>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</si>
  <si>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</si>
  <si>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</si>
  <si>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</si>
  <si>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</si>
  <si>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</si>
  <si>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</si>
  <si>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</si>
  <si>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</si>
  <si>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</si>
  <si>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</si>
  <si>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</si>
  <si>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</si>
  <si>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</si>
  <si>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</si>
  <si>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</si>
  <si>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</si>
  <si>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</si>
  <si>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</si>
  <si>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</si>
  <si>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</si>
  <si>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</si>
  <si>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</si>
  <si>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</si>
  <si>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</si>
  <si>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</si>
  <si>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</si>
  <si>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</si>
  <si>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</si>
  <si>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</si>
  <si>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</si>
  <si>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</si>
  <si>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</si>
  <si>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</si>
  <si>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</si>
  <si>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</si>
  <si>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</si>
  <si>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</si>
  <si>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</si>
  <si>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</si>
  <si>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</si>
  <si>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</si>
  <si>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</si>
  <si>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</si>
  <si>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</si>
  <si>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</si>
  <si>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</si>
  <si>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</si>
  <si>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</si>
  <si>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</si>
  <si>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</si>
  <si>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</si>
  <si>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</si>
  <si>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</si>
  <si>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</si>
  <si>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</si>
  <si>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</si>
  <si>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</si>
  <si>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</si>
  <si>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</si>
  <si>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</si>
  <si>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</si>
  <si>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</si>
  <si>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</si>
  <si>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</si>
  <si>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</si>
  <si>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</si>
  <si>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</si>
  <si>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</si>
  <si>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</si>
  <si>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</si>
  <si>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</si>
  <si>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</si>
  <si>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</si>
  <si>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</si>
  <si>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</si>
  <si>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</si>
  <si>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</si>
  <si>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</si>
  <si>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</si>
  <si>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</si>
  <si>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</si>
  <si>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</si>
  <si>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</si>
  <si>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</si>
  <si>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</si>
  <si>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</si>
  <si>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</si>
  <si>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</si>
  <si>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</si>
  <si>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</si>
  <si>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</si>
  <si>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</si>
  <si>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</si>
  <si>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</si>
  <si>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</si>
  <si>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</si>
  <si>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</si>
  <si>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</si>
  <si>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</si>
  <si>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</si>
  <si>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</si>
  <si>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</si>
  <si>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</si>
  <si>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</si>
  <si>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</si>
  <si>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</si>
  <si>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</si>
  <si>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</si>
  <si>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</si>
  <si>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</si>
  <si>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</si>
  <si>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</si>
  <si>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</si>
  <si>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</si>
  <si>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</si>
  <si>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</si>
  <si>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</si>
  <si>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</si>
  <si>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</si>
  <si>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</si>
  <si>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</si>
  <si>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</si>
  <si>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</si>
  <si>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</si>
  <si>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</si>
  <si>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</si>
  <si>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</si>
  <si>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</si>
  <si>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</si>
  <si>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</si>
  <si>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</si>
  <si>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</si>
  <si>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</si>
  <si>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</si>
  <si>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</si>
  <si>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</si>
  <si>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</si>
  <si>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</si>
  <si>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</si>
  <si>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</si>
  <si>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</si>
  <si>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</si>
  <si>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</si>
  <si>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</si>
  <si>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</si>
  <si>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</si>
  <si>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</si>
  <si>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</si>
  <si>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</si>
  <si>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</si>
  <si>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</si>
  <si>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</si>
  <si>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</si>
  <si>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</si>
  <si>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</si>
  <si>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</si>
  <si>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</si>
  <si>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</si>
  <si>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</si>
  <si>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</si>
  <si>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</si>
  <si>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</si>
  <si>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</si>
  <si>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</si>
  <si>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</si>
  <si>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</si>
  <si>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</si>
  <si>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</si>
  <si>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</si>
  <si>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</si>
  <si>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</si>
  <si>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</si>
  <si>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</si>
  <si>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</si>
  <si>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</si>
  <si>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</si>
  <si>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</si>
  <si>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</si>
  <si>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</si>
  <si>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</si>
  <si>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</si>
  <si>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</si>
  <si>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</si>
  <si>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</si>
  <si>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</si>
  <si>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</si>
  <si>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</si>
  <si>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</si>
  <si>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</si>
  <si>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</si>
  <si>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</si>
  <si>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</si>
  <si>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</si>
  <si>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</si>
  <si>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</si>
  <si>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</si>
  <si>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</si>
  <si>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</si>
  <si>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</si>
  <si>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</si>
  <si>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</si>
  <si>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</si>
  <si>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</si>
  <si>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</si>
  <si>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</si>
  <si>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</si>
  <si>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</si>
  <si>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</si>
  <si>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</si>
  <si>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</si>
  <si>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</si>
  <si>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</si>
  <si>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</si>
  <si>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</si>
  <si>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</si>
  <si>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</si>
  <si>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</si>
  <si>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</si>
  <si>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</si>
  <si>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</si>
  <si>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</si>
  <si>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</si>
  <si>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</si>
  <si>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</si>
  <si>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</si>
  <si>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</si>
  <si>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</si>
  <si>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</si>
  <si>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</si>
  <si>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</si>
  <si>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</si>
  <si>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</si>
  <si>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</si>
  <si>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</si>
  <si>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</si>
  <si>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</si>
  <si>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</si>
  <si>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</si>
  <si>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</si>
  <si>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</si>
  <si>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</si>
  <si>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</si>
  <si>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</si>
  <si>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</si>
  <si>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</si>
  <si>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</si>
  <si>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</si>
  <si>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</si>
  <si>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</si>
  <si>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</si>
  <si>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</si>
  <si>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</si>
  <si>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</si>
  <si>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</si>
  <si>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</si>
  <si>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</si>
  <si>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</si>
  <si>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</si>
  <si>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</si>
  <si>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</si>
  <si>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</si>
  <si>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</si>
  <si>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</si>
  <si>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</si>
  <si>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</si>
  <si>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</si>
  <si>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</si>
  <si>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</si>
  <si>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</si>
  <si>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</si>
  <si>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</si>
  <si>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</si>
  <si>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</si>
  <si>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</si>
  <si>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</si>
  <si>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</si>
  <si>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</si>
  <si>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</si>
  <si>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</si>
  <si>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</si>
  <si>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</si>
  <si>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</si>
  <si>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</si>
  <si>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</si>
  <si>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</si>
  <si>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</si>
  <si>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</si>
  <si>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</si>
  <si>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</si>
  <si>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</si>
  <si>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</si>
  <si>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</si>
  <si>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</si>
  <si>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</si>
  <si>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</si>
  <si>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</si>
  <si>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</si>
  <si>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</si>
  <si>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</si>
  <si>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</si>
  <si>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</si>
  <si>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</si>
  <si>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</si>
  <si>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</si>
  <si>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</si>
  <si>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</si>
  <si>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</si>
  <si>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</si>
  <si>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</si>
  <si>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</si>
  <si>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</si>
  <si>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</si>
  <si>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</si>
  <si>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</si>
  <si>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</si>
  <si>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</si>
  <si>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</si>
  <si>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</si>
  <si>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</si>
  <si>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</si>
  <si>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</si>
  <si>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</si>
  <si>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</si>
  <si>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</si>
  <si>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</si>
  <si>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</si>
  <si>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</si>
  <si>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</si>
  <si>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</si>
  <si>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</si>
  <si>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</si>
  <si>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</si>
  <si>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</si>
  <si>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</si>
  <si>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</si>
  <si>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</si>
  <si>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</si>
  <si>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</si>
  <si>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</si>
  <si>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</si>
  <si>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</si>
  <si>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</si>
  <si>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</si>
  <si>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</si>
  <si>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</si>
  <si>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</si>
  <si>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</si>
  <si>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</si>
  <si>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</si>
  <si>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</si>
  <si>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</si>
  <si>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</si>
  <si>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</si>
  <si>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</si>
  <si>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</si>
  <si>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</si>
  <si>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</si>
  <si>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</si>
  <si>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</si>
  <si>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</si>
  <si>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</si>
  <si>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</si>
  <si>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</si>
  <si>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</si>
  <si>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</si>
  <si>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</si>
  <si>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</si>
  <si>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</si>
  <si>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</si>
  <si>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</si>
  <si>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</si>
  <si>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</si>
  <si>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</si>
  <si>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</si>
  <si>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</si>
  <si>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</si>
  <si>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</si>
  <si>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</si>
  <si>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</si>
  <si>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</si>
  <si>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</si>
  <si>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</si>
  <si>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</si>
  <si>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</si>
  <si>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</si>
  <si>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</si>
  <si>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</si>
  <si>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</si>
  <si>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</si>
  <si>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</si>
  <si>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</si>
  <si>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</si>
  <si>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</si>
  <si>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</si>
  <si>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</si>
  <si>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</si>
  <si>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</si>
  <si>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</si>
  <si>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</si>
  <si>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</si>
  <si>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</si>
  <si>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</si>
  <si>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</si>
  <si>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</si>
  <si>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</si>
  <si>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</si>
  <si>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</si>
  <si>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</si>
  <si>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</si>
  <si>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</si>
  <si>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</si>
  <si>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</si>
  <si>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</si>
  <si>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</si>
  <si>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</si>
  <si>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</si>
  <si>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</si>
  <si>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</si>
  <si>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</si>
  <si>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</si>
  <si>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</si>
  <si>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</si>
  <si>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</si>
  <si>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</si>
  <si>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</si>
  <si>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</si>
  <si>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</si>
  <si>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</si>
  <si>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</si>
  <si>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</si>
  <si>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</si>
  <si>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</si>
  <si>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</si>
  <si>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</si>
  <si>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</si>
  <si>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</si>
  <si>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</si>
  <si>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</si>
  <si>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</si>
  <si>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</si>
  <si>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</si>
  <si>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</si>
  <si>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</si>
  <si>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</si>
  <si>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</si>
  <si>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</si>
  <si>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</si>
  <si>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</si>
  <si>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</si>
  <si>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</si>
  <si>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</si>
  <si>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</si>
  <si>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</si>
  <si>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</si>
  <si>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</si>
  <si>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</si>
  <si>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</si>
  <si>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</si>
  <si>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</si>
  <si>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</si>
  <si>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</si>
  <si>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</si>
  <si>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</si>
  <si>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</si>
  <si>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</si>
  <si>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</si>
  <si>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</si>
  <si>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</si>
  <si>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</si>
  <si>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</si>
  <si>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</si>
  <si>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</si>
  <si>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</si>
  <si>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</si>
  <si>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</si>
  <si>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</si>
  <si>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</si>
  <si>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</si>
  <si>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</si>
  <si>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</si>
  <si>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</si>
  <si>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</si>
  <si>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</si>
  <si>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</si>
  <si>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</si>
  <si>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</si>
  <si>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</si>
  <si>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</si>
  <si>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</si>
  <si>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</si>
  <si>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</si>
  <si>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</si>
  <si>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</si>
  <si>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</si>
  <si>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</si>
  <si>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</si>
  <si>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</si>
  <si>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</si>
  <si>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</si>
  <si>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</si>
  <si>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</si>
  <si>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</si>
  <si>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</si>
  <si>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</si>
  <si>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</si>
  <si>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</si>
  <si>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</si>
  <si>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</si>
  <si>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</si>
  <si>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</si>
  <si>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</si>
  <si>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</si>
  <si>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</si>
  <si>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</si>
  <si>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</si>
  <si>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</si>
  <si>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</si>
  <si>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</si>
  <si>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</si>
  <si>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</si>
  <si>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</si>
  <si>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</si>
  <si>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</si>
  <si>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</si>
  <si>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</si>
  <si>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</si>
  <si>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</si>
  <si>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</si>
  <si>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</si>
  <si>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</si>
  <si>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</si>
  <si>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</si>
  <si>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</si>
  <si>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</si>
  <si>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</si>
  <si>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</si>
  <si>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</si>
  <si>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</si>
  <si>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</si>
  <si>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</si>
  <si>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</si>
  <si>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</si>
  <si>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</si>
  <si>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</si>
  <si>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</si>
  <si>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</si>
  <si>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</si>
  <si>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</si>
  <si>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</si>
  <si>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</si>
  <si>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</si>
  <si>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</si>
  <si>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</si>
  <si>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</si>
  <si>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</si>
  <si>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</si>
  <si>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</si>
  <si>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</si>
  <si>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</si>
  <si>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</si>
  <si>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</si>
  <si>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</si>
  <si>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</si>
  <si>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</si>
  <si>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</si>
  <si>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</si>
  <si>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</si>
  <si>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</si>
  <si>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</si>
  <si>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</si>
  <si>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</si>
  <si>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</si>
  <si>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</si>
  <si>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</si>
  <si>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</si>
  <si>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</si>
  <si>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</si>
  <si>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</si>
  <si>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</si>
  <si>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</si>
  <si>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</si>
  <si>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</si>
  <si>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</si>
  <si>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</si>
  <si>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</si>
  <si>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</si>
  <si>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</si>
  <si>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</si>
  <si>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</si>
  <si>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</si>
  <si>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</si>
  <si>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</si>
  <si>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</si>
  <si>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</si>
  <si>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</si>
  <si>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</si>
  <si>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</si>
  <si>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</si>
  <si>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</si>
  <si>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</si>
  <si>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</si>
  <si>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</si>
  <si>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</si>
  <si>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</si>
  <si>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</si>
  <si>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</si>
  <si>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</si>
  <si>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</si>
  <si>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</si>
  <si>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</si>
  <si>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</si>
  <si>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</si>
  <si>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</si>
  <si>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</si>
  <si>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</si>
  <si>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</si>
  <si>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</si>
  <si>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</si>
  <si>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</si>
  <si>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</si>
  <si>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</si>
  <si>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</si>
  <si>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</si>
  <si>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</si>
  <si>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</si>
  <si>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</si>
  <si>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</si>
  <si>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</si>
  <si>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</si>
  <si>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</si>
  <si>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</si>
  <si>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</si>
  <si>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</si>
  <si>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</si>
  <si>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</si>
  <si>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</si>
  <si>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</si>
  <si>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</si>
  <si>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</si>
  <si>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</si>
  <si>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</si>
  <si>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</si>
  <si>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</si>
  <si>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</si>
  <si>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</si>
  <si>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</si>
  <si>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</si>
  <si>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</si>
  <si>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</si>
  <si>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</si>
  <si>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</si>
  <si>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</si>
  <si>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</si>
  <si>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</si>
  <si>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</si>
  <si>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</si>
  <si>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</si>
  <si>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</si>
  <si>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</si>
  <si>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</si>
  <si>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</si>
  <si>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</si>
  <si>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</si>
  <si>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</si>
  <si>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</si>
  <si>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</si>
  <si>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</si>
  <si>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</si>
  <si>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</si>
  <si>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</si>
  <si>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</si>
  <si>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</si>
  <si>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</si>
  <si>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</si>
  <si>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</si>
  <si>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</si>
  <si>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</si>
  <si>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</si>
  <si>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</si>
  <si>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</si>
  <si>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</si>
  <si>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</si>
  <si>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</si>
  <si>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</si>
  <si>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</si>
  <si>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</si>
  <si>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</si>
  <si>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</si>
  <si>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</si>
  <si>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</si>
  <si>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</si>
  <si>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</si>
  <si>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</si>
  <si>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</si>
  <si>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</si>
  <si>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</si>
  <si>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</si>
  <si>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</si>
  <si>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</si>
  <si>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</si>
  <si>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</si>
  <si>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</si>
  <si>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</si>
  <si>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</si>
  <si>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</si>
  <si>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</si>
  <si>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</si>
  <si>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</si>
  <si>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</si>
  <si>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</si>
  <si>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</si>
  <si>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</si>
  <si>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</si>
  <si>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</si>
  <si>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</si>
  <si>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</si>
  <si>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</si>
  <si>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</si>
  <si>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</si>
  <si>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</si>
  <si>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</si>
  <si>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</si>
  <si>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</si>
  <si>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</si>
  <si>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</si>
  <si>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</si>
  <si>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</si>
  <si>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</si>
  <si>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</si>
  <si>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</si>
  <si>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</si>
  <si>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</si>
  <si>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</si>
  <si>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</si>
  <si>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</si>
  <si>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</si>
  <si>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</si>
  <si>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</si>
  <si>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</si>
  <si>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</si>
  <si>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</si>
  <si>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</si>
  <si>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</si>
  <si>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</si>
  <si>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</si>
  <si>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</si>
  <si>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</si>
  <si>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</si>
  <si>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</si>
  <si>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</si>
  <si>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</si>
  <si>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</si>
  <si>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</si>
  <si>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</si>
  <si>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</si>
  <si>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</si>
  <si>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</si>
  <si>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</si>
  <si>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</si>
  <si>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</si>
  <si>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</si>
  <si>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</si>
  <si>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</si>
  <si>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</si>
  <si>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</si>
  <si>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</si>
  <si>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</si>
  <si>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</si>
  <si>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</si>
  <si>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</si>
  <si>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</si>
  <si>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</si>
  <si>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</si>
  <si>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</si>
  <si>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</si>
  <si>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</si>
  <si>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</si>
  <si>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</si>
  <si>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</si>
  <si>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</si>
  <si>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</si>
  <si>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</si>
  <si>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</si>
  <si>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</si>
  <si>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</si>
  <si>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</si>
  <si>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</si>
  <si>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</si>
  <si>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</si>
  <si>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</si>
  <si>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</si>
  <si>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</si>
  <si>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</si>
  <si>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</si>
  <si>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</si>
  <si>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</si>
  <si>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</si>
  <si>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</si>
  <si>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</si>
  <si>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</si>
  <si>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</si>
  <si>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</si>
  <si>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</si>
  <si>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</si>
  <si>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</si>
  <si>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</si>
  <si>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</si>
  <si>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</si>
  <si>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</si>
  <si>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</si>
  <si>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</si>
  <si>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</si>
  <si>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</si>
  <si>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</si>
  <si>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</si>
  <si>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</si>
  <si>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</si>
  <si>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</si>
  <si>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</si>
  <si>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</si>
  <si>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</si>
  <si>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</si>
  <si>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</si>
  <si>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</si>
  <si>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</si>
  <si>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</si>
  <si>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</si>
  <si>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</si>
  <si>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</si>
  <si>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</si>
  <si>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</si>
  <si>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</si>
  <si>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</si>
  <si>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</si>
  <si>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</si>
  <si>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</si>
  <si>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</si>
  <si>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</si>
  <si>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</si>
  <si>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</si>
  <si>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</si>
  <si>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</si>
  <si>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</si>
  <si>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</si>
  <si>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</si>
  <si>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</si>
  <si>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</si>
  <si>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</si>
  <si>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</si>
  <si>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</si>
  <si>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</si>
  <si>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</si>
  <si>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</si>
  <si>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</si>
  <si>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</si>
  <si>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</si>
  <si>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</si>
  <si>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</si>
  <si>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</si>
  <si>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</si>
  <si>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</si>
  <si>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</si>
  <si>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</si>
  <si>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</si>
  <si>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</si>
  <si>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</si>
  <si>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</si>
  <si>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</si>
  <si>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</si>
  <si>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</si>
  <si>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</si>
  <si>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</si>
  <si>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</si>
  <si>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</si>
  <si>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</si>
  <si>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</si>
  <si>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</si>
  <si>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</si>
  <si>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</si>
  <si>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</si>
  <si>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</si>
  <si>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</si>
  <si>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</si>
  <si>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</si>
  <si>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</si>
  <si>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</si>
  <si>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</si>
  <si>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</si>
  <si>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</si>
  <si>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</si>
  <si>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</si>
  <si>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</si>
  <si>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</si>
  <si>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</si>
  <si>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</si>
  <si>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</si>
  <si>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</si>
  <si>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</si>
  <si>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</si>
  <si>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</si>
  <si>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</si>
  <si>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</si>
  <si>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</si>
  <si>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</si>
  <si>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</si>
  <si>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</si>
  <si>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</si>
  <si>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</si>
  <si>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</si>
  <si>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</si>
  <si>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</si>
  <si>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</si>
  <si>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</si>
  <si>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</si>
  <si>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</si>
  <si>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</si>
  <si>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</si>
  <si>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</si>
  <si>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</si>
  <si>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</si>
  <si>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</si>
  <si>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</si>
  <si>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</si>
  <si>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</si>
  <si>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</si>
  <si>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</si>
  <si>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</si>
  <si>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</si>
  <si>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</si>
  <si>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</si>
  <si>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</si>
  <si>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</si>
  <si>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</si>
  <si>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</si>
  <si>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</si>
  <si>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</si>
  <si>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</si>
  <si>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</si>
  <si>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</si>
  <si>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</si>
  <si>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</si>
  <si>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</si>
  <si>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</si>
  <si>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</si>
  <si>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</si>
  <si>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</si>
  <si>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</si>
  <si>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</si>
  <si>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</si>
  <si>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</si>
  <si>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</si>
  <si>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</si>
  <si>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</si>
  <si>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</si>
  <si>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</si>
  <si>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</si>
  <si>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</si>
  <si>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</si>
  <si>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</si>
  <si>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</si>
  <si>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</si>
  <si>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</si>
  <si>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</si>
  <si>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</si>
  <si>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</si>
  <si>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</si>
  <si>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</si>
  <si>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</si>
  <si>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</si>
  <si>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</si>
  <si>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</si>
  <si>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</si>
  <si>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</si>
  <si>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</si>
  <si>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</si>
  <si>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</si>
  <si>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</si>
  <si>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</si>
  <si>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</si>
  <si>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</si>
  <si>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</si>
  <si>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</si>
  <si>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</si>
  <si>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</si>
  <si>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</si>
  <si>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</si>
  <si>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</si>
  <si>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</si>
  <si>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</si>
  <si>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</si>
  <si>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</si>
  <si>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</si>
  <si>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</si>
  <si>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</si>
  <si>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</si>
  <si>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</si>
  <si>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</si>
  <si>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</si>
  <si>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</si>
  <si>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</si>
  <si>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</si>
  <si>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</si>
  <si>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</si>
  <si>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</si>
  <si>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</si>
  <si>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</si>
  <si>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</si>
  <si>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</si>
  <si>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</si>
  <si>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</si>
  <si>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</si>
  <si>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</si>
  <si>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</si>
  <si>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</si>
  <si>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</si>
  <si>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</si>
  <si>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</si>
  <si>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</si>
  <si>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</si>
  <si>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</si>
  <si>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</si>
  <si>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</si>
  <si>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</si>
  <si>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</si>
  <si>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</si>
  <si>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</si>
  <si>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</si>
  <si>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</si>
  <si>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</si>
  <si>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</si>
  <si>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</si>
  <si>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</si>
  <si>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</si>
  <si>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</si>
  <si>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</si>
  <si>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</si>
  <si>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</si>
  <si>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</si>
  <si>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</si>
  <si>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</si>
  <si>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</si>
  <si>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</si>
  <si>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</si>
  <si>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</si>
  <si>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</si>
  <si>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</si>
  <si>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</si>
  <si>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</si>
  <si>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</si>
  <si>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</si>
  <si>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</si>
  <si>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</si>
  <si>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</si>
  <si>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</si>
  <si>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</si>
  <si>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</si>
  <si>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</si>
  <si>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</si>
  <si>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</si>
  <si>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</si>
  <si>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</si>
  <si>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</si>
  <si>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</si>
  <si>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</si>
  <si>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</si>
  <si>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</si>
  <si>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</si>
  <si>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</si>
  <si>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</si>
  <si>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</si>
  <si>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</si>
  <si>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</si>
  <si>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</si>
  <si>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</si>
  <si>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</si>
  <si>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</si>
  <si>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</si>
  <si>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</si>
  <si>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</si>
  <si>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</si>
  <si>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</si>
  <si>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</si>
  <si>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</si>
  <si>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</si>
  <si>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</si>
  <si>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</si>
  <si>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</si>
  <si>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</si>
  <si>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</si>
  <si>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</si>
  <si>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</si>
  <si>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</si>
  <si>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</si>
  <si>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</si>
  <si>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</si>
  <si>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</si>
  <si>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</si>
  <si>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</si>
  <si>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</si>
  <si>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</si>
  <si>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</si>
  <si>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</si>
  <si>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</si>
  <si>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</si>
  <si>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</si>
  <si>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</si>
  <si>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</si>
  <si>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</si>
  <si>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</si>
  <si>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</si>
  <si>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</si>
  <si>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</si>
  <si>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</si>
  <si>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</si>
  <si>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</si>
  <si>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</si>
  <si>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</si>
  <si>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</si>
  <si>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</si>
  <si>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</si>
  <si>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</si>
  <si>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</si>
  <si>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</si>
  <si>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</si>
  <si>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</si>
  <si>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</si>
  <si>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</si>
  <si>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</si>
  <si>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</si>
  <si>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</si>
  <si>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</si>
  <si>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</si>
  <si>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</si>
  <si>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</si>
  <si>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</si>
  <si>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</si>
  <si>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</si>
  <si>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</si>
  <si>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</si>
  <si>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</si>
  <si>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</si>
  <si>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</si>
  <si>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</si>
  <si>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</si>
  <si>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</si>
  <si>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</si>
  <si>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</si>
  <si>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</si>
  <si>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</si>
  <si>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</si>
  <si>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</si>
  <si>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</si>
  <si>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</si>
  <si>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</si>
  <si>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</si>
  <si>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</si>
  <si>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</si>
  <si>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</si>
  <si>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</si>
  <si>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</si>
  <si>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</si>
  <si>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</si>
  <si>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</si>
  <si>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</si>
  <si>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</si>
  <si>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</si>
  <si>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</si>
  <si>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</si>
  <si>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</si>
  <si>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</si>
  <si>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</si>
  <si>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</si>
  <si>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</si>
  <si>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</si>
  <si>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</si>
  <si>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</si>
  <si>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</si>
  <si>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</si>
  <si>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</si>
  <si>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</si>
  <si>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</si>
  <si>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</si>
  <si>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</si>
  <si>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</si>
  <si>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</si>
  <si>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</si>
  <si>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</si>
  <si>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</si>
  <si>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</si>
  <si>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</si>
  <si>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</si>
  <si>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</si>
  <si>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</si>
  <si>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</si>
  <si>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</si>
  <si>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</si>
  <si>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</si>
  <si>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</si>
  <si>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</si>
  <si>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</si>
  <si>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</si>
  <si>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</si>
  <si>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</si>
  <si>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</si>
  <si>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</si>
  <si>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</si>
  <si>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</si>
  <si>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</si>
  <si>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</si>
  <si>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</si>
  <si>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</si>
  <si>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</si>
  <si>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</si>
  <si>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</si>
  <si>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</si>
  <si>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</si>
  <si>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</si>
  <si>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</si>
  <si>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</si>
  <si>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</si>
  <si>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</si>
  <si>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</si>
  <si>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</si>
  <si>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</si>
  <si>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</si>
  <si>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</si>
  <si>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</si>
  <si>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</si>
  <si>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</si>
  <si>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</si>
  <si>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</si>
  <si>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</si>
  <si>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</si>
  <si>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</si>
  <si>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</si>
  <si>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</si>
  <si>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</si>
  <si>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</si>
  <si>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</si>
  <si>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</si>
  <si>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</si>
  <si>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</si>
  <si>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</si>
  <si>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</si>
  <si>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</si>
  <si>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</si>
  <si>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</si>
  <si>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</si>
  <si>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</si>
  <si>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</si>
  <si>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</si>
  <si>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</si>
  <si>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</si>
  <si>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</si>
  <si>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</si>
  <si>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</si>
  <si>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</si>
  <si>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</si>
  <si>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</si>
  <si>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</si>
  <si>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</si>
  <si>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</si>
  <si>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</si>
  <si>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</si>
  <si>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</si>
  <si>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</si>
  <si>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</si>
  <si>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</si>
  <si>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</si>
  <si>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</si>
  <si>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</si>
  <si>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</si>
  <si>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</si>
  <si>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</si>
  <si>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</si>
  <si>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</si>
  <si>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</si>
  <si>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</si>
  <si>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</si>
  <si>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</si>
  <si>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</si>
  <si>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</si>
  <si>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</si>
  <si>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</si>
  <si>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</si>
  <si>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</si>
  <si>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</si>
  <si>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</si>
  <si>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</si>
  <si>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</si>
  <si>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</si>
  <si>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</si>
  <si>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</si>
  <si>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</si>
  <si>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</si>
  <si>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</si>
  <si>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</si>
  <si>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</si>
  <si>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</si>
  <si>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</si>
  <si>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</si>
  <si>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</si>
  <si>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</si>
  <si>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</si>
  <si>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</si>
  <si>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</si>
  <si>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</si>
  <si>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</si>
  <si>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</si>
  <si>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</si>
  <si>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</si>
  <si>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</si>
  <si>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</si>
  <si>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</si>
  <si>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</si>
  <si>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</si>
  <si>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</si>
  <si>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</si>
  <si>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</si>
  <si>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</si>
  <si>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</si>
  <si>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</si>
  <si>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</si>
  <si>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</si>
  <si>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</si>
  <si>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</si>
  <si>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</si>
  <si>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</si>
  <si>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</si>
  <si>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</si>
  <si>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</si>
  <si>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</si>
  <si>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</si>
  <si>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</si>
  <si>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</si>
  <si>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</si>
  <si>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</si>
  <si>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</si>
  <si>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</si>
  <si>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</si>
  <si>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</si>
  <si>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</si>
  <si>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</si>
  <si>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</si>
  <si>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</si>
  <si>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</si>
  <si>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</si>
  <si>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</si>
  <si>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</si>
  <si>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</si>
  <si>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</si>
  <si>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</si>
  <si>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</si>
  <si>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</si>
  <si>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</si>
  <si>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</si>
  <si>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</si>
  <si>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</si>
  <si>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</si>
  <si>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</si>
  <si>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</si>
  <si>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</si>
  <si>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</si>
  <si>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</si>
  <si>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</si>
  <si>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</si>
  <si>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</si>
  <si>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</si>
  <si>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</si>
  <si>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</si>
  <si>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</si>
  <si>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</si>
  <si>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</si>
  <si>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</si>
  <si>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</si>
  <si>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</si>
  <si>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</si>
  <si>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</si>
  <si>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</si>
  <si>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</si>
  <si>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</si>
  <si>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</si>
  <si>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</si>
  <si>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</si>
  <si>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</si>
  <si>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</si>
  <si>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</si>
  <si>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</si>
  <si>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</si>
  <si>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</si>
  <si>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</si>
  <si>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</si>
  <si>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</si>
  <si>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</si>
  <si>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</si>
  <si>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</si>
  <si>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</si>
  <si>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</si>
  <si>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</si>
  <si>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</si>
  <si>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</si>
  <si>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</si>
  <si>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</si>
  <si>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</si>
  <si>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</si>
  <si>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</si>
  <si>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</si>
  <si>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</si>
  <si>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</si>
  <si>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</si>
  <si>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</si>
  <si>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</si>
  <si>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</si>
  <si>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</si>
  <si>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</si>
  <si>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</si>
  <si>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</si>
  <si>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</si>
  <si>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</si>
  <si>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</si>
  <si>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</si>
  <si>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</si>
  <si>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</si>
  <si>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</si>
  <si>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</si>
  <si>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</si>
  <si>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</si>
  <si>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</si>
  <si>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</si>
  <si>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</si>
  <si>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</si>
  <si>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</si>
  <si>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</si>
  <si>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</si>
  <si>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</si>
  <si>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</si>
  <si>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</si>
  <si>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</si>
  <si>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</si>
  <si>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</si>
  <si>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</si>
  <si>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</si>
  <si>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</si>
  <si>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</si>
  <si>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</si>
  <si>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</si>
  <si>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</si>
  <si>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</si>
  <si>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</si>
  <si>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</si>
  <si>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</si>
  <si>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</si>
  <si>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</si>
  <si>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</si>
  <si>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</si>
  <si>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</si>
  <si>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</si>
  <si>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</si>
  <si>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</si>
  <si>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</si>
  <si>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</si>
  <si>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</si>
  <si>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</si>
  <si>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</si>
  <si>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</si>
  <si>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</si>
  <si>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</si>
  <si>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</si>
  <si>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</si>
  <si>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</si>
  <si>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</si>
  <si>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</si>
  <si>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</si>
  <si>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</si>
  <si>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</si>
  <si>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</si>
  <si>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</si>
  <si>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</si>
  <si>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</si>
  <si>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</si>
  <si>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</si>
  <si>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</si>
  <si>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</si>
  <si>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</si>
  <si>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</si>
  <si>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</si>
  <si>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</si>
  <si>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</si>
  <si>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</si>
  <si>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</si>
  <si>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</si>
  <si>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</si>
  <si>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</si>
  <si>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</si>
  <si>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</si>
  <si>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</si>
  <si>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</si>
  <si>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</si>
  <si>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</si>
  <si>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</si>
  <si>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</si>
  <si>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</si>
  <si>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</si>
  <si>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</si>
  <si>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</si>
  <si>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</si>
  <si>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</si>
  <si>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</si>
  <si>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</si>
  <si>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</si>
  <si>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</si>
  <si>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</si>
  <si>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</si>
  <si>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</si>
  <si>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</si>
  <si>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</si>
  <si>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</si>
  <si>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</si>
  <si>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</si>
  <si>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</si>
  <si>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</si>
  <si>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</si>
  <si>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</si>
  <si>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</si>
  <si>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</si>
  <si>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</si>
  <si>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</si>
  <si>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</si>
  <si>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</si>
  <si>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</si>
  <si>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</si>
  <si>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</si>
  <si>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</si>
  <si>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</si>
  <si>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</si>
  <si>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</si>
  <si>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</si>
  <si>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</si>
  <si>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</si>
  <si>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</si>
  <si>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</si>
  <si>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</si>
  <si>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</si>
  <si>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</si>
  <si>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</si>
  <si>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</si>
  <si>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</si>
  <si>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</si>
  <si>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</si>
  <si>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</si>
  <si>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</si>
  <si>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</si>
  <si>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</si>
  <si>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</si>
  <si>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</si>
  <si>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</si>
  <si>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</si>
  <si>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</si>
  <si>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</si>
  <si>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</si>
  <si>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</si>
  <si>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</si>
  <si>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</si>
  <si>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</si>
  <si>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</si>
  <si>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</si>
  <si>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</si>
  <si>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</si>
  <si>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</si>
  <si>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</si>
  <si>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</si>
  <si>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</si>
  <si>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</si>
  <si>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</si>
  <si>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</si>
  <si>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</si>
  <si>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</si>
  <si>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</si>
  <si>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</si>
  <si>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</si>
  <si>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</si>
  <si>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</si>
  <si>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</si>
  <si>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</si>
  <si>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</si>
  <si>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</si>
  <si>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</si>
  <si>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</si>
  <si>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</si>
  <si>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</si>
  <si>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</si>
  <si>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</si>
  <si>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</si>
  <si>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</si>
  <si>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</si>
  <si>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</si>
  <si>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</si>
  <si>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</si>
  <si>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</si>
  <si>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</si>
  <si>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Ⅵ-亦1</t>
  </si>
  <si>
    <t>商务金融用地</t>
  </si>
  <si>
    <t>自定义容积率</t>
  </si>
  <si>
    <t>与级别开发程度不一致</t>
  </si>
  <si>
    <t>通路</t>
  </si>
  <si>
    <t>通电</t>
  </si>
  <si>
    <t>通讯</t>
  </si>
  <si>
    <t>通上水</t>
  </si>
  <si>
    <t>通下水</t>
  </si>
  <si>
    <t>平整</t>
  </si>
  <si>
    <t>中心城区以外</t>
  </si>
  <si>
    <t>较好</t>
  </si>
  <si>
    <t>一般</t>
  </si>
  <si>
    <t>好</t>
  </si>
  <si>
    <t>地下</t>
  </si>
  <si>
    <t>地上</t>
  </si>
  <si>
    <t>车库—办公</t>
  </si>
  <si>
    <t>是</t>
  </si>
  <si>
    <t>成新度</t>
  </si>
  <si>
    <t>收益法 (元)</t>
  </si>
  <si>
    <t>未包含在土地购买价格中</t>
  </si>
  <si>
    <t>已包含在土地取得成本中</t>
  </si>
  <si>
    <t>办公</t>
    <phoneticPr fontId="7" type="noConversion"/>
  </si>
  <si>
    <t>押一</t>
  </si>
  <si>
    <t>钢混</t>
  </si>
  <si>
    <t>非生产用房</t>
  </si>
  <si>
    <t>否</t>
  </si>
  <si>
    <t>成本法 (元)</t>
  </si>
  <si>
    <t>自然人</t>
  </si>
  <si>
    <t>地上</t>
    <phoneticPr fontId="3" type="noConversion"/>
  </si>
  <si>
    <t>车库</t>
    <phoneticPr fontId="3" type="noConversion"/>
  </si>
  <si>
    <t>租金</t>
    <phoneticPr fontId="3" type="noConversion"/>
  </si>
  <si>
    <t>面积</t>
    <phoneticPr fontId="3" type="noConversion"/>
  </si>
  <si>
    <t>郑燚</t>
  </si>
  <si>
    <t>崔锴</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</si>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</sst>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估价对象为北京市房地产，为所有。根据《国有土地使用证》[]，估价对象（分摊）出让国有建设用地使用权面积为0平方米，建筑面积为615.56平方米。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估价对象为北京市房地产,属开发建设的，该项目尚在开发建设中。根据《国有土地使用证》[]，估价对象（分摊）出让国有建设用地使用权面积为0平方米，规划建筑面积为615.56平方米。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2023年7月24日</v>
      </c>
    </row>
    <row r="13" spans="1:2" s="1203" customFormat="1">
      <c r="A13" s="1201" t="s">
        <v>529</v>
      </c>
      <c r="B13" s="1202"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1111</v>
      </c>
    </row>
    <row r="21" spans="1:2" s="1203" customFormat="1">
      <c r="A21" s="1201" t="s">
        <v>537</v>
      </c>
      <c r="B21" s="1202">
        <f ca="1">'预评函-2'!D7</f>
        <v>18041</v>
      </c>
    </row>
    <row r="22" spans="1:2" s="1203" customFormat="1">
      <c r="A22" s="1201" t="s">
        <v>538</v>
      </c>
      <c r="B22" s="1202" t="str">
        <f ca="1">'预评函-2'!D6</f>
        <v>壹仟壹佰壹拾壹万元整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1111</v>
      </c>
    </row>
    <row r="31" spans="1:2" s="1203" customFormat="1">
      <c r="A31" s="1201" t="s">
        <v>576</v>
      </c>
      <c r="B31" s="1202">
        <f ca="1">'预评函-2'!D15</f>
        <v>18041</v>
      </c>
    </row>
    <row r="32" spans="1:2" s="1203" customFormat="1">
      <c r="A32" s="1201" t="s">
        <v>543</v>
      </c>
      <c r="B32" s="1202" t="str">
        <f ca="1">'预评函-2'!D14</f>
        <v>壹仟壹佰壹拾壹万元整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615.55999999999995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0" sqref="I3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45131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v>
      </c>
      <c r="D5" s="3025">
        <f>IF(ISERROR(ROUND(POWER(1+E5,A5-C5)*(POWER(1+E5,C5)-1)/(POWER(1+E5,A5)-1),3)),0,ROUND(POWER(1+E5,A5-C5)*(POWER(1+E5,C5)-1)/(POWER(1+E5,A5)-1),4))</f>
        <v>0.15770000000000001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13.41</v>
      </c>
      <c r="D6" s="3025">
        <f>IF(ISERROR(ROUND(POWER(1+E6,A6-C6)*(POWER(1+E6,C6)-1)/(POWER(1+E6,A6)-1),3)),0,ROUND(POWER(1+E6,A6-C6)*(POWER(1+E6,C6)-1)/(POWER(1+E6,A6)-1),4))</f>
        <v>0.47599999999999998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33.43</v>
      </c>
      <c r="D7" s="3025">
        <f>IF(ISERROR(ROUND(POWER(1+E7,A7-C7)*(POWER(1+E7,C7)-1)/(POWER(1+E7,A7)-1),3)),0,ROUND(POWER(1+E7,A7-C7)*(POWER(1+E7,C7)-1)/(POWER(1+E7,A7)-1),4))</f>
        <v>0.78059999999999996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2" sqref="E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45131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3414</v>
      </c>
      <c r="C4" s="2376">
        <f ca="1">SUMIF(注册房地产估价师,B4,估价师及机构信息!B3:B24)</f>
        <v>1120070131</v>
      </c>
      <c r="D4" s="2375" t="s">
        <v>3415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4"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505"/>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c r="E13" s="856">
        <v>57176</v>
      </c>
      <c r="F13" s="856">
        <f>E13</f>
        <v>57176</v>
      </c>
      <c r="G13" s="856"/>
      <c r="H13" s="856"/>
      <c r="I13" s="856"/>
      <c r="J13" s="3062"/>
      <c r="K13" s="2613"/>
      <c r="L13" s="2613"/>
      <c r="M13" s="2439"/>
      <c r="N13" s="2450"/>
      <c r="O13" s="2439"/>
      <c r="P13" s="2439"/>
      <c r="Q13" s="2439"/>
      <c r="AD13" s="1745"/>
    </row>
    <row r="14" spans="1:30">
      <c r="A14" s="1081"/>
      <c r="B14" s="2407" t="s">
        <v>2191</v>
      </c>
      <c r="C14" s="2408"/>
      <c r="D14" s="2408"/>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v>
      </c>
      <c r="F15" s="2410">
        <f>IF(A13="出让",IF(F13="","",ROUNDDOWN(MIN((F13-$D$3)/365,F14),2)),F14)</f>
        <v>33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615.55999999999995</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3381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615.55999999999995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615.55999999999995</v>
      </c>
      <c r="H5" s="13">
        <f t="shared" ref="H5:AT5" si="0">SUM(H13:H656)</f>
        <v>615.55999999999995</v>
      </c>
      <c r="I5" s="13">
        <f t="shared" si="0"/>
        <v>481.49</v>
      </c>
      <c r="J5" s="13">
        <f t="shared" si="0"/>
        <v>0</v>
      </c>
      <c r="K5" s="13">
        <f t="shared" si="0"/>
        <v>134.07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615.55999999999995</v>
      </c>
      <c r="BA5" s="15">
        <f t="shared" si="1"/>
        <v>615.55999999999995</v>
      </c>
      <c r="BB5" s="15">
        <f t="shared" si="1"/>
        <v>481.49</v>
      </c>
      <c r="BC5" s="15">
        <f t="shared" si="1"/>
        <v>134.07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t="s">
        <v>3395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3397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3398</v>
      </c>
      <c r="E13" s="13">
        <f>IF($C$3="是",ROUND($A$3*G13/$B$3,2),ROUND($A$3*(G13-AT13)/$B$3,2))</f>
        <v>0</v>
      </c>
      <c r="F13" s="29"/>
      <c r="G13" s="30">
        <f>H13+AC13+AT13</f>
        <v>615.55999999999995</v>
      </c>
      <c r="H13" s="17">
        <f>SUMIF(I$12:AB$12,"总值",I13:AB13)</f>
        <v>615.55999999999995</v>
      </c>
      <c r="I13" s="1626">
        <v>481.49</v>
      </c>
      <c r="J13" s="1626"/>
      <c r="K13" s="1626">
        <v>134.07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615.55999999999995</v>
      </c>
      <c r="BA13" s="13">
        <f>SUM(BB13:BK13)</f>
        <v>615.55999999999995</v>
      </c>
      <c r="BB13" s="13">
        <f>IF($D13="是",I13-J13,0)</f>
        <v>481.49</v>
      </c>
      <c r="BC13" s="13">
        <f>IF($D13="是",K13-L13,0)</f>
        <v>134.07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615.55999999999995</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615.55999999999995</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481.49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134.07</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615.55999999999995</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3403</v>
      </c>
      <c r="D19" s="45">
        <f>ROUND($D$3*E19/$E$3,2)</f>
        <v>0</v>
      </c>
      <c r="E19" s="53">
        <f t="shared" ref="E19:E26" si="1">SUM(F19:G19)</f>
        <v>615.55999999999995</v>
      </c>
      <c r="F19" s="2795">
        <f>'数据-基础表'!I13</f>
        <v>481.49</v>
      </c>
      <c r="G19" s="2796">
        <f>'数据-基础表'!K13</f>
        <v>134.07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615.55999999999995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615.55999999999995</v>
      </c>
      <c r="F27" s="1140">
        <f>IF(SUM(F19:F26)=E8,SUM(F19:F26),"地上面积有误")</f>
        <v>481.49</v>
      </c>
      <c r="G27" s="1142">
        <f>SUM(G19:G26)</f>
        <v>134.07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615.55999999999995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615.55999999999995</v>
      </c>
      <c r="F31" s="677">
        <f>F27+F30</f>
        <v>481.49</v>
      </c>
      <c r="G31" s="678">
        <f>G27+G30</f>
        <v>134.07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24" sqref="Q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57176</v>
      </c>
      <c r="F6" s="64">
        <f>SUMIF(项目基本情况!C$12:I$12,C6,项目基本情况!C$15:I$15)</f>
        <v>33</v>
      </c>
      <c r="G6" s="65">
        <f>IF(ISERROR(ROUND(POWER(1+H6,D6-F6)*(POWER(1+H6,F6)-1)/(POWER(1+H6,D6)-1),3)),0,ROUND(POWER(1+H6,D6-F6)*(POWER(1+H6,F6)-1)/(POWER(1+H6,D6)-1),3))</f>
        <v>0.877</v>
      </c>
      <c r="H6" s="732">
        <v>0.05</v>
      </c>
      <c r="I6" s="732">
        <v>5.5E-2</v>
      </c>
      <c r="J6" s="66">
        <v>7.0000000000000007E-2</v>
      </c>
      <c r="K6" s="1030">
        <f>SUMIF('数据-汇总表'!C$19:C$33,A6,'数据-汇总表'!E$19:E$33)</f>
        <v>615.55999999999995</v>
      </c>
      <c r="L6" s="733">
        <v>4500</v>
      </c>
      <c r="M6" s="67">
        <f t="shared" ref="M6:M14" si="0">ROUND(K6*L6/10000,0)</f>
        <v>277</v>
      </c>
      <c r="N6" s="731">
        <f>ROUND((N21+N22)/2,2)</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2.8</v>
      </c>
      <c r="V6" s="70">
        <v>2.5000000000000001E-2</v>
      </c>
      <c r="W6" s="70">
        <v>0.1</v>
      </c>
      <c r="X6" s="1040"/>
      <c r="Y6" s="71">
        <f>N6</f>
        <v>0.8</v>
      </c>
      <c r="Z6" s="72"/>
      <c r="AA6" s="66"/>
      <c r="AB6" s="66"/>
      <c r="AC6" s="1040"/>
      <c r="AD6" s="73"/>
      <c r="AE6" s="1041">
        <f ca="1">IF(AN6="",0,SUMIF(INDIRECT("'"&amp;AN6&amp;"'"&amp;"!E:E"),$AE$5,INDIRECT("'"&amp;AN6&amp;"'"&amp;"!F:F")))</f>
        <v>33</v>
      </c>
      <c r="AF6" s="1348"/>
      <c r="AG6" s="138">
        <f>IF(AF6="",0,AE6-AF6)</f>
        <v>0</v>
      </c>
      <c r="AH6" s="74"/>
      <c r="AI6" s="76">
        <v>365</v>
      </c>
      <c r="AJ6" s="77"/>
      <c r="AK6" s="78">
        <v>5.0000000000000001E-3</v>
      </c>
      <c r="AL6" s="79">
        <v>1E-3</v>
      </c>
      <c r="AM6" s="80">
        <v>0.01</v>
      </c>
      <c r="AN6" s="1715" t="s">
        <v>3400</v>
      </c>
      <c r="AO6" s="52">
        <f ca="1">SUMIF(INDIRECT("'"&amp;AN6&amp;"'"&amp;"!A:A"),"总价",INDIRECT("'"&amp;AN6&amp;"'"&amp;"!B:B"))</f>
        <v>1037.6996999999999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615.55999999999995</v>
      </c>
      <c r="L16" s="93">
        <f>ROUND(M16*10000/SUM(K6:K14),0)</f>
        <v>4500</v>
      </c>
      <c r="M16" s="93">
        <f>SUM(M6:M14)</f>
        <v>277</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2008</v>
      </c>
      <c r="O20" s="2671"/>
      <c r="P20" s="2671"/>
      <c r="Q20" s="2671"/>
      <c r="R20" s="2671"/>
      <c r="S20" s="2671"/>
      <c r="T20" s="2671"/>
      <c r="U20" s="2671"/>
      <c r="V20" s="3450" t="s">
        <v>3413</v>
      </c>
      <c r="W20" s="3450" t="s">
        <v>3412</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0.75</v>
      </c>
      <c r="O21" s="2671"/>
      <c r="P21" s="2671"/>
      <c r="Q21" s="2671"/>
      <c r="R21" s="2671"/>
      <c r="S21" s="2671"/>
      <c r="T21" s="2671"/>
      <c r="U21" s="3450" t="s">
        <v>3410</v>
      </c>
      <c r="V21" s="2671">
        <f>'数据-汇总表'!F19</f>
        <v>481.49</v>
      </c>
      <c r="W21" s="2671">
        <v>3.5</v>
      </c>
      <c r="X21" s="2671">
        <f>V21*W21</f>
        <v>1685.2150000000001</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0.85</v>
      </c>
      <c r="O22" s="2671"/>
      <c r="P22" s="2671"/>
      <c r="Q22" s="2671"/>
      <c r="R22" s="2671"/>
      <c r="S22" s="2671"/>
      <c r="T22" s="2671"/>
      <c r="U22" s="3450" t="s">
        <v>3411</v>
      </c>
      <c r="V22" s="2671">
        <f>'数据-汇总表'!G19</f>
        <v>134.07</v>
      </c>
      <c r="W22" s="2671">
        <v>0.3</v>
      </c>
      <c r="X22" s="2671">
        <f>V22*W22</f>
        <v>40.220999999999997</v>
      </c>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f>V21+V22</f>
        <v>615.55999999999995</v>
      </c>
      <c r="W23" s="2671">
        <f>X23/V23</f>
        <v>2.8030346351289888</v>
      </c>
      <c r="X23" s="2671">
        <f t="shared" ref="X23" si="12">X21+X22</f>
        <v>1725.4360000000001</v>
      </c>
      <c r="Y23" s="2671"/>
      <c r="Z23" s="2671"/>
      <c r="AA23" s="2671"/>
      <c r="AB23" s="2671"/>
      <c r="AC23" s="2671">
        <f ca="1">结果表!G19</f>
        <v>1111</v>
      </c>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123112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C15" sqref="C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615.55999999999995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45131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1110.5318</v>
      </c>
      <c r="C5" s="2512">
        <f ca="1">IF(B5=D14,结果表!H102,ROUND(B5*10000/$B$1,0))</f>
        <v>18041</v>
      </c>
      <c r="D5" s="2512" t="e">
        <f ca="1">ROUND(B5*10000/$B$2,0)</f>
        <v>#DIV/0!</v>
      </c>
      <c r="E5" s="2686"/>
      <c r="F5" s="2687"/>
      <c r="G5" s="2687"/>
      <c r="H5" s="2688"/>
      <c r="I5" s="2688"/>
      <c r="J5" s="2688"/>
      <c r="K5" s="2688"/>
    </row>
    <row r="6" spans="1:11" ht="16.5">
      <c r="A6" s="2512" t="s">
        <v>656</v>
      </c>
      <c r="B6" s="2512">
        <f>SUM(G14:G23)</f>
        <v>0</v>
      </c>
      <c r="C6" s="2512">
        <f ca="1">IF(B6=G14,结果表!H108,ROUND(B6*10000/$B$1,0))</f>
        <v>18041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615.55999999999995</v>
      </c>
      <c r="C14" s="2518"/>
      <c r="D14" s="2518">
        <f ca="1">ROUND(B14*E14/10000,4)</f>
        <v>1110.5318</v>
      </c>
      <c r="E14" s="2518">
        <f ca="1">结果表!C105</f>
        <v>18041</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G39" sqref="G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3408</v>
      </c>
      <c r="D4" s="1756" t="s">
        <v>3400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5</v>
      </c>
      <c r="D14" s="3577">
        <v>5</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4" t="s">
        <v>2131</v>
      </c>
      <c r="F18" s="3565"/>
      <c r="G18" s="3565"/>
      <c r="H18" s="3565"/>
      <c r="I18" s="3565"/>
      <c r="K18" s="302" t="s">
        <v>1289</v>
      </c>
      <c r="L18" s="302">
        <f>IF(C1="",'数据-汇总表'!E3,SUMIF(项目类型,C1,'数据-汇总表'!E17:E26)+SUMIF(项目类型,C1,'数据-汇总表'!I17:I26))</f>
        <v>615.55999999999995</v>
      </c>
      <c r="M18" s="302">
        <f>IF(C1="",'数据-汇总表'!E3,SUMIF(项目类型,C1,'数据-汇总表'!E17:E26))</f>
        <v>615.55999999999995</v>
      </c>
    </row>
    <row r="19" spans="1:36" ht="15">
      <c r="A19" s="1761" t="s">
        <v>1290</v>
      </c>
      <c r="B19" s="1762" t="s">
        <v>1291</v>
      </c>
      <c r="C19" s="134">
        <f ca="1">SUMIF(INDIRECT("'"&amp;C4&amp;"'"&amp;"!A:A"),结果表!B19,INDIRECT("'"&amp;C4&amp;"'"&amp;"!B:B"))</f>
        <v>1183.3717999999999</v>
      </c>
      <c r="D19" s="135">
        <f ca="1">SUMIF(INDIRECT("'"&amp;D4&amp;"'"&amp;"!A:A"),结果表!B19,INDIRECT("'"&amp;D4&amp;"'"&amp;"!B:B"))</f>
        <v>1037.6996999999999</v>
      </c>
      <c r="E19" s="1761" t="s">
        <v>1292</v>
      </c>
      <c r="F19" s="1762" t="s">
        <v>1291</v>
      </c>
      <c r="G19" s="136">
        <f ca="1">ROUND(C19*$C$18+D19*$D$18,0)</f>
        <v>1111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19224</v>
      </c>
      <c r="D20" s="138">
        <f ca="1">SUMIF(INDIRECT("'"&amp;D4&amp;"'"&amp;"!A:A"),结果表!B20,INDIRECT("'"&amp;D4&amp;"'"&amp;"!B:B"))</f>
        <v>16858</v>
      </c>
      <c r="E20" s="1764"/>
      <c r="F20" s="1026" t="s">
        <v>1295</v>
      </c>
      <c r="G20" s="139">
        <f ca="1">ROUND(C20*$C$18+D20*$D$18,0)</f>
        <v>18041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0.14037982279459071</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18041</v>
      </c>
      <c r="D32" s="1775" t="s">
        <v>3416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1111</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45131</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4" t="s">
        <v>1340</v>
      </c>
      <c r="L48" s="3604"/>
      <c r="M48" s="3626">
        <f ca="1">H101</f>
        <v>1111</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抵押担保权已注销时的房地产抵押价值</v>
      </c>
      <c r="L49" s="3604"/>
      <c r="M49" s="3626" t="str">
        <f>IF(项目基本情况!E8="房地产抵押价值",H107,H109)</f>
        <v>——</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59</v>
      </c>
      <c r="E52" s="2334" t="s">
        <v>1354</v>
      </c>
      <c r="F52" s="2554">
        <f>'数据-取费表'!B41</f>
        <v>5.6000000000000001E-2</v>
      </c>
      <c r="G52" s="2555"/>
      <c r="H52" s="2544"/>
      <c r="I52" s="1807"/>
      <c r="J52" s="2523">
        <v>1</v>
      </c>
      <c r="K52" s="3605" t="s">
        <v>1355</v>
      </c>
      <c r="L52" s="3605"/>
      <c r="M52" s="2525" t="b">
        <f>D48</f>
        <v>0</v>
      </c>
      <c r="N52" s="2523" t="str">
        <f>E48</f>
        <v>销售额×税（费）率</v>
      </c>
      <c r="O52" s="2526">
        <f>F48</f>
        <v>5.6000000000000001E-2</v>
      </c>
    </row>
    <row r="53" spans="1:35" ht="12" customHeight="1">
      <c r="A53" s="2335" t="s">
        <v>1356</v>
      </c>
      <c r="B53" s="3566" t="s">
        <v>2291</v>
      </c>
      <c r="C53" s="3567"/>
      <c r="D53" s="1087">
        <f ca="1">ROUND(D45*'数据-取费表'!B41/(1+'数据-取费表'!C42),0)</f>
        <v>59</v>
      </c>
      <c r="E53" s="2334" t="s">
        <v>1354</v>
      </c>
      <c r="F53" s="2554">
        <f>'数据-取费表'!B41</f>
        <v>5.6000000000000001E-2</v>
      </c>
      <c r="G53" s="2555"/>
      <c r="H53" s="2544"/>
      <c r="I53" s="1807"/>
      <c r="J53" s="2523">
        <v>2</v>
      </c>
      <c r="K53" s="3605" t="s">
        <v>1357</v>
      </c>
      <c r="L53" s="3605"/>
      <c r="M53" s="2525">
        <f t="shared" ref="M53:O54" ca="1" si="0">D55</f>
        <v>1</v>
      </c>
      <c r="N53" s="2523" t="str">
        <f t="shared" si="0"/>
        <v>销售额×税（费）率</v>
      </c>
      <c r="O53" s="2526" t="str">
        <f t="shared" si="0"/>
        <v>免征</v>
      </c>
    </row>
    <row r="54" spans="1:35" ht="12" customHeight="1">
      <c r="A54" s="2335" t="s">
        <v>1358</v>
      </c>
      <c r="B54" s="3566" t="s">
        <v>2292</v>
      </c>
      <c r="C54" s="3567"/>
      <c r="D54" s="1087">
        <f ca="1">C68</f>
        <v>59</v>
      </c>
      <c r="E54" s="327" t="s">
        <v>1359</v>
      </c>
      <c r="F54" s="2554">
        <f>'数据-取费表'!B41</f>
        <v>5.6000000000000001E-2</v>
      </c>
      <c r="G54" s="2555"/>
      <c r="H54" s="2556"/>
      <c r="I54" s="1807"/>
      <c r="J54" s="2523">
        <v>3</v>
      </c>
      <c r="K54" s="3605" t="s">
        <v>1360</v>
      </c>
      <c r="L54" s="3605"/>
      <c r="M54" s="2525">
        <f t="shared" ca="1" si="0"/>
        <v>629</v>
      </c>
      <c r="N54" s="2523" t="str">
        <f t="shared" si="0"/>
        <v>增值额×税（费）率</v>
      </c>
      <c r="O54" s="2527" t="str">
        <f t="shared" si="0"/>
        <v>免征</v>
      </c>
    </row>
    <row r="55" spans="1:35" ht="24" customHeight="1">
      <c r="A55" s="3555" t="s">
        <v>1361</v>
      </c>
      <c r="B55" s="3556"/>
      <c r="C55" s="3556"/>
      <c r="D55" s="2324">
        <f ca="1">IF(H55="个人住宅",0,ROUND(D45*I55,0))</f>
        <v>1</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11</v>
      </c>
      <c r="N55" s="2040" t="str">
        <f>E59</f>
        <v>差额计税</v>
      </c>
      <c r="O55" s="2529">
        <f>F59</f>
        <v>0.01</v>
      </c>
    </row>
    <row r="56" spans="1:35" ht="24.75">
      <c r="A56" s="3555" t="s">
        <v>1363</v>
      </c>
      <c r="B56" s="3556"/>
      <c r="C56" s="3556"/>
      <c r="D56" s="2324">
        <f ca="1">IF(H56="个人住宅",D57,D58)</f>
        <v>629</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641</v>
      </c>
      <c r="O57" s="2533"/>
      <c r="P57" s="2690" t="e">
        <f ca="1">N57/M49</f>
        <v>#VALUE!</v>
      </c>
    </row>
    <row r="58" spans="1:35" ht="24.75">
      <c r="A58" s="2335" t="s">
        <v>1352</v>
      </c>
      <c r="B58" s="3566" t="s">
        <v>1369</v>
      </c>
      <c r="C58" s="3540"/>
      <c r="D58" s="2324">
        <f ca="1">IF(H58="转让取得",C81,C97)</f>
        <v>629</v>
      </c>
      <c r="E58" s="2334" t="s">
        <v>1364</v>
      </c>
      <c r="F58" s="302" t="s">
        <v>28</v>
      </c>
      <c r="G58" s="2555"/>
      <c r="H58" s="2558"/>
      <c r="I58" s="1808"/>
      <c r="J58" s="3605"/>
      <c r="K58" s="3605"/>
      <c r="L58" s="2530" t="s">
        <v>1370</v>
      </c>
      <c r="M58" s="2534"/>
      <c r="N58" s="2535" t="str">
        <f ca="1">NUMBERSTRING(INT(N57*10000),2)&amp;"元整"</f>
        <v>陆佰肆拾壹万元整</v>
      </c>
      <c r="O58" s="2536"/>
    </row>
    <row r="59" spans="1:35" ht="24.75" thickBot="1">
      <c r="A59" s="3608" t="s">
        <v>1371</v>
      </c>
      <c r="B59" s="3609"/>
      <c r="C59" s="3609"/>
      <c r="D59" s="2560">
        <f ca="1">IF(H59="非个人房产","——",IF(H59="个人住宅（满五唯一有凭证）",0,IF(H59="个人其他（无凭证）",ROUND(D45*F59,0),ROUND(C67*F59,0))))</f>
        <v>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t="e">
        <f ca="1">M49-N57</f>
        <v>#VALUE!</v>
      </c>
      <c r="O59" s="2539"/>
    </row>
    <row r="60" spans="1:35" ht="12" customHeight="1">
      <c r="A60" s="1809"/>
      <c r="B60" s="1747"/>
      <c r="C60" s="1747"/>
      <c r="D60" s="1747"/>
      <c r="E60" s="1578"/>
      <c r="F60" s="1808"/>
      <c r="G60" s="1808"/>
      <c r="H60" s="1810"/>
      <c r="I60" s="129"/>
      <c r="J60" s="3607"/>
      <c r="K60" s="3605"/>
      <c r="L60" s="2530" t="s">
        <v>1370</v>
      </c>
      <c r="M60" s="2534"/>
      <c r="N60" s="2535" t="e">
        <f ca="1">NUMBERSTRING(INT(N59*10000),2)&amp;"元整"</f>
        <v>#VALUE!</v>
      </c>
      <c r="O60" s="2536"/>
    </row>
    <row r="61" spans="1:35" ht="13.5" thickBot="1">
      <c r="A61" s="3553" t="s">
        <v>1373</v>
      </c>
      <c r="B61" s="3553"/>
      <c r="C61" s="3553"/>
      <c r="D61" s="3553"/>
      <c r="E61" s="3553"/>
      <c r="F61" s="1808"/>
      <c r="G61" s="1808"/>
      <c r="H61" s="1810"/>
      <c r="I61" s="129"/>
      <c r="J61" s="2523">
        <f>J59+1</f>
        <v>7</v>
      </c>
      <c r="K61" s="3605" t="s">
        <v>1374</v>
      </c>
      <c r="L61" s="3605"/>
      <c r="M61" s="2540"/>
      <c r="N61" s="2541" t="e">
        <f ca="1">ROUND(N59*10000/'数据-汇总表'!E3,0)</f>
        <v>#VALUE!</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1058</v>
      </c>
      <c r="D63" s="167"/>
      <c r="E63" s="168"/>
      <c r="F63" s="1808"/>
      <c r="G63" s="1808"/>
      <c r="H63" s="1810"/>
      <c r="I63" s="129"/>
      <c r="J63" s="363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1111</v>
      </c>
      <c r="D64" s="170" t="s">
        <v>26</v>
      </c>
      <c r="E64" s="172"/>
      <c r="F64" s="1808"/>
      <c r="G64" s="1808"/>
      <c r="H64" s="1810"/>
      <c r="I64" s="129"/>
      <c r="J64" s="363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t="e">
        <f>M49*0.5%</f>
        <v>#VALUE!</v>
      </c>
      <c r="M66" s="302" t="e">
        <f>IF(L66&gt;0.5,0.5,ROUND(L66,0))</f>
        <v>#VALUE!</v>
      </c>
      <c r="N66" s="2544" t="s">
        <v>1388</v>
      </c>
      <c r="Z66" s="1752"/>
      <c r="AI66" s="1753"/>
    </row>
    <row r="67" spans="1:35" ht="14.25" customHeight="1">
      <c r="A67" s="173" t="s">
        <v>328</v>
      </c>
      <c r="B67" s="174" t="s">
        <v>1389</v>
      </c>
      <c r="C67" s="2568">
        <f ca="1">C63-C66</f>
        <v>1058</v>
      </c>
      <c r="D67" s="170" t="s">
        <v>26</v>
      </c>
      <c r="E67" s="172"/>
      <c r="F67" s="1808"/>
      <c r="G67" s="1808"/>
      <c r="H67" s="1810"/>
      <c r="I67" s="129"/>
      <c r="J67" s="363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59</v>
      </c>
      <c r="D68" s="2570">
        <f>'数据-取费表'!B41</f>
        <v>5.6000000000000001E-2</v>
      </c>
      <c r="E68" s="178"/>
      <c r="F68" s="1808"/>
      <c r="G68" s="1808"/>
      <c r="H68" s="1810"/>
      <c r="I68" s="129"/>
      <c r="J68" s="363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1052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175.33333333333334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629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1052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175.33333333333334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629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 (元)</v>
      </c>
      <c r="D101" s="2586" t="str">
        <f>D4</f>
        <v>收益法 (元)</v>
      </c>
      <c r="E101" s="3627" t="s">
        <v>1431</v>
      </c>
      <c r="F101" s="3584"/>
      <c r="G101" s="1827" t="s">
        <v>1432</v>
      </c>
      <c r="H101" s="2595">
        <f ca="1">H118</f>
        <v>1111</v>
      </c>
      <c r="I101" s="129"/>
    </row>
    <row r="102" spans="1:35" ht="18.75" customHeight="1">
      <c r="A102" s="3586" t="s">
        <v>1433</v>
      </c>
      <c r="B102" s="2584" t="s">
        <v>1432</v>
      </c>
      <c r="C102" s="2585">
        <f ca="1">IF(D32="楼面单价",ROUND(C19,0),C19)</f>
        <v>1183</v>
      </c>
      <c r="D102" s="2586">
        <f ca="1">IF(D32="楼面单价",ROUND(D19,0),D19)</f>
        <v>1038</v>
      </c>
      <c r="E102" s="3627"/>
      <c r="F102" s="3584"/>
      <c r="G102" s="1827" t="s">
        <v>1434</v>
      </c>
      <c r="H102" s="2555">
        <f ca="1">I118</f>
        <v>18041</v>
      </c>
      <c r="I102" s="129"/>
    </row>
    <row r="103" spans="1:35" ht="42.75" customHeight="1">
      <c r="A103" s="3586"/>
      <c r="B103" s="2584" t="s">
        <v>1434</v>
      </c>
      <c r="C103" s="2587">
        <f ca="1">C20</f>
        <v>19224</v>
      </c>
      <c r="D103" s="2588">
        <f ca="1">D20</f>
        <v>16858</v>
      </c>
      <c r="E103" s="3621" t="s">
        <v>1435</v>
      </c>
      <c r="F103" s="3622"/>
      <c r="G103" s="1828" t="s">
        <v>1436</v>
      </c>
      <c r="H103" s="2595">
        <f>IF(D36="正常操作",H104+H105+H106,H105+H106)</f>
        <v>0</v>
      </c>
      <c r="I103" s="129"/>
    </row>
    <row r="104" spans="1:35" ht="18.75" customHeight="1">
      <c r="A104" s="3586" t="s">
        <v>1437</v>
      </c>
      <c r="B104" s="2589" t="s">
        <v>1432</v>
      </c>
      <c r="C104" s="2590">
        <f ca="1">H118</f>
        <v>1111</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18041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1111</v>
      </c>
      <c r="I107" s="129"/>
    </row>
    <row r="108" spans="1:35" ht="18.75" customHeight="1">
      <c r="A108" s="129"/>
      <c r="B108" s="129"/>
      <c r="C108" s="129"/>
      <c r="D108" s="129"/>
      <c r="E108" s="3583"/>
      <c r="F108" s="3584"/>
      <c r="G108" s="1827" t="s">
        <v>1434</v>
      </c>
      <c r="H108" s="2555">
        <f ca="1">IF(H107=H101,H102,ROUND(H107*10000/'数据-汇总表'!E3,0))</f>
        <v>18041</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615.55999999999995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1111</v>
      </c>
      <c r="I118" s="2329">
        <f ca="1">ROUND(IF(D32="楼面单价",C32,H118*10000/B118),0)</f>
        <v>18041</v>
      </c>
    </row>
    <row r="119" spans="1:27" ht="18.75" customHeight="1">
      <c r="A119" s="3554" t="s">
        <v>1452</v>
      </c>
      <c r="B119" s="3554"/>
      <c r="C119" s="3554"/>
      <c r="D119" s="3594" t="e">
        <f ca="1">NUMBERSTRING(INT(D118*10000),2)&amp;"元整"</f>
        <v>#REF!</v>
      </c>
      <c r="E119" s="3596"/>
      <c r="F119" s="3594" t="e">
        <f ca="1">NUMBERSTRING(INT(F118*10000),2)&amp;"元整"</f>
        <v>#REF!</v>
      </c>
      <c r="G119" s="3596"/>
      <c r="H119" s="3594" t="str">
        <f ca="1">NUMBERSTRING(INT(H118*10000),2)&amp;"元整"</f>
        <v>壹仟壹佰壹拾壹万元整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1111</v>
      </c>
      <c r="E122" s="3619"/>
      <c r="F122" s="3619"/>
      <c r="G122" s="3619"/>
      <c r="H122" s="3619"/>
      <c r="I122" s="3620"/>
      <c r="AA122" s="725"/>
    </row>
    <row r="123" spans="1:27" ht="18.75" customHeight="1">
      <c r="A123" s="3554" t="s">
        <v>1452</v>
      </c>
      <c r="B123" s="3554"/>
      <c r="C123" s="3554"/>
      <c r="D123" s="3594" t="str">
        <f ca="1">NUMBERSTRING(INT(D122*10000),2)&amp;"元整"</f>
        <v>壹仟壹佰壹拾壹万元整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170308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2766716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123112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123112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615.55999999999995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615.55999999999995</v>
      </c>
      <c r="E19" s="211">
        <f>'数据-取费表'!B31</f>
        <v>200</v>
      </c>
      <c r="F19" s="231"/>
      <c r="G19" s="1856"/>
    </row>
    <row r="20" spans="1:7" s="214" customFormat="1" ht="13.5" customHeight="1">
      <c r="A20" s="255" t="s">
        <v>1493</v>
      </c>
      <c r="B20" s="210" t="s">
        <v>1494</v>
      </c>
      <c r="C20" s="232">
        <f ca="1">ROUND((C5+C19)*F20,0)</f>
        <v>3694</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9028</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8896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131</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19023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19023</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169980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277</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615.55999999999995</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1.1000000000000001E-3</v>
      </c>
      <c r="D44" s="238"/>
      <c r="E44" s="238"/>
      <c r="F44" s="239"/>
      <c r="G44" s="3636"/>
    </row>
    <row r="45" spans="1:7" s="214" customFormat="1" ht="13.5" customHeight="1">
      <c r="A45" s="255" t="s">
        <v>1547</v>
      </c>
      <c r="B45" s="244" t="s">
        <v>1513</v>
      </c>
      <c r="C45" s="245">
        <f ca="1">C46</f>
        <v>47</v>
      </c>
      <c r="D45" s="235">
        <f ca="1">C47</f>
        <v>4.4999999999999997E-3</v>
      </c>
      <c r="E45" s="236" t="s">
        <v>1539</v>
      </c>
      <c r="F45" s="246">
        <f ca="1">F27</f>
        <v>0.15</v>
      </c>
      <c r="G45" s="247" t="s">
        <v>1548</v>
      </c>
    </row>
    <row r="46" spans="1:7" s="214" customFormat="1" ht="13.5" customHeight="1">
      <c r="A46" s="780" t="s">
        <v>346</v>
      </c>
      <c r="B46" s="248" t="s">
        <v>1549</v>
      </c>
      <c r="C46" s="249">
        <f ca="1">ROUND((C33+C39)*F27,0)</f>
        <v>47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328</v>
      </c>
      <c r="D51" s="232"/>
      <c r="E51" s="232"/>
      <c r="F51" s="264"/>
      <c r="G51" s="234" t="s">
        <v>1560</v>
      </c>
    </row>
    <row r="52" spans="1:7" s="208" customFormat="1" ht="16.5" thickBot="1">
      <c r="A52" s="265" t="s">
        <v>1561</v>
      </c>
      <c r="B52" s="266"/>
      <c r="C52" s="267">
        <f ca="1">C31+C51</f>
        <v>170308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57"/>
  <sheetViews>
    <sheetView view="pageBreakPreview" topLeftCell="A4" zoomScale="70" zoomScaleNormal="70" zoomScaleSheetLayoutView="70" workbookViewId="0">
      <selection activeCell="E30" sqref="E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1" s="200" customFormat="1" ht="20.25">
      <c r="A1" s="196" t="s">
        <v>1461</v>
      </c>
      <c r="B1" s="1470"/>
      <c r="C1" s="1859" t="s">
        <v>1563</v>
      </c>
      <c r="D1" s="198"/>
      <c r="E1" s="198"/>
      <c r="F1" s="198"/>
      <c r="G1" s="1126">
        <f>MATCH(B1,'数据-取费表'!A6:A16,0)+5</f>
        <v>7</v>
      </c>
      <c r="H1" s="1061" t="str">
        <f>IF(ISERROR(FIND("住宅",B1)),"非住宅","住宅")</f>
        <v>非住宅</v>
      </c>
    </row>
    <row r="2" spans="1:11" s="200" customFormat="1" ht="18" customHeight="1">
      <c r="A2" s="201" t="s">
        <v>1462</v>
      </c>
      <c r="B2" s="3424">
        <f ca="1">ROUND(IF(D2="——",C52/10000,C52/10000-E2),4)</f>
        <v>1183.3717999999999</v>
      </c>
      <c r="C2" s="199" t="s">
        <v>1463</v>
      </c>
      <c r="D2" s="1853" t="s">
        <v>43</v>
      </c>
      <c r="E2" s="1169" t="e">
        <f ca="1">SUMIF(INDIRECT("'"&amp;G2&amp;"'"&amp;"!A:A"),"承租人权益价值",INDIRECT("'"&amp;G2&amp;"'"&amp;"!c:c"))</f>
        <v>#REF!</v>
      </c>
      <c r="F2" s="1854" t="s">
        <v>1463</v>
      </c>
      <c r="G2" s="1855"/>
    </row>
    <row r="3" spans="1:11" s="200" customFormat="1" ht="18" customHeight="1" thickBot="1">
      <c r="A3" s="203" t="s">
        <v>1464</v>
      </c>
      <c r="B3" s="204">
        <f ca="1">ROUND(B2*10000/(IF(B1="",'数据-汇总表'!E3,INDIRECT("'数据-取费表'!k"&amp;$G$1))),0)</f>
        <v>19224</v>
      </c>
      <c r="C3" s="199" t="s">
        <v>1465</v>
      </c>
      <c r="D3" s="199"/>
      <c r="E3" s="199"/>
      <c r="F3" s="199"/>
      <c r="G3" s="199"/>
    </row>
    <row r="4" spans="1:11" s="208" customFormat="1" ht="15.75">
      <c r="A4" s="205" t="s">
        <v>1466</v>
      </c>
      <c r="B4" s="206"/>
      <c r="C4" s="206"/>
      <c r="D4" s="206"/>
      <c r="E4" s="206"/>
      <c r="F4" s="206"/>
      <c r="G4" s="207"/>
    </row>
    <row r="5" spans="1:11" s="214" customFormat="1" ht="13.5" customHeight="1">
      <c r="A5" s="255" t="s">
        <v>1467</v>
      </c>
      <c r="B5" s="210" t="s">
        <v>1468</v>
      </c>
      <c r="C5" s="211">
        <f ca="1">C6+C7+C8</f>
        <v>6185006</v>
      </c>
      <c r="D5" s="211" t="s">
        <v>1469</v>
      </c>
      <c r="E5" s="212" t="s">
        <v>1470</v>
      </c>
      <c r="F5" s="212" t="s">
        <v>1471</v>
      </c>
      <c r="G5" s="213"/>
    </row>
    <row r="6" spans="1:11" s="214" customFormat="1" ht="13.5" customHeight="1">
      <c r="A6" s="778" t="s">
        <v>1472</v>
      </c>
      <c r="B6" s="215" t="s">
        <v>1473</v>
      </c>
      <c r="C6" s="216">
        <f>K9</f>
        <v>5882478</v>
      </c>
      <c r="D6" s="217"/>
      <c r="E6" s="218"/>
      <c r="F6" s="218"/>
      <c r="G6" s="219"/>
    </row>
    <row r="7" spans="1:11" s="214" customFormat="1" ht="13.5" customHeight="1">
      <c r="A7" s="778" t="s">
        <v>1474</v>
      </c>
      <c r="B7" s="215" t="s">
        <v>1475</v>
      </c>
      <c r="C7" s="220">
        <f>ROUND(C6*F7,0)</f>
        <v>179416</v>
      </c>
      <c r="D7" s="220"/>
      <c r="E7" s="218"/>
      <c r="F7" s="221">
        <f>IF(项目基本情况!B8="出让",0,'数据-取费表'!B48+'数据-取费表'!B49)</f>
        <v>3.0499999999999999E-2</v>
      </c>
      <c r="G7" s="219"/>
      <c r="I7" s="214">
        <f>'数据-汇总表'!F19</f>
        <v>481.49</v>
      </c>
      <c r="J7" s="214">
        <f>基准地价修正!C33</f>
        <v>11772</v>
      </c>
      <c r="K7" s="214">
        <f>ROUND(I7*J7,0)</f>
        <v>5668100</v>
      </c>
    </row>
    <row r="8" spans="1:11" s="223" customFormat="1">
      <c r="A8" s="778" t="s">
        <v>1476</v>
      </c>
      <c r="B8" s="215" t="s">
        <v>1477</v>
      </c>
      <c r="C8" s="220">
        <f ca="1">IF(G8="已包含在土地购买价格中",0,C9+C10)</f>
        <v>123112</v>
      </c>
      <c r="D8" s="222"/>
      <c r="E8" s="220"/>
      <c r="F8" s="221"/>
      <c r="G8" s="1856" t="s">
        <v>3401</v>
      </c>
      <c r="I8" s="223">
        <f>'数据-汇总表'!G19</f>
        <v>134.07</v>
      </c>
      <c r="J8" s="223">
        <f>基准地价修正!C42</f>
        <v>1599</v>
      </c>
      <c r="K8" s="214">
        <f>ROUND(I8*J8,0)</f>
        <v>214378</v>
      </c>
    </row>
    <row r="9" spans="1:11"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c r="K9" s="214">
        <f>K7+K8</f>
        <v>5882478</v>
      </c>
    </row>
    <row r="10" spans="1:11" s="214" customFormat="1" ht="13.5" customHeight="1">
      <c r="A10" s="779" t="s">
        <v>356</v>
      </c>
      <c r="B10" s="224" t="s">
        <v>1480</v>
      </c>
      <c r="C10" s="225">
        <f ca="1">ROUND(D10*E10,0)</f>
        <v>123112</v>
      </c>
      <c r="D10" s="845">
        <f ca="1">IF(B1="",'数据-汇总表'!E6,IF(INDIRECT("'数据-取费表'!c"&amp;$G$1)="住宅",INDIRECT("'数据-取费表'!s"&amp;$G$1),INDIRECT("'数据-取费表'!k"&amp;$G$1)+INDIRECT("'数据-取费表'!s"&amp;$G$1)))</f>
        <v>615.55999999999995</v>
      </c>
      <c r="E10" s="225">
        <f>'数据-取费表'!B28</f>
        <v>200</v>
      </c>
      <c r="F10" s="221"/>
      <c r="G10" s="226"/>
    </row>
    <row r="11" spans="1:11" s="214" customFormat="1" ht="13.5" hidden="1" customHeight="1">
      <c r="A11" s="227" t="s">
        <v>4</v>
      </c>
      <c r="B11" s="215" t="s">
        <v>1481</v>
      </c>
      <c r="C11" s="211"/>
      <c r="D11" s="847"/>
      <c r="E11" s="218"/>
      <c r="F11" s="218"/>
      <c r="G11" s="219"/>
    </row>
    <row r="12" spans="1:11" s="214" customFormat="1" ht="13.5" hidden="1" customHeight="1">
      <c r="A12" s="227" t="s">
        <v>5</v>
      </c>
      <c r="B12" s="215" t="s">
        <v>1564</v>
      </c>
      <c r="C12" s="211">
        <v>0</v>
      </c>
      <c r="D12" s="847"/>
      <c r="E12" s="228"/>
      <c r="F12" s="221">
        <v>3.0499999999999999E-2</v>
      </c>
      <c r="G12" s="219"/>
    </row>
    <row r="13" spans="1:11" s="214" customFormat="1" ht="13.5" hidden="1" customHeight="1">
      <c r="A13" s="227" t="s">
        <v>6</v>
      </c>
      <c r="B13" s="215" t="s">
        <v>1565</v>
      </c>
      <c r="C13" s="211"/>
      <c r="D13" s="847"/>
      <c r="E13" s="218"/>
      <c r="F13" s="218"/>
      <c r="G13" s="219"/>
    </row>
    <row r="14" spans="1:11" s="214" customFormat="1" ht="13.5" hidden="1" customHeight="1">
      <c r="A14" s="227" t="s">
        <v>7</v>
      </c>
      <c r="B14" s="215" t="s">
        <v>1477</v>
      </c>
      <c r="C14" s="211"/>
      <c r="D14" s="847"/>
      <c r="E14" s="218"/>
      <c r="F14" s="218"/>
      <c r="G14" s="219" t="s">
        <v>1566</v>
      </c>
    </row>
    <row r="15" spans="1:11" s="214" customFormat="1" ht="13.5" hidden="1" customHeight="1">
      <c r="A15" s="227" t="s">
        <v>8</v>
      </c>
      <c r="B15" s="215" t="s">
        <v>1567</v>
      </c>
      <c r="C15" s="220"/>
      <c r="D15" s="847"/>
      <c r="E15" s="218"/>
      <c r="F15" s="218"/>
      <c r="G15" s="219" t="s">
        <v>1568</v>
      </c>
    </row>
    <row r="16" spans="1:11"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615.55999999999995</v>
      </c>
      <c r="E19" s="211">
        <f>'数据-取费表'!B31</f>
        <v>200</v>
      </c>
      <c r="F19" s="231"/>
      <c r="G19" s="1856" t="s">
        <v>3402</v>
      </c>
    </row>
    <row r="20" spans="1:7" s="214" customFormat="1" ht="13.5" customHeight="1">
      <c r="A20" s="255" t="s">
        <v>1574</v>
      </c>
      <c r="B20" s="210" t="s">
        <v>1575</v>
      </c>
      <c r="C20" s="232">
        <f ca="1">ROUND((C5+C19)*F20,0)</f>
        <v>185550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453517</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446930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6587</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955583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955583</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8538751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3073183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2770020</v>
      </c>
      <c r="D34" s="217"/>
      <c r="E34" s="220"/>
      <c r="F34" s="257"/>
      <c r="G34" s="219"/>
    </row>
    <row r="35" spans="1:7" ht="13.5" customHeight="1">
      <c r="A35" s="780" t="s">
        <v>351</v>
      </c>
      <c r="B35" s="215" t="s">
        <v>1527</v>
      </c>
      <c r="C35" s="220">
        <f ca="1">ROUND(C34*F35,0)</f>
        <v>138501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123112</v>
      </c>
      <c r="D37" s="217">
        <f ca="1">D19</f>
        <v>615.55999999999995</v>
      </c>
      <c r="E37" s="249">
        <f>'数据-取费表'!B35</f>
        <v>200</v>
      </c>
      <c r="F37" s="259"/>
      <c r="G37" s="261"/>
    </row>
    <row r="38" spans="1:7" ht="13.5" customHeight="1">
      <c r="A38" s="780" t="s">
        <v>354</v>
      </c>
      <c r="B38" s="215" t="s">
        <v>1533</v>
      </c>
      <c r="C38" s="220">
        <f ca="1">ROUND(C34*F38,0)</f>
        <v>41550</v>
      </c>
      <c r="D38" s="220"/>
      <c r="E38" s="220"/>
      <c r="F38" s="259">
        <f>'数据-取费表'!B36</f>
        <v>1.4999999999999999E-2</v>
      </c>
      <c r="G38" s="219" t="s">
        <v>1528</v>
      </c>
    </row>
    <row r="39" spans="1:7" s="214" customFormat="1" ht="13.5" customHeight="1">
      <c r="A39" s="255" t="s">
        <v>1534</v>
      </c>
      <c r="B39" s="210" t="s">
        <v>1535</v>
      </c>
      <c r="C39" s="232">
        <f ca="1">ROUND(C33*F20,0)</f>
        <v>92195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112371</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109098</v>
      </c>
      <c r="D42" s="238"/>
      <c r="E42" s="238"/>
      <c r="F42" s="239"/>
      <c r="G42" s="3634" t="s">
        <v>1591</v>
      </c>
    </row>
    <row r="43" spans="1:7" ht="13.5" customHeight="1">
      <c r="A43" s="780" t="s">
        <v>347</v>
      </c>
      <c r="B43" s="215" t="s">
        <v>1545</v>
      </c>
      <c r="C43" s="238">
        <f ca="1">ROUND(IF('数据-取费表'!B22&lt;=1,C39*F22*'数据-取费表'!B20/2,C39*(POWER((1+F22),'数据-取费表'!B20/2)-1)),0)</f>
        <v>3273</v>
      </c>
      <c r="D43" s="238"/>
      <c r="E43" s="238"/>
      <c r="F43" s="239"/>
      <c r="G43" s="3635"/>
    </row>
    <row r="44" spans="1:7" ht="13.5" customHeight="1">
      <c r="A44" s="780" t="s">
        <v>348</v>
      </c>
      <c r="B44" s="215" t="s">
        <v>1546</v>
      </c>
      <c r="C44" s="238">
        <f ca="1">ROUND(IF('数据-取费表'!B22&lt;=1,C40*F22*'数据-取费表'!B20/2,C40*(POWER((1+F22),'数据-取费表'!B20/2)-1)),4)</f>
        <v>1.1000000000000001E-3</v>
      </c>
      <c r="D44" s="238"/>
      <c r="E44" s="238"/>
      <c r="F44" s="239"/>
      <c r="G44" s="3636"/>
    </row>
    <row r="45" spans="1:7" s="214" customFormat="1" ht="13.5" customHeight="1">
      <c r="A45" s="255" t="s">
        <v>1547</v>
      </c>
      <c r="B45" s="244" t="s">
        <v>1513</v>
      </c>
      <c r="C45" s="245">
        <f ca="1">C46</f>
        <v>474807</v>
      </c>
      <c r="D45" s="235">
        <f ca="1">C47</f>
        <v>4.4999999999999997E-3</v>
      </c>
      <c r="E45" s="236" t="s">
        <v>1539</v>
      </c>
      <c r="F45" s="246">
        <f ca="1">F27</f>
        <v>0.15</v>
      </c>
      <c r="G45" s="247" t="s">
        <v>1548</v>
      </c>
    </row>
    <row r="46" spans="1:7" s="214" customFormat="1" ht="13.5" customHeight="1">
      <c r="A46" s="780" t="s">
        <v>346</v>
      </c>
      <c r="B46" s="248" t="s">
        <v>1549</v>
      </c>
      <c r="C46" s="249">
        <f ca="1">ROUND((C33+C39)*F27,0)</f>
        <v>474807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4118709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3294967</v>
      </c>
      <c r="D51" s="232"/>
      <c r="E51" s="232"/>
      <c r="F51" s="264"/>
      <c r="G51" s="234" t="s">
        <v>1560</v>
      </c>
    </row>
    <row r="52" spans="1:7" s="208" customFormat="1" ht="16.5" thickBot="1">
      <c r="A52" s="265" t="s">
        <v>1561</v>
      </c>
      <c r="B52" s="266"/>
      <c r="C52" s="267">
        <f ca="1">C31+C51</f>
        <v>11833718</v>
      </c>
      <c r="D52" s="266"/>
      <c r="E52" s="266"/>
      <c r="F52" s="266"/>
      <c r="G52" s="268"/>
    </row>
    <row r="55" spans="1:7" ht="15">
      <c r="B55" s="270" t="s">
        <v>1562</v>
      </c>
      <c r="C55" s="271"/>
    </row>
    <row r="56" spans="1:7">
      <c r="B56" s="273" t="s">
        <v>802</v>
      </c>
      <c r="C56" s="275">
        <f ca="1">1-C57</f>
        <v>0.72199999999999998</v>
      </c>
    </row>
    <row r="57" spans="1:7">
      <c r="B57" s="273" t="s">
        <v>803</v>
      </c>
      <c r="C57" s="274">
        <f ca="1">ROUND(C51/C52,3)</f>
        <v>0.27800000000000002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141703</v>
      </c>
      <c r="C2" s="276" t="s">
        <v>1595</v>
      </c>
      <c r="D2" s="276"/>
      <c r="E2" s="2806"/>
      <c r="F2" s="2806"/>
      <c r="G2" s="2806"/>
      <c r="H2" s="2806"/>
      <c r="I2" s="2806"/>
      <c r="J2" s="2806"/>
      <c r="K2" s="2806"/>
    </row>
    <row r="3" spans="1:33" ht="18" customHeight="1" thickBot="1">
      <c r="A3" s="203" t="s">
        <v>1464</v>
      </c>
      <c r="B3" s="204">
        <f ca="1">ROUND(B2*10000/IF(C1="",'数据-汇总表'!E3,INDIRECT("'数据-取费表'!K"&amp;$K$1)),0)</f>
        <v>2302018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615.55999999999995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615.55999999999995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-123100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615.55999999999995</v>
      </c>
      <c r="E20" s="21">
        <f>'数据-取费表'!B28</f>
        <v>200</v>
      </c>
      <c r="F20" s="804"/>
      <c r="G20" s="12"/>
      <c r="H20" s="809"/>
      <c r="I20" s="809"/>
      <c r="J20" s="809"/>
      <c r="K20" s="810"/>
    </row>
    <row r="21" spans="1:33" s="803" customFormat="1" ht="13.5" customHeight="1">
      <c r="A21" s="790" t="s">
        <v>357</v>
      </c>
      <c r="B21" s="813" t="s">
        <v>1628</v>
      </c>
      <c r="C21" s="814">
        <f ca="1">C16+C17+C18</f>
        <v>-123100</v>
      </c>
      <c r="D21" s="815"/>
      <c r="E21" s="281"/>
      <c r="F21" s="281"/>
      <c r="G21" s="131" t="s">
        <v>1629</v>
      </c>
      <c r="H21" s="807"/>
      <c r="I21" s="807"/>
      <c r="J21" s="807"/>
      <c r="K21" s="808"/>
    </row>
    <row r="22" spans="1:33" s="803" customFormat="1" ht="13.5" customHeight="1">
      <c r="A22" s="790" t="s">
        <v>1601</v>
      </c>
      <c r="B22" s="813" t="s">
        <v>1630</v>
      </c>
      <c r="C22" s="814">
        <f ca="1">ROUND(C21*F22,0)</f>
        <v>-3693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-19019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-19019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141703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1037.6996999999999</v>
      </c>
      <c r="C2" s="1387" t="s">
        <v>879</v>
      </c>
      <c r="D2" s="1471">
        <f ca="1">C40+J29+L46</f>
        <v>10376997</v>
      </c>
      <c r="E2" s="1388" t="s">
        <v>880</v>
      </c>
      <c r="F2" s="1389"/>
      <c r="G2" s="2706"/>
      <c r="H2" s="2695"/>
      <c r="I2" s="2695"/>
      <c r="J2" s="2695"/>
      <c r="K2" s="2696"/>
      <c r="L2" s="2695"/>
      <c r="M2" s="2695"/>
    </row>
    <row r="3" spans="1:37" ht="18" customHeight="1" thickBot="1">
      <c r="A3" s="1390" t="s">
        <v>881</v>
      </c>
      <c r="B3" s="1391">
        <f ca="1">IF(ISERROR(D2/F43),0,ROUND(D2/F43,0))</f>
        <v>16858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566900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566192</v>
      </c>
      <c r="D6" s="155" t="s">
        <v>2106</v>
      </c>
      <c r="E6" s="302" t="s">
        <v>696</v>
      </c>
      <c r="F6" s="303">
        <f ca="1">INDIRECT("'数据-取费表'!u"&amp;$G$1)</f>
        <v>2.8</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615.55999999999995</v>
      </c>
      <c r="G7" s="1384"/>
      <c r="H7" s="304"/>
      <c r="I7" s="3640"/>
      <c r="J7" s="306"/>
      <c r="K7" s="307"/>
      <c r="L7" s="302" t="s">
        <v>697</v>
      </c>
      <c r="M7" s="303">
        <f ca="1">F7</f>
        <v>615.55999999999995</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708</v>
      </c>
      <c r="D10" s="1366" t="s">
        <v>2116</v>
      </c>
      <c r="E10" s="313" t="s">
        <v>701</v>
      </c>
      <c r="F10" s="1116" t="s">
        <v>3404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3294967</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2770020</v>
      </c>
      <c r="D14" s="1345" t="s">
        <v>708</v>
      </c>
      <c r="E14" s="1342"/>
      <c r="F14" s="319"/>
      <c r="G14" s="1384"/>
      <c r="H14" s="982" t="s">
        <v>398</v>
      </c>
      <c r="I14" s="302" t="s">
        <v>709</v>
      </c>
      <c r="J14" s="21">
        <f ca="1">C29</f>
        <v>4118709</v>
      </c>
      <c r="K14" s="12"/>
      <c r="L14" s="807"/>
      <c r="M14" s="808"/>
    </row>
    <row r="15" spans="1:37" s="1397" customFormat="1" ht="18" customHeight="1" thickBot="1">
      <c r="A15" s="982" t="s">
        <v>399</v>
      </c>
      <c r="B15" s="302" t="s">
        <v>710</v>
      </c>
      <c r="C15" s="21">
        <f ca="1">ROUND(C14*F15,0)</f>
        <v>138501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20594</v>
      </c>
      <c r="K16" s="1087" t="s">
        <v>715</v>
      </c>
      <c r="L16" s="1088"/>
      <c r="M16" s="1072"/>
    </row>
    <row r="17" spans="1:37" s="1397" customFormat="1" ht="18" customHeight="1">
      <c r="A17" s="982" t="s">
        <v>681</v>
      </c>
      <c r="B17" s="302" t="s">
        <v>716</v>
      </c>
      <c r="C17" s="21">
        <f ca="1">ROUND(F17*(F43+INDIRECT("'数据-取费表'!S"&amp;$G$1)),0)</f>
        <v>123112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41550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3073183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92195</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20594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112371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-20594</v>
      </c>
      <c r="K25" s="1095" t="s">
        <v>753</v>
      </c>
      <c r="L25" s="1096"/>
      <c r="M25" s="1097"/>
    </row>
    <row r="26" spans="1:37" ht="18" customHeight="1">
      <c r="A26" s="982" t="s">
        <v>397</v>
      </c>
      <c r="B26" s="302" t="s">
        <v>754</v>
      </c>
      <c r="C26" s="21">
        <f ca="1">ROUND((C19+C20)*F26,0)</f>
        <v>474807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4118709</v>
      </c>
      <c r="D29" s="1092"/>
      <c r="E29" s="1090"/>
      <c r="F29" s="1093"/>
      <c r="G29" s="1396"/>
      <c r="H29" s="334" t="s">
        <v>396</v>
      </c>
      <c r="I29" s="335" t="s">
        <v>768</v>
      </c>
      <c r="J29" s="336">
        <f ca="1">ROUND(J26/(1+F40)^F41,0)</f>
        <v>0</v>
      </c>
      <c r="K29" s="337" t="s">
        <v>769</v>
      </c>
      <c r="L29" s="338"/>
      <c r="M29" s="339">
        <f ca="1">INDIRECT("'数据-取费表'!k"&amp;$G$1)</f>
        <v>615.55999999999995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67304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37746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20594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3295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5669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499596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10225522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16612</v>
      </c>
      <c r="D43" s="337" t="s">
        <v>777</v>
      </c>
      <c r="E43" s="338" t="s">
        <v>778</v>
      </c>
      <c r="F43" s="339">
        <f ca="1">INDIRECT("'数据-取费表'!k"&amp;$G$1)</f>
        <v>615.55999999999995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-1058.5650000000001</v>
      </c>
      <c r="D45" s="3432" t="s">
        <v>3358</v>
      </c>
      <c r="E45" s="1400"/>
      <c r="F45" s="1400"/>
      <c r="O45" s="1403" t="s">
        <v>808</v>
      </c>
      <c r="P45" s="1461"/>
      <c r="Q45" s="1461"/>
      <c r="R45" s="1461"/>
    </row>
    <row r="46" spans="1:18" s="1384" customFormat="1" ht="13.5" thickBot="1">
      <c r="A46" s="1404" t="s">
        <v>809</v>
      </c>
      <c r="C46" s="1405">
        <f ca="1">ROUND(C45,0)</f>
        <v>-1059</v>
      </c>
      <c r="D46" s="1406" t="str">
        <f>C2</f>
        <v>万元</v>
      </c>
      <c r="I46" s="1407" t="s">
        <v>810</v>
      </c>
      <c r="J46" s="1408"/>
      <c r="K46" s="1409"/>
      <c r="L46" s="1410">
        <f ca="1">IF(M47="住宅",0,IF(L48&gt;J51,L60,J60))</f>
        <v>151475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10225522</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33</v>
      </c>
      <c r="O48" s="1418" t="s">
        <v>404</v>
      </c>
      <c r="P48" s="1419" t="s">
        <v>821</v>
      </c>
      <c r="Q48" s="1420">
        <f ca="1">J60</f>
        <v>151475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4118709</v>
      </c>
      <c r="R49" s="1420" t="s">
        <v>818</v>
      </c>
    </row>
    <row r="50" spans="1:18" s="1384" customFormat="1" ht="13.5" thickBot="1">
      <c r="A50" s="976"/>
      <c r="B50" s="979"/>
      <c r="C50" s="980"/>
      <c r="D50" s="953"/>
      <c r="E50" s="1056" t="s">
        <v>697</v>
      </c>
      <c r="F50" s="1057">
        <f ca="1">F7</f>
        <v>615.55999999999995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4780306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v>
      </c>
      <c r="K53" s="3637" t="s">
        <v>837</v>
      </c>
      <c r="L53" s="3638"/>
      <c r="O53" s="1418" t="s">
        <v>409</v>
      </c>
      <c r="P53" s="1419" t="s">
        <v>838</v>
      </c>
      <c r="Q53" s="1420">
        <f ca="1">Q47+Q48</f>
        <v>10376997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3294967</v>
      </c>
      <c r="D56" s="1447"/>
      <c r="E56" s="1448"/>
      <c r="F56" s="1440"/>
      <c r="I56" s="1449" t="s">
        <v>842</v>
      </c>
      <c r="J56" s="1450" t="s">
        <v>3407</v>
      </c>
      <c r="K56" s="1421" t="s">
        <v>843</v>
      </c>
      <c r="L56" s="1424" t="str">
        <f ca="1">IF(L48&lt;J51,"——",L48-J51)</f>
        <v>——</v>
      </c>
      <c r="O56" s="1418" t="s">
        <v>403</v>
      </c>
      <c r="P56" s="1419" t="s">
        <v>817</v>
      </c>
      <c r="Q56" s="1420">
        <f ca="1">C40+J29</f>
        <v>10225522</v>
      </c>
      <c r="R56" s="1420" t="s">
        <v>818</v>
      </c>
    </row>
    <row r="57" spans="1:18" s="1384" customFormat="1" ht="24.75" thickBot="1">
      <c r="A57" s="1451"/>
      <c r="B57" s="950" t="s">
        <v>767</v>
      </c>
      <c r="C57" s="238">
        <f ca="1">C29</f>
        <v>4118709</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23889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1647484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151475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10225522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20594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3295</v>
      </c>
      <c r="D65" s="964" t="s">
        <v>743</v>
      </c>
      <c r="E65" s="950" t="s">
        <v>744</v>
      </c>
      <c r="F65" s="330">
        <f t="shared" ca="1" si="0"/>
        <v>1E-3</v>
      </c>
      <c r="I65" s="1462" t="s">
        <v>867</v>
      </c>
      <c r="J65" s="1463">
        <v>40</v>
      </c>
      <c r="K65" s="1463">
        <v>30</v>
      </c>
      <c r="L65" s="1463">
        <v>50</v>
      </c>
      <c r="M65" s="1465">
        <v>0.02</v>
      </c>
      <c r="O65" s="1418" t="s">
        <v>403</v>
      </c>
      <c r="P65" s="1419" t="s">
        <v>868</v>
      </c>
      <c r="Q65" s="1420">
        <f ca="1">C40+J29</f>
        <v>10225522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-23889</v>
      </c>
      <c r="D67" s="963" t="s">
        <v>753</v>
      </c>
      <c r="E67" s="968"/>
      <c r="F67" s="969"/>
      <c r="O67" s="1428" t="s">
        <v>405</v>
      </c>
      <c r="P67" s="1419" t="s">
        <v>850</v>
      </c>
      <c r="Q67" s="1466">
        <f ca="1">L51</f>
        <v>4780306</v>
      </c>
      <c r="R67" s="1420" t="s">
        <v>870</v>
      </c>
    </row>
    <row r="68" spans="1:18" s="1384" customFormat="1" ht="16.5" thickBot="1">
      <c r="A68" s="947" t="s">
        <v>395</v>
      </c>
      <c r="B68" s="948" t="s">
        <v>774</v>
      </c>
      <c r="C68" s="301">
        <f ca="1">ROUND(C67*(1-((1+F70)/(1+F68))^F69)/(F68-F70),0)</f>
        <v>-360128</v>
      </c>
      <c r="D68" s="965" t="s">
        <v>758</v>
      </c>
      <c r="E68" s="950" t="s">
        <v>759</v>
      </c>
      <c r="F68" s="312">
        <f ca="1">F40</f>
        <v>5.5E-2</v>
      </c>
      <c r="O68" s="1428" t="s">
        <v>406</v>
      </c>
      <c r="P68" s="1467" t="s">
        <v>871</v>
      </c>
      <c r="Q68" s="1420">
        <f ca="1">ROUND(Q69-Q70*Q71,0)</f>
        <v>268948</v>
      </c>
      <c r="R68" s="1420" t="s">
        <v>414</v>
      </c>
    </row>
    <row r="69" spans="1:18" s="1384" customFormat="1" ht="13.5" thickBot="1">
      <c r="A69" s="951"/>
      <c r="B69" s="952"/>
      <c r="C69" s="306"/>
      <c r="D69" s="970" t="s">
        <v>762</v>
      </c>
      <c r="E69" s="950" t="s">
        <v>763</v>
      </c>
      <c r="F69" s="333">
        <f ca="1">F41</f>
        <v>33</v>
      </c>
      <c r="O69" s="1428" t="s">
        <v>411</v>
      </c>
      <c r="P69" s="1467" t="s">
        <v>872</v>
      </c>
      <c r="Q69" s="1420">
        <f ca="1">C39</f>
        <v>499596</v>
      </c>
      <c r="R69" s="1420" t="s">
        <v>818</v>
      </c>
    </row>
    <row r="70" spans="1:18" s="1384" customFormat="1" ht="13.5" thickBot="1">
      <c r="A70" s="954"/>
      <c r="B70" s="955"/>
      <c r="C70" s="310"/>
      <c r="D70" s="966"/>
      <c r="E70" s="950" t="s">
        <v>766</v>
      </c>
      <c r="F70" s="1054"/>
      <c r="O70" s="1428" t="s">
        <v>412</v>
      </c>
      <c r="P70" s="1467" t="s">
        <v>873</v>
      </c>
      <c r="Q70" s="1420">
        <f ca="1">C13</f>
        <v>3294967</v>
      </c>
      <c r="R70" s="1420" t="s">
        <v>818</v>
      </c>
    </row>
    <row r="71" spans="1:18" s="1384" customFormat="1" ht="13.5" thickBot="1">
      <c r="A71" s="971" t="s">
        <v>396</v>
      </c>
      <c r="B71" s="972" t="s">
        <v>776</v>
      </c>
      <c r="C71" s="336">
        <f ca="1">ROUND(C68/F71,0)</f>
        <v>-585</v>
      </c>
      <c r="D71" s="973" t="s">
        <v>777</v>
      </c>
      <c r="E71" s="974" t="s">
        <v>778</v>
      </c>
      <c r="F71" s="339">
        <f ca="1">F43</f>
        <v>615.55999999999995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230648</v>
      </c>
      <c r="D75" s="1384"/>
      <c r="E75" s="1384"/>
      <c r="F75" s="1384"/>
      <c r="K75" s="1402"/>
      <c r="L75" s="1384"/>
      <c r="O75" s="1418" t="s">
        <v>409</v>
      </c>
      <c r="P75" s="1419" t="s">
        <v>838</v>
      </c>
      <c r="Q75" s="1420">
        <f ca="1">Q65+Q66</f>
        <v>10225522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0.53800000000000003</v>
      </c>
    </row>
    <row r="80" spans="1:18">
      <c r="B80" s="340" t="s">
        <v>800</v>
      </c>
      <c r="C80" s="274">
        <f ca="1">ROUND(C75/C39,3)</f>
        <v>0.46200000000000002</v>
      </c>
    </row>
    <row r="81" spans="2:3">
      <c r="B81" s="270" t="s">
        <v>801</v>
      </c>
      <c r="C81" s="238"/>
    </row>
    <row r="82" spans="2:3">
      <c r="B82" s="273" t="s">
        <v>802</v>
      </c>
      <c r="C82" s="275">
        <f ca="1">1-C83</f>
        <v>0.67799999999999994</v>
      </c>
    </row>
    <row r="83" spans="2:3">
      <c r="B83" s="273" t="s">
        <v>803</v>
      </c>
      <c r="C83" s="274">
        <f ca="1">ROUND(C13/C40,3)</f>
        <v>0.32200000000000001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6" t="s">
        <v>2337</v>
      </c>
      <c r="B6" s="3657"/>
      <c r="C6" s="3658"/>
      <c r="D6" s="2870"/>
      <c r="E6" s="2871"/>
      <c r="F6" s="2872"/>
      <c r="G6" s="2873"/>
      <c r="H6" s="2848"/>
      <c r="I6" s="2849"/>
      <c r="J6" s="3642">
        <v>1</v>
      </c>
      <c r="K6" s="364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2"/>
      <c r="K7" s="364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42"/>
      <c r="K8" s="364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42"/>
      <c r="K9" s="3644"/>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42"/>
      <c r="K10" s="3644"/>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42"/>
      <c r="K11" s="364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2" t="s">
        <v>2366</v>
      </c>
      <c r="C12" s="3653"/>
      <c r="D12" s="2897">
        <f>ROUND(D13*1.2%*(1-30%),0)</f>
        <v>0</v>
      </c>
      <c r="E12" s="2898">
        <v>1.2E-2</v>
      </c>
      <c r="F12" s="2891" t="s">
        <v>2367</v>
      </c>
      <c r="G12" s="2892"/>
      <c r="H12" s="2848"/>
      <c r="I12" s="2849"/>
      <c r="J12" s="3642"/>
      <c r="K12" s="364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2"/>
      <c r="K13" s="364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2" t="s">
        <v>2372</v>
      </c>
      <c r="C14" s="3653"/>
      <c r="D14" s="2897">
        <f>ROUND(E14*B5/10000,0)</f>
        <v>0</v>
      </c>
      <c r="E14" s="2886"/>
      <c r="F14" s="2891" t="s">
        <v>2373</v>
      </c>
      <c r="G14" s="2892"/>
      <c r="H14" s="2848"/>
      <c r="I14" s="2849"/>
      <c r="J14" s="3642"/>
      <c r="K14" s="364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2" t="s">
        <v>2376</v>
      </c>
      <c r="C15" s="3653"/>
      <c r="D15" s="2897">
        <f>ROUND(D6*E15,0)</f>
        <v>0</v>
      </c>
      <c r="E15" s="2898">
        <v>5.5E-2</v>
      </c>
      <c r="F15" s="2891" t="s">
        <v>2377</v>
      </c>
      <c r="G15" s="2873"/>
      <c r="H15" s="2848"/>
      <c r="I15" s="2849"/>
      <c r="J15" s="3642">
        <v>2</v>
      </c>
      <c r="K15" s="364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2" t="s">
        <v>2385</v>
      </c>
      <c r="C16" s="3653"/>
      <c r="D16" s="2908">
        <f>D6*E16</f>
        <v>0</v>
      </c>
      <c r="E16" s="2909"/>
      <c r="F16" s="2894" t="s">
        <v>2386</v>
      </c>
      <c r="G16" s="2873"/>
      <c r="H16" s="2848"/>
      <c r="I16" s="2849"/>
      <c r="J16" s="3642"/>
      <c r="K16" s="364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2388</v>
      </c>
      <c r="C17" s="3655"/>
      <c r="D17" s="2911">
        <f>ROUND(D6*E17,0)</f>
        <v>0</v>
      </c>
      <c r="E17" s="2912"/>
      <c r="F17" s="2913" t="s">
        <v>2389</v>
      </c>
      <c r="G17" s="2873"/>
      <c r="H17" s="2848"/>
      <c r="I17" s="2849"/>
      <c r="J17" s="3642"/>
      <c r="K17" s="364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2"/>
      <c r="K18" s="364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2"/>
      <c r="K19" s="364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2"/>
      <c r="K21" s="364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2"/>
      <c r="K22" s="364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2"/>
      <c r="K23" s="364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2"/>
      <c r="K24" s="364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2">
        <v>1</v>
      </c>
      <c r="K36" s="364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2"/>
      <c r="K40" s="364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1037.6996999999999</v>
      </c>
      <c r="C2" s="1872" t="s">
        <v>1651</v>
      </c>
      <c r="D2" s="1873" t="s">
        <v>1652</v>
      </c>
      <c r="E2" s="2607">
        <f>SUM(E6:E13)</f>
        <v>615.55999999999995</v>
      </c>
      <c r="F2" s="2707"/>
      <c r="G2" s="1489"/>
      <c r="H2" s="1489"/>
      <c r="I2" s="1489"/>
      <c r="J2" s="1489"/>
      <c r="K2" s="1489"/>
      <c r="L2" s="1489"/>
      <c r="M2" s="1489"/>
      <c r="N2" s="1489"/>
      <c r="O2" s="1489"/>
      <c r="P2" s="1489"/>
      <c r="Q2" s="1489"/>
      <c r="R2" s="1489"/>
      <c r="S2" s="1489"/>
    </row>
    <row r="3" spans="1:22" ht="15.75">
      <c r="A3" s="1870" t="s">
        <v>686</v>
      </c>
      <c r="B3" s="2601">
        <f ca="1">ROUND(B2*10000/E2,0)</f>
        <v>16858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1037.6996999999999</v>
      </c>
      <c r="C6" s="1872" t="s">
        <v>1651</v>
      </c>
      <c r="D6" s="2709"/>
      <c r="E6" s="2606">
        <f>IF(OR(A6=0,F6="否"),0,'数据-取费表'!K6+'数据-取费表'!S6)</f>
        <v>615.55999999999995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615.55999999999995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615.55999999999995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615.55999999999995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5"/>
      <c r="M5" s="2716"/>
      <c r="N5" s="2716"/>
      <c r="O5" s="2716"/>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615.55999999999995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估价对象为北京市房地产，为所有。根据《国有土地使用证》[]，估价对象（分摊）出让国有建设用地使用权面积为0平方米，建筑面积为615.56平方米。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估价对象为北京市房地产,属开发建设的，该项目尚在开发建设中。根据《国有土地使用证》[]，估价对象（分摊）出让国有建设用地使用权面积为0平方米，规划建筑面积为615.56平方米。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45131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45131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66"/>
      <c r="Q10" s="1343" t="str">
        <f t="shared" si="6"/>
        <v>土地使用年限（年）</v>
      </c>
      <c r="R10" s="701" t="s">
        <v>14</v>
      </c>
      <c r="S10" s="702">
        <f t="shared" si="0"/>
        <v>114</v>
      </c>
      <c r="T10" s="701" t="s">
        <v>14</v>
      </c>
      <c r="U10" s="702">
        <f t="shared" si="1"/>
        <v>114</v>
      </c>
      <c r="V10" s="701" t="s">
        <v>14</v>
      </c>
      <c r="W10" s="702">
        <f t="shared" si="2"/>
        <v>114</v>
      </c>
      <c r="X10" s="703"/>
      <c r="Y10" s="3541"/>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481.49</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134.07</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615.55999999999995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45131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66"/>
      <c r="Q10" s="1343" t="str">
        <f t="shared" si="6"/>
        <v>土地使用年限（年）</v>
      </c>
      <c r="R10" s="701" t="s">
        <v>14</v>
      </c>
      <c r="S10" s="702">
        <f t="shared" si="0"/>
        <v>114</v>
      </c>
      <c r="T10" s="701" t="s">
        <v>14</v>
      </c>
      <c r="U10" s="702">
        <f t="shared" si="1"/>
        <v>114</v>
      </c>
      <c r="V10" s="701" t="s">
        <v>14</v>
      </c>
      <c r="W10" s="702">
        <f t="shared" si="2"/>
        <v>114</v>
      </c>
      <c r="X10" s="703"/>
      <c r="Y10" s="3541"/>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481.49</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134.07</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16818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3382</v>
      </c>
      <c r="F3" s="2004" t="s">
        <v>3383</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13256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11204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11546</v>
      </c>
      <c r="D5" s="1339">
        <f>ROUND(C6*C17+C20,0)</f>
        <v>10994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9881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11030</v>
      </c>
      <c r="D6" s="2017"/>
      <c r="E6" s="2018"/>
      <c r="F6" s="2018"/>
      <c r="G6" s="2019"/>
      <c r="H6" s="2019"/>
      <c r="I6" s="2019"/>
      <c r="J6" s="2020"/>
      <c r="K6" s="1384"/>
      <c r="L6" s="2003" t="s">
        <v>1951</v>
      </c>
      <c r="M6" s="864">
        <f>SUMPRODUCT((区片价!B127:B189=I2)*(区片价!C3:G3=E2)*(区片价!C127:G189))</f>
        <v>11030</v>
      </c>
      <c r="N6" s="866">
        <f>SUMPRODUCT((因素修正幅度!B127:B189=I2)*(因素修正幅度!C3:G3=E2)*(因素修正幅度!C127:G189))</f>
        <v>0.126</v>
      </c>
      <c r="O6" s="1119"/>
      <c r="P6" s="1119"/>
      <c r="Q6" s="1119"/>
      <c r="R6" s="1212">
        <v>5</v>
      </c>
      <c r="S6" s="3361">
        <f>ROUND(SUMPRODUCT((B106:B110=R6)*(C105:N105=G2)*(C106:N110)),4)</f>
        <v>0.84799999999999998</v>
      </c>
      <c r="T6" s="3361">
        <f t="shared" si="0"/>
        <v>9496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1.05</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3260</v>
      </c>
      <c r="B20" s="167" t="s">
        <v>1994</v>
      </c>
      <c r="C20" s="3325">
        <f>ROUND(IF(F21="与级别开发程度一致",0,(G21-E21)/C21),0)</f>
        <v>-36</v>
      </c>
      <c r="D20" s="3341" t="s">
        <v>1998</v>
      </c>
      <c r="E20" s="3342"/>
      <c r="F20" s="3756" t="s">
        <v>1995</v>
      </c>
      <c r="G20" s="3757"/>
      <c r="H20" s="3326" t="s">
        <v>3385</v>
      </c>
      <c r="I20" s="3326" t="s">
        <v>3386</v>
      </c>
      <c r="J20" s="3327" t="s">
        <v>3387</v>
      </c>
      <c r="K20" s="2047" t="s">
        <v>3388</v>
      </c>
      <c r="L20" s="2047" t="s">
        <v>3389</v>
      </c>
      <c r="M20" s="2047" t="s">
        <v>3390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4" t="s">
        <v>2002</v>
      </c>
      <c r="E23" s="761">
        <v>44197</v>
      </c>
      <c r="F23" s="2054" t="s">
        <v>2003</v>
      </c>
      <c r="G23" s="762">
        <f>'数据-取费表'!B2</f>
        <v>45131</v>
      </c>
      <c r="H23" s="3343" t="s">
        <v>3261</v>
      </c>
      <c r="I23" s="3344" t="str">
        <f>IF(H23="季度增幅（自定义）",SUMIF(N25:N28,E2,O25:O28),"")</f>
        <v/>
      </c>
      <c r="J23" s="3446" t="s">
        <v>3391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0.89039999999999997</v>
      </c>
      <c r="D24" s="2060" t="s">
        <v>2007</v>
      </c>
      <c r="E24" s="1335">
        <f>存贷款利率!E23/100</f>
        <v>4.3499999999999997E-2</v>
      </c>
      <c r="F24" s="2060" t="s">
        <v>1999</v>
      </c>
      <c r="G24" s="768">
        <f>SUMIF(M30:Q30,E2,M33:Q33)</f>
        <v>5.5E-2</v>
      </c>
      <c r="H24" s="2060" t="s">
        <v>2008</v>
      </c>
      <c r="I24" s="769">
        <f>SUMIF('数据-取费表'!C6:C15,E2,'数据-取费表'!F6:F15)/COUNTIF('数据-取费表'!C6:C15,E2)</f>
        <v>33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1.0512999999999999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1.0512999999999999</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1.0606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11772</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2943</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6398</v>
      </c>
      <c r="D37" s="2098"/>
      <c r="E37" s="171">
        <f>ROUND(C37*D37/10000,0)</f>
        <v>0</v>
      </c>
      <c r="F37" s="171">
        <f>SUMIF(修正!A57:A68,G2,修正!B57:B68)</f>
        <v>0.6</v>
      </c>
      <c r="G37" s="171">
        <f>ROUND(IF(E2="工业",C37*$M$42,C37*$M$41),0)</f>
        <v>1600</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3199</v>
      </c>
      <c r="D38" s="2098"/>
      <c r="E38" s="171">
        <f t="shared" ref="E38:E42" si="4">ROUND(C38*D38/10000,0)</f>
        <v>0</v>
      </c>
      <c r="F38" s="171">
        <f>SUMIF(修正!A57:A68,G2,修正!C57:C68)</f>
        <v>0.3</v>
      </c>
      <c r="G38" s="171">
        <f>ROUND(IF(E2="工业",C38*$M$42,C38*$M$41),0)</f>
        <v>800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3264</v>
      </c>
      <c r="C39" s="175">
        <f>ROUND(D5*C22*C23*C24*C28*F39,0)</f>
        <v>2666</v>
      </c>
      <c r="D39" s="2098"/>
      <c r="E39" s="171">
        <f t="shared" si="4"/>
        <v>0</v>
      </c>
      <c r="F39" s="171">
        <f>SUMIF(修正!A57:A68,G2,修正!D57:D68)</f>
        <v>0.25</v>
      </c>
      <c r="G39" s="171">
        <f>ROUND(IF(E2="工业",C39*$M$42,C39*$M$41),0)</f>
        <v>667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2666</v>
      </c>
      <c r="D40" s="2098"/>
      <c r="E40" s="171">
        <f t="shared" si="4"/>
        <v>0</v>
      </c>
      <c r="F40" s="175">
        <f>SUMIF(修正!A57:A68,G2,修正!E57:E68)</f>
        <v>0.25</v>
      </c>
      <c r="G40" s="171">
        <f>ROUND(IF(E2="工业",C40*$M$42,C40*$M$41),0)</f>
        <v>667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2666</v>
      </c>
      <c r="D41" s="2098"/>
      <c r="E41" s="171">
        <f t="shared" si="4"/>
        <v>0</v>
      </c>
      <c r="F41" s="175">
        <f>SUMIF(修正!A57:A68,G2,修正!F57:F68)</f>
        <v>0.25</v>
      </c>
      <c r="G41" s="171">
        <f>ROUND(IF(E2="工业",C41*$M$42,C41*$M$41),0)</f>
        <v>667</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1599</v>
      </c>
      <c r="D42" s="2103"/>
      <c r="E42" s="187">
        <f t="shared" si="4"/>
        <v>0</v>
      </c>
      <c r="F42" s="767">
        <f>SUMIF(修正!A57:A68,G2,修正!G57:G68)</f>
        <v>0.15</v>
      </c>
      <c r="G42" s="187">
        <f>ROUND(IF(E2="工业",C42*$M$42,C42*$M$41),0)</f>
        <v>400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0.89039999999999997</v>
      </c>
      <c r="D44" s="171" t="s">
        <v>1999</v>
      </c>
      <c r="E44" s="2153">
        <f>G24</f>
        <v>5.5E-2</v>
      </c>
      <c r="F44" s="171" t="s">
        <v>2008</v>
      </c>
      <c r="G44" s="183">
        <f>项目基本情况!F15</f>
        <v>33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1.0606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3392</v>
      </c>
      <c r="D61" s="1065">
        <f t="shared" ref="D61:D69" si="12">SUMIF($J$60:$N$60,C61,J61:N61)</f>
        <v>1.5699999999999999E-2</v>
      </c>
      <c r="E61" s="744">
        <f>ROUND(SUM(D61:D69),4)</f>
        <v>6.0600000000000001E-2</v>
      </c>
      <c r="F61" s="1814">
        <f>IF(E2="办公",SUMIF(L1:L12,G2,N1:N12),"——")</f>
        <v>0.126</v>
      </c>
      <c r="G61" s="1063">
        <f>H61</f>
        <v>1.5699999999999999E-2</v>
      </c>
      <c r="H61" s="1066">
        <f t="shared" ref="H61:H69" si="13">IFERROR(ROUNDDOWN($F$61*I61/2,4),"——")</f>
        <v>1.5699999999999999E-2</v>
      </c>
      <c r="I61" s="3367">
        <v>0.25</v>
      </c>
      <c r="J61" s="1064">
        <f t="shared" ref="J61:J69" si="14">K61+$G61</f>
        <v>3.1399999999999997E-2</v>
      </c>
      <c r="K61" s="1064">
        <f t="shared" ref="K61:K69" si="15">$L61+$G61</f>
        <v>1.5699999999999999E-2</v>
      </c>
      <c r="L61" s="1064">
        <v>0</v>
      </c>
      <c r="M61" s="1064">
        <f t="shared" ref="M61:N69" si="16">L61-$G61</f>
        <v>-1.5699999999999999E-2</v>
      </c>
      <c r="N61" s="1064">
        <f t="shared" si="16"/>
        <v>-3.1399999999999997E-2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3392</v>
      </c>
      <c r="D62" s="1065">
        <f t="shared" si="12"/>
        <v>1.6299999999999999E-2</v>
      </c>
      <c r="E62" s="745"/>
      <c r="F62" s="1814"/>
      <c r="G62" s="1063">
        <f t="shared" ref="G62:G69" si="17">H62</f>
        <v>1.6299999999999999E-2</v>
      </c>
      <c r="H62" s="1066">
        <f t="shared" si="13"/>
        <v>1.6299999999999999E-2</v>
      </c>
      <c r="I62" s="3367">
        <v>0.26</v>
      </c>
      <c r="J62" s="1064">
        <f t="shared" si="14"/>
        <v>3.2599999999999997E-2</v>
      </c>
      <c r="K62" s="1064">
        <f t="shared" si="15"/>
        <v>1.6299999999999999E-2</v>
      </c>
      <c r="L62" s="1064">
        <v>0</v>
      </c>
      <c r="M62" s="1064">
        <f t="shared" si="16"/>
        <v>-1.6299999999999999E-2</v>
      </c>
      <c r="N62" s="1064">
        <f t="shared" si="16"/>
        <v>-3.2599999999999997E-2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3392</v>
      </c>
      <c r="D63" s="1065">
        <f t="shared" si="12"/>
        <v>6.8999999999999999E-3</v>
      </c>
      <c r="E63" s="745"/>
      <c r="F63" s="1814"/>
      <c r="G63" s="1063">
        <f t="shared" si="17"/>
        <v>6.8999999999999999E-3</v>
      </c>
      <c r="H63" s="1066">
        <f t="shared" si="13"/>
        <v>6.8999999999999999E-3</v>
      </c>
      <c r="I63" s="3367">
        <v>0.11</v>
      </c>
      <c r="J63" s="1064">
        <f t="shared" si="14"/>
        <v>1.38E-2</v>
      </c>
      <c r="K63" s="1064">
        <f t="shared" si="15"/>
        <v>6.8999999999999999E-3</v>
      </c>
      <c r="L63" s="1064">
        <v>0</v>
      </c>
      <c r="M63" s="1064">
        <f t="shared" si="16"/>
        <v>-6.8999999999999999E-3</v>
      </c>
      <c r="N63" s="1064">
        <f t="shared" si="16"/>
        <v>-1.38E-2</v>
      </c>
      <c r="AA63" s="1120"/>
      <c r="AB63" s="1120"/>
      <c r="AC63" s="1120"/>
      <c r="AD63" s="1120"/>
      <c r="AE63" s="1120"/>
      <c r="AF63" s="1120"/>
      <c r="AG63" s="1120"/>
      <c r="AH63" s="1120"/>
      <c r="AI63" s="1120"/>
      <c r="AJ63" s="1120"/>
      <c r="AK63" s="1120"/>
    </row>
    <row r="64" spans="1:37" s="1119" customFormat="1" ht="36.75">
      <c r="A64" s="2130" t="s">
        <v>2054</v>
      </c>
      <c r="B64" s="2135" t="s">
        <v>2055</v>
      </c>
      <c r="C64" s="2044" t="s">
        <v>3392</v>
      </c>
      <c r="D64" s="1065">
        <f t="shared" si="12"/>
        <v>3.0999999999999999E-3</v>
      </c>
      <c r="E64" s="745"/>
      <c r="F64" s="1814"/>
      <c r="G64" s="1063">
        <f t="shared" si="17"/>
        <v>3.0999999999999999E-3</v>
      </c>
      <c r="H64" s="1066">
        <f t="shared" si="13"/>
        <v>3.0999999999999999E-3</v>
      </c>
      <c r="I64" s="3367">
        <v>0.05</v>
      </c>
      <c r="J64" s="1064">
        <f t="shared" si="14"/>
        <v>6.1999999999999998E-3</v>
      </c>
      <c r="K64" s="1064">
        <f t="shared" si="15"/>
        <v>3.0999999999999999E-3</v>
      </c>
      <c r="L64" s="1064">
        <v>0</v>
      </c>
      <c r="M64" s="1064">
        <f t="shared" si="16"/>
        <v>-3.0999999999999999E-3</v>
      </c>
      <c r="N64" s="1064">
        <f t="shared" si="16"/>
        <v>-6.1999999999999998E-3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3393</v>
      </c>
      <c r="D65" s="1065">
        <f t="shared" si="12"/>
        <v>0</v>
      </c>
      <c r="E65" s="745"/>
      <c r="F65" s="1814"/>
      <c r="G65" s="1063">
        <f t="shared" si="17"/>
        <v>3.0999999999999999E-3</v>
      </c>
      <c r="H65" s="1066">
        <f t="shared" si="13"/>
        <v>3.0999999999999999E-3</v>
      </c>
      <c r="I65" s="3367">
        <v>0.05</v>
      </c>
      <c r="J65" s="1064">
        <f t="shared" si="14"/>
        <v>6.1999999999999998E-3</v>
      </c>
      <c r="K65" s="1064">
        <f t="shared" si="15"/>
        <v>3.0999999999999999E-3</v>
      </c>
      <c r="L65" s="1064">
        <v>0</v>
      </c>
      <c r="M65" s="1064">
        <f t="shared" si="16"/>
        <v>-3.0999999999999999E-3</v>
      </c>
      <c r="N65" s="1064">
        <f t="shared" si="16"/>
        <v>-6.1999999999999998E-3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3392</v>
      </c>
      <c r="D66" s="1065">
        <f t="shared" si="12"/>
        <v>3.7000000000000002E-3</v>
      </c>
      <c r="E66" s="745"/>
      <c r="F66" s="1814"/>
      <c r="G66" s="1063">
        <f t="shared" si="17"/>
        <v>3.7000000000000002E-3</v>
      </c>
      <c r="H66" s="1066">
        <f t="shared" si="13"/>
        <v>3.7000000000000002E-3</v>
      </c>
      <c r="I66" s="3367">
        <v>0.06</v>
      </c>
      <c r="J66" s="1064">
        <f t="shared" si="14"/>
        <v>7.4000000000000003E-3</v>
      </c>
      <c r="K66" s="1064">
        <f t="shared" si="15"/>
        <v>3.7000000000000002E-3</v>
      </c>
      <c r="L66" s="1064">
        <v>0</v>
      </c>
      <c r="M66" s="1064">
        <f t="shared" si="16"/>
        <v>-3.7000000000000002E-3</v>
      </c>
      <c r="N66" s="1064">
        <f t="shared" si="16"/>
        <v>-7.4000000000000003E-3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3392</v>
      </c>
      <c r="D67" s="1065">
        <f t="shared" si="12"/>
        <v>3.7000000000000002E-3</v>
      </c>
      <c r="E67" s="745"/>
      <c r="F67" s="1814"/>
      <c r="G67" s="1063">
        <f t="shared" si="17"/>
        <v>3.7000000000000002E-3</v>
      </c>
      <c r="H67" s="1066">
        <f t="shared" si="13"/>
        <v>3.7000000000000002E-3</v>
      </c>
      <c r="I67" s="3367">
        <v>0.06</v>
      </c>
      <c r="J67" s="1064">
        <f t="shared" si="14"/>
        <v>7.4000000000000003E-3</v>
      </c>
      <c r="K67" s="1064">
        <f t="shared" si="15"/>
        <v>3.7000000000000002E-3</v>
      </c>
      <c r="L67" s="1064">
        <v>0</v>
      </c>
      <c r="M67" s="1064">
        <f t="shared" si="16"/>
        <v>-3.7000000000000002E-3</v>
      </c>
      <c r="N67" s="1064">
        <f t="shared" si="16"/>
        <v>-7.4000000000000003E-3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3394</v>
      </c>
      <c r="D68" s="1065">
        <f t="shared" si="12"/>
        <v>1.12E-2</v>
      </c>
      <c r="E68" s="745"/>
      <c r="F68" s="1814"/>
      <c r="G68" s="1063">
        <f t="shared" si="17"/>
        <v>5.5999999999999999E-3</v>
      </c>
      <c r="H68" s="1066">
        <f t="shared" si="13"/>
        <v>5.5999999999999999E-3</v>
      </c>
      <c r="I68" s="3367">
        <v>0.09</v>
      </c>
      <c r="J68" s="1064">
        <f t="shared" si="14"/>
        <v>1.12E-2</v>
      </c>
      <c r="K68" s="1064">
        <f t="shared" si="15"/>
        <v>5.5999999999999999E-3</v>
      </c>
      <c r="L68" s="1064">
        <v>0</v>
      </c>
      <c r="M68" s="1064">
        <f t="shared" si="16"/>
        <v>-5.5999999999999999E-3</v>
      </c>
      <c r="N68" s="1064">
        <f t="shared" si="16"/>
        <v>-1.12E-2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3393</v>
      </c>
      <c r="D69" s="1065">
        <f t="shared" si="12"/>
        <v>0</v>
      </c>
      <c r="E69" s="746"/>
      <c r="F69" s="1814"/>
      <c r="G69" s="1063">
        <f t="shared" si="17"/>
        <v>4.4000000000000003E-3</v>
      </c>
      <c r="H69" s="1066">
        <f t="shared" si="13"/>
        <v>4.4000000000000003E-3</v>
      </c>
      <c r="I69" s="3368">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2" t="s">
        <v>3299</v>
      </c>
      <c r="B103" s="3752"/>
      <c r="C103" s="3752"/>
      <c r="D103" s="3752"/>
      <c r="E103" s="3752"/>
      <c r="F103" s="3752"/>
      <c r="G103" s="3752"/>
      <c r="H103" s="3752"/>
      <c r="I103" s="3752"/>
      <c r="J103" s="3752"/>
      <c r="K103" s="3390"/>
      <c r="L103" s="3390"/>
      <c r="M103" s="3390"/>
      <c r="N103" s="3390"/>
    </row>
    <row r="104" spans="1:14">
      <c r="A104" s="3753" t="s">
        <v>3300</v>
      </c>
      <c r="B104" s="3753" t="s">
        <v>3301</v>
      </c>
      <c r="C104" s="3391" t="s">
        <v>3302</v>
      </c>
      <c r="D104" s="3392"/>
      <c r="E104" s="3392"/>
      <c r="F104" s="3392"/>
      <c r="G104" s="3392"/>
      <c r="H104" s="3392"/>
      <c r="I104" s="3392"/>
      <c r="J104" s="3393"/>
      <c r="K104" s="3394"/>
      <c r="L104" s="3394"/>
      <c r="M104" s="3394"/>
      <c r="N104" s="3394"/>
    </row>
    <row r="105" spans="1:14">
      <c r="A105" s="3753"/>
      <c r="B105" s="3753"/>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9"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2" t="s">
        <v>3316</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v>
      </c>
      <c r="C116" s="3400" t="s">
        <v>3318</v>
      </c>
      <c r="D116" s="3401">
        <f>SUMPRODUCT((A118:A122=F116)*(B117:M117=H116)*B118:M122)</f>
        <v>0.91310000000000002</v>
      </c>
      <c r="E116" s="2000" t="s">
        <v>3319</v>
      </c>
      <c r="F116" s="3402" t="str">
        <f>E2</f>
        <v>办公</v>
      </c>
      <c r="G116" s="2000" t="s">
        <v>3320</v>
      </c>
      <c r="H116" s="3402" t="str">
        <f>G2</f>
        <v>六级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3334</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3335</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3336</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2"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4" t="s">
        <v>2635</v>
      </c>
      <c r="B27" s="3762" t="s">
        <v>2616</v>
      </c>
      <c r="C27" s="3103" t="s">
        <v>2456</v>
      </c>
      <c r="D27" s="3104"/>
      <c r="E27" s="3105">
        <v>1</v>
      </c>
      <c r="F27" s="3106" t="s">
        <v>2457</v>
      </c>
      <c r="G27" s="3106"/>
    </row>
    <row r="28" spans="1:13" ht="19.5" customHeight="1">
      <c r="A28" s="3765"/>
      <c r="B28" s="3761"/>
      <c r="C28" s="3107" t="s">
        <v>2458</v>
      </c>
      <c r="D28" s="3108"/>
      <c r="E28" s="3109">
        <v>1</v>
      </c>
      <c r="F28" s="3106" t="s">
        <v>2459</v>
      </c>
      <c r="G28" s="3106"/>
    </row>
    <row r="29" spans="1:13" ht="19.5" customHeight="1">
      <c r="A29" s="3765"/>
      <c r="B29" s="3761"/>
      <c r="C29" s="3107" t="s">
        <v>2460</v>
      </c>
      <c r="D29" s="3108"/>
      <c r="E29" s="3109">
        <v>0.8</v>
      </c>
      <c r="F29" s="3106" t="s">
        <v>2461</v>
      </c>
      <c r="G29" s="3106"/>
    </row>
    <row r="30" spans="1:13" ht="19.5" customHeight="1">
      <c r="A30" s="3765"/>
      <c r="B30" s="3761"/>
      <c r="C30" s="3107" t="s">
        <v>2462</v>
      </c>
      <c r="D30" s="3108"/>
      <c r="E30" s="3109">
        <v>0.8</v>
      </c>
      <c r="F30" s="3106" t="s">
        <v>2463</v>
      </c>
      <c r="G30" s="3106"/>
    </row>
    <row r="31" spans="1:13" ht="19.5" customHeight="1">
      <c r="A31" s="3765"/>
      <c r="B31" s="3761"/>
      <c r="C31" s="3107" t="s">
        <v>2464</v>
      </c>
      <c r="D31" s="3108"/>
      <c r="E31" s="3109">
        <v>0.8</v>
      </c>
      <c r="F31" s="3106" t="s">
        <v>2465</v>
      </c>
      <c r="G31" s="3106"/>
    </row>
    <row r="32" spans="1:13" ht="19.5" customHeight="1">
      <c r="A32" s="3765"/>
      <c r="B32" s="3761"/>
      <c r="C32" s="3107" t="s">
        <v>2466</v>
      </c>
      <c r="D32" s="3108"/>
      <c r="E32" s="3109">
        <v>0.7</v>
      </c>
      <c r="F32" s="3106" t="s">
        <v>2467</v>
      </c>
      <c r="G32" s="3106"/>
    </row>
    <row r="33" spans="1:7" ht="19.5" customHeight="1">
      <c r="A33" s="3765"/>
      <c r="B33" s="3761"/>
      <c r="C33" s="3107" t="s">
        <v>2468</v>
      </c>
      <c r="D33" s="3108"/>
      <c r="E33" s="3109">
        <v>0.8</v>
      </c>
      <c r="F33" s="3106" t="s">
        <v>2469</v>
      </c>
      <c r="G33" s="3106"/>
    </row>
    <row r="34" spans="1:7" ht="19.5" customHeight="1">
      <c r="A34" s="3765"/>
      <c r="B34" s="3761"/>
      <c r="C34" s="3107" t="s">
        <v>2470</v>
      </c>
      <c r="D34" s="3108"/>
      <c r="E34" s="3109">
        <v>0.6</v>
      </c>
      <c r="F34" s="3106" t="s">
        <v>2471</v>
      </c>
      <c r="G34" s="3106"/>
    </row>
    <row r="35" spans="1:7" ht="19.5" customHeight="1">
      <c r="A35" s="3765"/>
      <c r="B35" s="3761"/>
      <c r="C35" s="3107" t="s">
        <v>2472</v>
      </c>
      <c r="D35" s="3108"/>
      <c r="E35" s="3109">
        <v>0.2</v>
      </c>
      <c r="F35" s="3106" t="s">
        <v>2473</v>
      </c>
      <c r="G35" s="3106"/>
    </row>
    <row r="36" spans="1:7" ht="19.5" customHeight="1">
      <c r="A36" s="3765"/>
      <c r="B36" s="3761"/>
      <c r="C36" s="3107" t="s">
        <v>2474</v>
      </c>
      <c r="D36" s="3108"/>
      <c r="E36" s="3109">
        <v>0.2</v>
      </c>
      <c r="F36" s="3106" t="s">
        <v>2475</v>
      </c>
      <c r="G36" s="3106"/>
    </row>
    <row r="37" spans="1:7" ht="19.5" customHeight="1">
      <c r="A37" s="3765"/>
      <c r="B37" s="3759" t="s">
        <v>2636</v>
      </c>
      <c r="C37" s="3107" t="s">
        <v>2476</v>
      </c>
      <c r="D37" s="3108"/>
      <c r="E37" s="3109">
        <v>0.6</v>
      </c>
      <c r="F37" s="3106" t="s">
        <v>2477</v>
      </c>
      <c r="G37" s="3106"/>
    </row>
    <row r="38" spans="1:7" ht="19.5" customHeight="1">
      <c r="A38" s="3765"/>
      <c r="B38" s="3761"/>
      <c r="C38" s="3107" t="s">
        <v>2478</v>
      </c>
      <c r="D38" s="3108"/>
      <c r="E38" s="3109">
        <v>0.6</v>
      </c>
      <c r="F38" s="3106" t="s">
        <v>2479</v>
      </c>
      <c r="G38" s="3106"/>
    </row>
    <row r="39" spans="1:7" ht="19.5" customHeight="1" thickBot="1">
      <c r="A39" s="3766"/>
      <c r="B39" s="376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2"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6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59"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9"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60"/>
      <c r="C89" s="3092" t="s">
        <v>2688</v>
      </c>
      <c r="D89" s="3092" t="s">
        <v>2689</v>
      </c>
      <c r="E89" s="3118">
        <v>0.1</v>
      </c>
      <c r="F89" s="3118">
        <v>15</v>
      </c>
    </row>
    <row r="90" spans="1:6" ht="13.5">
      <c r="A90" s="3118">
        <v>18</v>
      </c>
      <c r="B90" s="3759"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60"/>
      <c r="C106" s="3092" t="s">
        <v>2723</v>
      </c>
      <c r="D106" s="3092" t="s">
        <v>2724</v>
      </c>
      <c r="E106" s="3118">
        <v>0.1</v>
      </c>
      <c r="F106" s="3118">
        <v>15</v>
      </c>
    </row>
    <row r="107" spans="1:6" ht="24">
      <c r="A107" s="3118">
        <v>35</v>
      </c>
      <c r="B107" s="3759"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60"/>
      <c r="C112" s="3118" t="s">
        <v>2736</v>
      </c>
      <c r="D112" s="3092" t="s">
        <v>2737</v>
      </c>
      <c r="E112" s="3118">
        <v>0.1</v>
      </c>
      <c r="F112" s="3118">
        <v>15</v>
      </c>
    </row>
    <row r="113" spans="1:6" ht="13.5">
      <c r="A113" s="3118">
        <v>41</v>
      </c>
      <c r="B113" s="3758" t="s">
        <v>2738</v>
      </c>
      <c r="C113" s="3118" t="s">
        <v>2739</v>
      </c>
      <c r="D113" s="3092" t="s">
        <v>2740</v>
      </c>
      <c r="E113" s="3118">
        <v>0.1</v>
      </c>
      <c r="F113" s="3118">
        <v>15</v>
      </c>
    </row>
    <row r="114" spans="1:6" ht="13.5">
      <c r="A114" s="3118">
        <v>42</v>
      </c>
      <c r="B114" s="3758"/>
      <c r="C114" s="3118" t="s">
        <v>2741</v>
      </c>
      <c r="D114" s="3092" t="s">
        <v>2742</v>
      </c>
      <c r="E114" s="3118">
        <v>0.1</v>
      </c>
      <c r="F114" s="3118">
        <v>15</v>
      </c>
    </row>
    <row r="115" spans="1:6" ht="24">
      <c r="A115" s="3118">
        <v>43</v>
      </c>
      <c r="B115" s="3758"/>
      <c r="C115" s="3118" t="s">
        <v>2743</v>
      </c>
      <c r="D115" s="3092" t="s">
        <v>2744</v>
      </c>
      <c r="E115" s="3118">
        <v>0.1</v>
      </c>
      <c r="F115" s="3118">
        <v>15</v>
      </c>
    </row>
    <row r="116" spans="1:6" ht="13.5">
      <c r="A116" s="3118">
        <v>44</v>
      </c>
      <c r="B116" s="3759" t="s">
        <v>2745</v>
      </c>
      <c r="C116" s="3118" t="s">
        <v>2746</v>
      </c>
      <c r="D116" s="3092" t="s">
        <v>2747</v>
      </c>
      <c r="E116" s="3118">
        <v>0.1</v>
      </c>
      <c r="F116" s="3118">
        <v>15</v>
      </c>
    </row>
    <row r="117" spans="1:6" ht="24">
      <c r="A117" s="3118">
        <v>45</v>
      </c>
      <c r="B117" s="3760"/>
      <c r="C117" s="3092" t="s">
        <v>2748</v>
      </c>
      <c r="D117" s="3092" t="s">
        <v>2749</v>
      </c>
      <c r="E117" s="3118">
        <v>0.1</v>
      </c>
      <c r="F117" s="3118">
        <v>15</v>
      </c>
    </row>
    <row r="118" spans="1:6" ht="24">
      <c r="A118" s="3118">
        <v>46</v>
      </c>
      <c r="B118" s="3759" t="s">
        <v>2750</v>
      </c>
      <c r="C118" s="3118" t="s">
        <v>2751</v>
      </c>
      <c r="D118" s="3092" t="s">
        <v>2752</v>
      </c>
      <c r="E118" s="3118">
        <v>0.1</v>
      </c>
      <c r="F118" s="3118">
        <v>15</v>
      </c>
    </row>
    <row r="119" spans="1:6" ht="24">
      <c r="A119" s="3118">
        <v>47</v>
      </c>
      <c r="B119" s="3760"/>
      <c r="C119" s="3118" t="s">
        <v>2753</v>
      </c>
      <c r="D119" s="3092" t="s">
        <v>2754</v>
      </c>
      <c r="E119" s="3118">
        <v>0.1</v>
      </c>
      <c r="F119" s="3118">
        <v>15</v>
      </c>
    </row>
    <row r="120" spans="1:6" ht="13.5">
      <c r="A120" s="3118">
        <v>48</v>
      </c>
      <c r="B120" s="3759" t="s">
        <v>2755</v>
      </c>
      <c r="C120" s="3118" t="s">
        <v>2756</v>
      </c>
      <c r="D120" s="3092" t="s">
        <v>2757</v>
      </c>
      <c r="E120" s="3118">
        <v>0.1</v>
      </c>
      <c r="F120" s="3118">
        <v>15</v>
      </c>
    </row>
    <row r="121" spans="1:6" ht="13.5">
      <c r="A121" s="3118">
        <v>49</v>
      </c>
      <c r="B121" s="3760"/>
      <c r="C121" s="3118" t="s">
        <v>2758</v>
      </c>
      <c r="D121" s="3092" t="s">
        <v>2759</v>
      </c>
      <c r="E121" s="3118">
        <v>0.1</v>
      </c>
      <c r="F121" s="3118">
        <v>15</v>
      </c>
    </row>
    <row r="122" spans="1:6" ht="24">
      <c r="A122" s="3118">
        <v>50</v>
      </c>
      <c r="B122" s="3758" t="s">
        <v>2760</v>
      </c>
      <c r="C122" s="3118" t="s">
        <v>2761</v>
      </c>
      <c r="D122" s="3092" t="s">
        <v>2762</v>
      </c>
      <c r="E122" s="3118">
        <v>0.1</v>
      </c>
      <c r="F122" s="3118">
        <v>15</v>
      </c>
    </row>
    <row r="123" spans="1:6" ht="24">
      <c r="A123" s="3118">
        <v>51</v>
      </c>
      <c r="B123" s="3758"/>
      <c r="C123" s="3118" t="s">
        <v>2763</v>
      </c>
      <c r="D123" s="3092" t="s">
        <v>2764</v>
      </c>
      <c r="E123" s="3118">
        <v>0.1</v>
      </c>
      <c r="F123" s="3118">
        <v>15</v>
      </c>
    </row>
    <row r="124" spans="1:6" ht="24">
      <c r="A124" s="3118">
        <v>52</v>
      </c>
      <c r="B124" s="3758" t="s">
        <v>2765</v>
      </c>
      <c r="C124" s="3118" t="s">
        <v>2766</v>
      </c>
      <c r="D124" s="3092" t="s">
        <v>2767</v>
      </c>
      <c r="E124" s="3118">
        <v>0.1</v>
      </c>
      <c r="F124" s="3118">
        <v>15</v>
      </c>
    </row>
    <row r="125" spans="1:6" ht="24">
      <c r="A125" s="3118">
        <v>53</v>
      </c>
      <c r="B125" s="375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8" t="s">
        <v>2773</v>
      </c>
      <c r="C127" s="3118" t="s">
        <v>2774</v>
      </c>
      <c r="D127" s="3092" t="s">
        <v>2775</v>
      </c>
      <c r="E127" s="3118">
        <v>0.1</v>
      </c>
      <c r="F127" s="3118">
        <v>15</v>
      </c>
    </row>
    <row r="128" spans="1:6" ht="13.5">
      <c r="A128" s="3118">
        <v>56</v>
      </c>
      <c r="B128" s="3758"/>
      <c r="C128" s="3118" t="s">
        <v>2776</v>
      </c>
      <c r="D128" s="3092" t="s">
        <v>2777</v>
      </c>
      <c r="E128" s="3118">
        <v>0.1</v>
      </c>
      <c r="F128" s="3118">
        <v>15</v>
      </c>
    </row>
    <row r="129" spans="1:6" ht="24">
      <c r="A129" s="3118">
        <v>57</v>
      </c>
      <c r="B129" s="3758"/>
      <c r="C129" s="3118" t="s">
        <v>2778</v>
      </c>
      <c r="D129" s="3092" t="s">
        <v>2779</v>
      </c>
      <c r="E129" s="3118">
        <v>0.1</v>
      </c>
      <c r="F129" s="3118">
        <v>15</v>
      </c>
    </row>
    <row r="130" spans="1:6" ht="24">
      <c r="A130" s="3118">
        <v>58</v>
      </c>
      <c r="B130" s="3758" t="s">
        <v>2780</v>
      </c>
      <c r="C130" s="3118" t="s">
        <v>2781</v>
      </c>
      <c r="D130" s="3092" t="s">
        <v>2782</v>
      </c>
      <c r="E130" s="3118">
        <v>0.1</v>
      </c>
      <c r="F130" s="3118">
        <v>15</v>
      </c>
    </row>
    <row r="131" spans="1:6" ht="13.5">
      <c r="A131" s="3118">
        <v>59</v>
      </c>
      <c r="B131" s="3758"/>
      <c r="C131" s="3118" t="s">
        <v>2783</v>
      </c>
      <c r="D131" s="3092" t="s">
        <v>2784</v>
      </c>
      <c r="E131" s="3118">
        <v>0.1</v>
      </c>
      <c r="F131" s="3118">
        <v>15</v>
      </c>
    </row>
    <row r="132" spans="1:6" ht="13.5">
      <c r="A132" s="3118">
        <v>60</v>
      </c>
      <c r="B132" s="3759" t="s">
        <v>2785</v>
      </c>
      <c r="C132" s="3118" t="s">
        <v>2786</v>
      </c>
      <c r="D132" s="3092" t="s">
        <v>2787</v>
      </c>
      <c r="E132" s="3118">
        <v>0.1</v>
      </c>
      <c r="F132" s="3118">
        <v>15</v>
      </c>
    </row>
    <row r="133" spans="1:6" ht="13.5">
      <c r="A133" s="3118">
        <v>61</v>
      </c>
      <c r="B133" s="376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8" t="s">
        <v>2793</v>
      </c>
      <c r="C135" s="3118" t="s">
        <v>2794</v>
      </c>
      <c r="D135" s="3092" t="s">
        <v>2795</v>
      </c>
      <c r="E135" s="3118">
        <v>0.1</v>
      </c>
      <c r="F135" s="3118">
        <v>15</v>
      </c>
    </row>
    <row r="136" spans="1:6" ht="13.5">
      <c r="A136" s="3118">
        <v>64</v>
      </c>
      <c r="B136" s="375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1.0512999999999999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28800</v>
      </c>
      <c r="C2" s="2" t="s">
        <v>106</v>
      </c>
      <c r="D2" s="199"/>
      <c r="E2" s="199"/>
      <c r="F2" s="199"/>
      <c r="G2" s="199"/>
    </row>
    <row r="3" spans="1:7" s="200" customFormat="1" ht="18" customHeight="1" thickBot="1">
      <c r="A3" s="203" t="s">
        <v>58</v>
      </c>
      <c r="B3" s="204">
        <f ca="1">ROUND(B2*10000/'数据-汇总表'!E3,0)</f>
        <v>467867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12</v>
      </c>
      <c r="D10" s="845">
        <f>'数据-汇总表'!E6</f>
        <v>615.55999999999995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615.55999999999995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1512</v>
      </c>
      <c r="D22" s="235">
        <f ca="1">C26</f>
        <v>1.1000000000000001E-3</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3186</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277</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615.55999999999995</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v>
      </c>
      <c r="D41" s="235">
        <f ca="1">C44</f>
        <v>1.1000000000000001E-3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1.1000000000000001E-3</v>
      </c>
      <c r="D44" s="238"/>
      <c r="E44" s="238"/>
      <c r="F44" s="239"/>
      <c r="G44" s="3636"/>
    </row>
    <row r="45" spans="1:7" s="214" customFormat="1" ht="13.5" customHeight="1">
      <c r="A45" s="777" t="s">
        <v>341</v>
      </c>
      <c r="B45" s="244" t="s">
        <v>85</v>
      </c>
      <c r="C45" s="245">
        <f>C46</f>
        <v>47</v>
      </c>
      <c r="D45" s="235">
        <f>C47</f>
        <v>4.4999999999999997E-3</v>
      </c>
      <c r="E45" s="236" t="s">
        <v>102</v>
      </c>
      <c r="F45" s="246"/>
      <c r="G45" s="247" t="s">
        <v>434</v>
      </c>
    </row>
    <row r="46" spans="1:7" s="214" customFormat="1" ht="13.5" customHeight="1">
      <c r="A46" s="780" t="s">
        <v>349</v>
      </c>
      <c r="B46" s="248" t="s">
        <v>427</v>
      </c>
      <c r="C46" s="249">
        <f>ROUND((C33+C39)*F27,0)</f>
        <v>47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411</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329</v>
      </c>
      <c r="D51" s="232"/>
      <c r="E51" s="232"/>
      <c r="F51" s="264"/>
      <c r="G51" s="234" t="s">
        <v>37</v>
      </c>
    </row>
    <row r="52" spans="1:7" s="208" customFormat="1" ht="16.5" thickBot="1">
      <c r="A52" s="265" t="s">
        <v>38</v>
      </c>
      <c r="B52" s="266"/>
      <c r="C52" s="267">
        <f ca="1">C31+C51</f>
        <v>28800</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1111</v>
      </c>
      <c r="E5" s="1491"/>
    </row>
    <row r="6" spans="1:5" ht="15.75">
      <c r="A6" s="1491"/>
      <c r="B6" s="3453"/>
      <c r="C6" s="1494" t="s">
        <v>911</v>
      </c>
      <c r="D6" s="850" t="str">
        <f ca="1">NUMBERSTRING(INT(D5*10000),2)&amp;"元整"</f>
        <v>壹仟壹佰壹拾壹万元整</v>
      </c>
      <c r="E6" s="1491"/>
    </row>
    <row r="7" spans="1:5" ht="15.75">
      <c r="A7" s="1491"/>
      <c r="B7" s="3458"/>
      <c r="C7" s="1495" t="s">
        <v>912</v>
      </c>
      <c r="D7" s="851">
        <f ca="1">结果表!H102</f>
        <v>18041</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1111</v>
      </c>
      <c r="E13" s="1491"/>
    </row>
    <row r="14" spans="1:5" ht="15.75">
      <c r="A14" s="1491"/>
      <c r="B14" s="3453"/>
      <c r="C14" s="1494" t="s">
        <v>911</v>
      </c>
      <c r="D14" s="850" t="str">
        <f ca="1">NUMBERSTRING(INT(D13*10000),2)&amp;"元整"</f>
        <v>壹仟壹佰壹拾壹万元整</v>
      </c>
      <c r="E14" s="1491"/>
    </row>
    <row r="15" spans="1:5" ht="15">
      <c r="A15" s="1491"/>
      <c r="B15" s="3458"/>
      <c r="C15" s="1495" t="s">
        <v>921</v>
      </c>
      <c r="D15" s="859">
        <f ca="1">结果表!H108</f>
        <v>18041</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2845</v>
      </c>
      <c r="B1" s="3772"/>
      <c r="C1" s="3772"/>
      <c r="D1" s="3772"/>
      <c r="E1" s="3772"/>
      <c r="F1" s="3772"/>
      <c r="G1" s="3773"/>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0"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1"/>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3187</v>
      </c>
      <c r="B1" s="3774"/>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5" t="s">
        <v>3238</v>
      </c>
      <c r="B1" s="3775"/>
      <c r="C1" s="3775"/>
      <c r="D1" s="3775"/>
      <c r="E1" s="3775"/>
      <c r="F1" s="3776"/>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J17" sqref="J17"/>
    </sheetView>
  </sheetViews>
  <sheetFormatPr defaultRowHeight="13.5"/>
  <cols>
    <col min="1" max="1" width="13.875" customWidth="1"/>
    <col min="11" max="17" width="0" hidden="1" customWidth="1"/>
    <col min="25" max="30" width="0" hidden="1" customWidth="1"/>
  </cols>
  <sheetData>
    <row r="1" spans="1:30">
      <c r="A1" s="3221">
        <f>基准地价修正!G23</f>
        <v>45131</v>
      </c>
      <c r="B1" s="3210" t="s">
        <v>2844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85" customFormat="1" ht="12.75">
      <c r="A7" s="3176" t="s">
        <v>3373</v>
      </c>
      <c r="B7" s="3177">
        <v>2023</v>
      </c>
      <c r="C7" s="3178">
        <v>2</v>
      </c>
      <c r="D7" s="3179">
        <v>0.91</v>
      </c>
      <c r="E7" s="3179">
        <v>0.66</v>
      </c>
      <c r="F7" s="3179">
        <v>0.47</v>
      </c>
      <c r="G7" s="3179">
        <v>0.96</v>
      </c>
      <c r="H7" s="3179">
        <v>0.71</v>
      </c>
      <c r="I7" s="3180">
        <f t="shared" si="4"/>
        <v>0.47</v>
      </c>
      <c r="J7" s="3181"/>
      <c r="K7" s="3182">
        <f t="shared" si="8"/>
        <v>9.1000000000000004E-3</v>
      </c>
      <c r="L7" s="3172">
        <f t="shared" si="9"/>
        <v>6.6E-3</v>
      </c>
      <c r="M7" s="3172">
        <f t="shared" si="10"/>
        <v>4.6999999999999993E-3</v>
      </c>
      <c r="N7" s="3172">
        <f t="shared" si="11"/>
        <v>9.5999999999999992E-3</v>
      </c>
      <c r="O7" s="3172">
        <f t="shared" si="12"/>
        <v>7.0999999999999995E-3</v>
      </c>
      <c r="P7" s="3172">
        <f t="shared" si="13"/>
        <v>4.6999999999999993E-3</v>
      </c>
      <c r="Q7" s="3181"/>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7" t="s">
        <v>2832</v>
      </c>
      <c r="S21" s="3778"/>
      <c r="T21" s="3778"/>
      <c r="U21" s="3778"/>
      <c r="V21" s="3778"/>
      <c r="W21" s="3778"/>
      <c r="X21" s="3165"/>
      <c r="Y21" s="3777" t="s">
        <v>2833</v>
      </c>
      <c r="Z21" s="3778"/>
      <c r="AA21" s="3778"/>
      <c r="AB21" s="3778"/>
      <c r="AC21" s="3778"/>
      <c r="AD21" s="3778"/>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85" customFormat="1" ht="12.75">
      <c r="A27" s="3176" t="s">
        <v>3373</v>
      </c>
      <c r="B27" s="3177">
        <v>2023</v>
      </c>
      <c r="C27" s="3178">
        <v>2</v>
      </c>
      <c r="D27" s="3179"/>
      <c r="E27" s="3179">
        <v>0.5</v>
      </c>
      <c r="F27" s="3179">
        <v>0.45</v>
      </c>
      <c r="G27" s="3179">
        <v>0.89</v>
      </c>
      <c r="H27" s="3196"/>
      <c r="I27" s="3180">
        <f t="shared" si="26"/>
        <v>0.45</v>
      </c>
      <c r="J27" s="3181"/>
      <c r="K27" s="3182"/>
      <c r="L27" s="3172">
        <f t="shared" si="28"/>
        <v>5.0000000000000001E-3</v>
      </c>
      <c r="M27" s="3172">
        <f t="shared" si="29"/>
        <v>4.5000000000000005E-3</v>
      </c>
      <c r="N27" s="3172">
        <f t="shared" si="30"/>
        <v>8.8999999999999999E-3</v>
      </c>
      <c r="O27" s="3172"/>
      <c r="P27" s="3172">
        <f t="shared" si="31"/>
        <v>4.5000000000000005E-3</v>
      </c>
      <c r="Q27" s="3181"/>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615.55999999999995</v>
      </c>
      <c r="C4" s="854">
        <f>项目基本情况!C18</f>
        <v>0</v>
      </c>
      <c r="D4" s="854" t="e">
        <f ca="1">结果表!D118</f>
        <v>#REF!</v>
      </c>
      <c r="E4" s="854" t="e">
        <f ca="1">结果表!E118</f>
        <v>#REF!</v>
      </c>
      <c r="F4" s="854" t="e">
        <f ca="1">结果表!F118</f>
        <v>#REF!</v>
      </c>
      <c r="G4" s="854" t="e">
        <f ca="1">结果表!G118</f>
        <v>#REF!</v>
      </c>
      <c r="H4" s="854">
        <f ca="1">结果表!H118</f>
        <v>1111</v>
      </c>
      <c r="I4" s="854">
        <f ca="1">结果表!I118</f>
        <v>18041</v>
      </c>
    </row>
    <row r="5" spans="1:9" ht="30" customHeight="1">
      <c r="A5" s="3465" t="s">
        <v>927</v>
      </c>
      <c r="B5" s="3465"/>
      <c r="C5" s="3465"/>
      <c r="D5" s="3465" t="e">
        <f ca="1">结果表!D119</f>
        <v>#REF!</v>
      </c>
      <c r="E5" s="3465"/>
      <c r="F5" s="3465" t="e">
        <f ca="1">结果表!F119</f>
        <v>#REF!</v>
      </c>
      <c r="G5" s="3465"/>
      <c r="H5" s="3465" t="str">
        <f ca="1">结果表!H119</f>
        <v>壹仟壹佰壹拾壹万元整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1111</v>
      </c>
      <c r="E8" s="3464"/>
      <c r="F8" s="3464"/>
      <c r="G8" s="3464"/>
      <c r="H8" s="3464"/>
      <c r="I8" s="3464"/>
    </row>
    <row r="9" spans="1:9" ht="15">
      <c r="A9" s="3465" t="s">
        <v>927</v>
      </c>
      <c r="B9" s="3465"/>
      <c r="C9" s="3465"/>
      <c r="D9" s="3465" t="str">
        <f ca="1">结果表!D123</f>
        <v>壹仟壹佰壹拾壹万元整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2023-07-26T07:26:03Z</dcterms:modified>
</cp:coreProperties>
</file>