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W23" i="1"/>
  <c r="X22" i="1"/>
  <c r="X23" i="1"/>
  <c r="V23" i="1"/>
  <c r="X21" i="1"/>
  <c r="V22" i="1"/>
  <c r="V21" i="1"/>
  <c r="N6" i="1"/>
  <c r="I8" i="69" l="1"/>
  <c r="I7" i="69"/>
  <c r="Y6" i="1"/>
  <c r="N21" i="1"/>
  <c r="G19" i="6"/>
  <c r="F19" i="6"/>
  <c r="G62" i="43"/>
  <c r="G63" i="43"/>
  <c r="G64" i="43"/>
  <c r="G65" i="43"/>
  <c r="G66" i="43"/>
  <c r="G67" i="43"/>
  <c r="G68" i="43"/>
  <c r="G69" i="43"/>
  <c r="G61" i="43"/>
  <c r="F13" i="4"/>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c r="X25" i="71"/>
  <c r="X26" i="71"/>
  <c r="X27" i="71"/>
  <c r="X28" i="71"/>
  <c r="C31" i="71"/>
  <c r="D30" i="71"/>
  <c r="D34" i="71"/>
  <c r="C39" i="71"/>
  <c r="C40" i="71" s="1"/>
  <c r="C43" i="71"/>
  <c r="D42" i="71"/>
  <c r="C47" i="71"/>
  <c r="D47" i="71" s="1"/>
  <c r="D46" i="71"/>
  <c r="C51" i="71"/>
  <c r="D50" i="71"/>
  <c r="P28" i="71"/>
  <c r="E55" i="71"/>
  <c r="E56" i="71" s="1"/>
  <c r="U56" i="71" s="1"/>
  <c r="E59" i="71"/>
  <c r="E60" i="71"/>
  <c r="U60" i="71" s="1"/>
  <c r="E63" i="71"/>
  <c r="E64" i="71" s="1"/>
  <c r="U64" i="71" s="1"/>
  <c r="Q65" i="71"/>
  <c r="U68" i="71"/>
  <c r="E67" i="71"/>
  <c r="Q28"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C44" i="71"/>
  <c r="D43" i="71"/>
  <c r="D39" i="71"/>
  <c r="C36" i="71"/>
  <c r="D35" i="71"/>
  <c r="C32" i="71"/>
  <c r="D31" i="71"/>
  <c r="V28" i="71"/>
  <c r="P66" i="71"/>
  <c r="O66" i="71"/>
  <c r="D66" i="71"/>
  <c r="O65" i="71"/>
  <c r="T32" i="71"/>
  <c r="D32" i="71"/>
  <c r="T36"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s="1"/>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D35" i="9"/>
  <c r="B7" i="76"/>
  <c r="M29" i="67"/>
  <c r="F6" i="67"/>
  <c r="E8" i="76"/>
  <c r="D34" i="9"/>
  <c r="E9" i="76"/>
  <c r="F6" i="15"/>
  <c r="F26" i="67"/>
  <c r="E2" i="68"/>
  <c r="B10" i="76"/>
  <c r="M8" i="67"/>
  <c r="M28" i="15"/>
  <c r="M26" i="15"/>
  <c r="M9" i="15"/>
  <c r="M26" i="67"/>
  <c r="F5" i="73"/>
  <c r="J15" i="67"/>
  <c r="F36" i="67"/>
  <c r="M22" i="15"/>
  <c r="F43" i="15"/>
  <c r="M6" i="67"/>
  <c r="B12" i="76"/>
  <c r="F6" i="73"/>
  <c r="F38" i="67"/>
  <c r="M24" i="15"/>
  <c r="C76" i="15"/>
  <c r="J15" i="15"/>
  <c r="B11" i="76"/>
  <c r="C76" i="67"/>
  <c r="B9" i="76"/>
  <c r="F20" i="31"/>
  <c r="F42" i="67"/>
  <c r="F16" i="15"/>
  <c r="E7" i="76"/>
  <c r="F8" i="15"/>
  <c r="F36" i="15"/>
  <c r="AO13" i="1"/>
  <c r="F26" i="15"/>
  <c r="D4" i="73"/>
  <c r="F8" i="67"/>
  <c r="L48" i="15"/>
  <c r="F16" i="67"/>
  <c r="F40" i="67"/>
  <c r="M6" i="15"/>
  <c r="M29" i="15"/>
  <c r="F37" i="15"/>
  <c r="D3" i="73"/>
  <c r="M22" i="67"/>
  <c r="D6" i="73"/>
  <c r="F7" i="15"/>
  <c r="E13" i="76"/>
  <c r="F7" i="67"/>
  <c r="M24" i="67"/>
  <c r="D7" i="73"/>
  <c r="F4" i="73"/>
  <c r="L47" i="67"/>
  <c r="B8" i="76"/>
  <c r="E11" i="76"/>
  <c r="E12" i="76"/>
  <c r="F37" i="67"/>
  <c r="L47" i="15"/>
  <c r="F9" i="15"/>
  <c r="L48" i="67"/>
  <c r="F13" i="67"/>
  <c r="F43" i="67"/>
  <c r="M28" i="67"/>
  <c r="F42" i="15"/>
  <c r="M23" i="67"/>
  <c r="F3" i="73"/>
  <c r="B13" i="76"/>
  <c r="F7" i="73"/>
  <c r="E2" i="69"/>
  <c r="E10" i="76"/>
  <c r="M9" i="67"/>
  <c r="F9" i="67"/>
  <c r="F40" i="15"/>
  <c r="F13" i="15"/>
  <c r="M23" i="15"/>
  <c r="M8" i="15"/>
  <c r="F38" i="15"/>
  <c r="C21" i="68" l="1"/>
  <c r="C40" i="69"/>
  <c r="F11" i="1"/>
  <c r="G11" i="1" s="1"/>
  <c r="G44" i="43"/>
  <c r="G6" i="1"/>
  <c r="I24" i="43"/>
  <c r="C24" i="43" s="1"/>
  <c r="E525" i="3"/>
  <c r="E393" i="3"/>
  <c r="E369" i="3"/>
  <c r="E105" i="3"/>
  <c r="E173" i="3"/>
  <c r="E116" i="3"/>
  <c r="E197" i="3"/>
  <c r="E223" i="3"/>
  <c r="E140" i="3"/>
  <c r="E188" i="3"/>
  <c r="E296" i="3"/>
  <c r="E16" i="3"/>
  <c r="E205" i="3"/>
  <c r="E329" i="3"/>
  <c r="C28" i="67"/>
  <c r="E19" i="71"/>
  <c r="E18" i="71" s="1"/>
  <c r="E17" i="71" s="1"/>
  <c r="E16" i="71" s="1"/>
  <c r="V20" i="71"/>
  <c r="C16" i="71"/>
  <c r="D17" i="71"/>
  <c r="D19" i="53"/>
  <c r="B38" i="72" s="1"/>
  <c r="D16" i="53"/>
  <c r="B34" i="72" s="1"/>
  <c r="G28" i="6"/>
  <c r="F29" i="6"/>
  <c r="S41" i="34"/>
  <c r="AA41" i="34"/>
  <c r="AZ557" i="3"/>
  <c r="AB43" i="33"/>
  <c r="U43" i="33"/>
  <c r="AC11" i="35"/>
  <c r="J26" i="37"/>
  <c r="H26" i="37"/>
  <c r="F26" i="37"/>
  <c r="AZ424" i="3"/>
  <c r="AZ429" i="3"/>
  <c r="AZ439" i="3"/>
  <c r="AZ444" i="3"/>
  <c r="AZ467" i="3"/>
  <c r="AZ474" i="3"/>
  <c r="AZ480" i="3"/>
  <c r="AZ482" i="3"/>
  <c r="AZ486" i="3"/>
  <c r="AZ488" i="3"/>
  <c r="AZ316" i="3"/>
  <c r="AZ332" i="3"/>
  <c r="AZ385" i="3"/>
  <c r="AZ210" i="3"/>
  <c r="AZ219" i="3"/>
  <c r="AZ236" i="3"/>
  <c r="AZ252" i="3"/>
  <c r="AZ276" i="3"/>
  <c r="AZ289" i="3"/>
  <c r="AZ118" i="3"/>
  <c r="AZ121" i="3"/>
  <c r="AZ134" i="3"/>
  <c r="U46" i="33"/>
  <c r="AA13" i="35"/>
  <c r="H25" i="37"/>
  <c r="J25" i="37"/>
  <c r="F25" i="37"/>
  <c r="AZ398" i="3"/>
  <c r="AZ405" i="3"/>
  <c r="AZ407" i="3"/>
  <c r="AZ410" i="3"/>
  <c r="AZ415" i="3"/>
  <c r="AZ420" i="3"/>
  <c r="AZ448" i="3"/>
  <c r="AZ456" i="3"/>
  <c r="AZ212" i="3"/>
  <c r="AZ216" i="3"/>
  <c r="AZ292" i="3"/>
  <c r="F44" i="39"/>
  <c r="H38" i="40"/>
  <c r="J38" i="40"/>
  <c r="H39" i="40"/>
  <c r="AZ153" i="3"/>
  <c r="AZ169" i="3"/>
  <c r="AZ185" i="3"/>
  <c r="AZ201" i="3"/>
  <c r="AZ207" i="3"/>
  <c r="AZ25" i="3"/>
  <c r="AZ30" i="3"/>
  <c r="AZ36" i="3"/>
  <c r="AZ40" i="3"/>
  <c r="AZ46" i="3"/>
  <c r="AZ49" i="3"/>
  <c r="AZ73" i="3"/>
  <c r="AZ78" i="3"/>
  <c r="AZ87" i="3"/>
  <c r="AZ91" i="3"/>
  <c r="AZ95" i="3"/>
  <c r="AZ98" i="3"/>
  <c r="AZ100" i="3"/>
  <c r="AZ104" i="3"/>
  <c r="D40" i="71"/>
  <c r="T40" i="71"/>
  <c r="S21" i="21"/>
  <c r="U18" i="36"/>
  <c r="D27" i="71"/>
  <c r="X9" i="71"/>
  <c r="X10" i="71"/>
  <c r="AB9" i="71"/>
  <c r="AB10" i="71"/>
  <c r="S68" i="71"/>
  <c r="B67" i="71"/>
  <c r="Y24" i="71"/>
  <c r="Z24" i="71" s="1"/>
  <c r="X24" i="71"/>
  <c r="AB24" i="71"/>
  <c r="AA21" i="71"/>
  <c r="X21" i="71"/>
  <c r="Y21" i="71"/>
  <c r="Z21" i="71" s="1"/>
  <c r="Y17" i="71"/>
  <c r="Z17" i="71" s="1"/>
  <c r="AA17" i="71"/>
  <c r="AB18" i="71"/>
  <c r="Y14" i="71"/>
  <c r="Z14" i="71" s="1"/>
  <c r="AB14" i="71"/>
  <c r="AA29" i="71"/>
  <c r="X39" i="71"/>
  <c r="Y9" i="71"/>
  <c r="Z9" i="71" s="1"/>
  <c r="Y10" i="71"/>
  <c r="Z10" i="71" s="1"/>
  <c r="AA9" i="71"/>
  <c r="AB39" i="71"/>
  <c r="AA24" i="71"/>
  <c r="Y23" i="71"/>
  <c r="Z23" i="71" s="1"/>
  <c r="AB23" i="71"/>
  <c r="Y18" i="71"/>
  <c r="Z18" i="71" s="1"/>
  <c r="AB21" i="71"/>
  <c r="X18" i="71"/>
  <c r="AA18" i="71"/>
  <c r="X17" i="71"/>
  <c r="K56" i="9"/>
  <c r="Y22" i="71"/>
  <c r="Z22" i="71" s="1"/>
  <c r="AA23" i="71"/>
  <c r="X22" i="71"/>
  <c r="AA22" i="71"/>
  <c r="X15" i="71"/>
  <c r="AA15" i="71"/>
  <c r="AA12" i="71"/>
  <c r="AA13" i="71"/>
  <c r="AA14" i="71"/>
  <c r="X12" i="71"/>
  <c r="X13" i="71"/>
  <c r="AB12" i="71"/>
  <c r="Y12" i="71"/>
  <c r="Z12" i="71" s="1"/>
  <c r="Y13" i="71"/>
  <c r="Z13" i="71" s="1"/>
  <c r="AB15" i="71"/>
  <c r="AB17" i="71"/>
  <c r="AA10" i="71"/>
  <c r="AA11" i="71"/>
  <c r="X11" i="71"/>
  <c r="X14"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C44" i="43" l="1"/>
  <c r="B15" i="71"/>
  <c r="B14" i="71" s="1"/>
  <c r="B13" i="71" s="1"/>
  <c r="B12" i="71" s="1"/>
  <c r="S16" i="71"/>
  <c r="AC38" i="40"/>
  <c r="W38" i="40"/>
  <c r="AA44" i="39"/>
  <c r="S44" i="39"/>
  <c r="AA25" i="37"/>
  <c r="S25" i="37"/>
  <c r="U25" i="37"/>
  <c r="AB25" i="37"/>
  <c r="AB26" i="37"/>
  <c r="U26" i="37"/>
  <c r="N67" i="71"/>
  <c r="B66" i="71"/>
  <c r="U39" i="40"/>
  <c r="AB39" i="40"/>
  <c r="AB38" i="40"/>
  <c r="U38" i="40"/>
  <c r="AC25" i="37"/>
  <c r="W25" i="37"/>
  <c r="AA26" i="37"/>
  <c r="S26" i="37"/>
  <c r="AC26" i="37"/>
  <c r="W26"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N66" i="71"/>
  <c r="N65" i="71"/>
  <c r="E11" i="71"/>
  <c r="E10" i="71" s="1"/>
  <c r="E9" i="71" s="1"/>
  <c r="E8" i="71" s="1"/>
  <c r="E7" i="71" s="1"/>
  <c r="E6" i="71" s="1"/>
  <c r="E5" i="71" s="1"/>
  <c r="V12"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J7" i="69" s="1"/>
  <c r="K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42" i="43" l="1"/>
  <c r="J8" i="69"/>
  <c r="K8" i="69" s="1"/>
  <c r="K9" i="69" s="1"/>
  <c r="C6" i="69" s="1"/>
  <c r="C7" i="69"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19" i="9"/>
  <c r="D2" i="34"/>
  <c r="D2" i="36"/>
  <c r="D2" i="37"/>
  <c r="L51" i="15"/>
  <c r="D102" i="9" l="1"/>
  <c r="D21" i="9"/>
  <c r="D22" i="9"/>
  <c r="G19" i="9"/>
  <c r="AC23" i="1"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9" i="1"/>
  <c r="AO12" i="1"/>
  <c r="D20" i="9"/>
  <c r="AO7" i="1"/>
  <c r="AO11" i="1"/>
  <c r="G21" i="9" l="1"/>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8" i="9" l="1"/>
  <c r="I118" i="9" s="1"/>
  <c r="I4" i="52" s="1"/>
  <c r="C105" i="9" l="1"/>
  <c r="H102" i="9"/>
  <c r="H4" i="52"/>
  <c r="D14" i="74"/>
  <c r="H119" i="9"/>
  <c r="H5" i="52" s="1"/>
  <c r="H101" i="9"/>
  <c r="H107" i="9" s="1"/>
  <c r="C104" i="9"/>
  <c r="D7" i="53"/>
  <c r="B21" i="72" s="1"/>
  <c r="D5" i="53"/>
  <c r="F14" i="74" l="1"/>
  <c r="E14" i="74"/>
  <c r="B5" i="74"/>
  <c r="M48" i="9"/>
  <c r="D45" i="9"/>
  <c r="D52" i="9" s="1"/>
  <c r="D122" i="9"/>
  <c r="H108" i="9"/>
  <c r="D13" i="53"/>
  <c r="B20" i="72"/>
  <c r="D6" i="53"/>
  <c r="B22" i="72" s="1"/>
  <c r="D5" i="74" l="1"/>
  <c r="C5" i="74"/>
  <c r="D55" i="9"/>
  <c r="M53" i="9" s="1"/>
  <c r="C72" i="9"/>
  <c r="D53" i="9"/>
  <c r="C93" i="9"/>
  <c r="C86" i="9" s="1"/>
  <c r="C78" i="9"/>
  <c r="C73" i="9" s="1"/>
  <c r="C85" i="9"/>
  <c r="C95" i="9" s="1"/>
  <c r="C64" i="9"/>
  <c r="C63" i="9" s="1"/>
  <c r="C67" i="9" s="1"/>
  <c r="D59" i="9" s="1"/>
  <c r="M55" i="9" s="1"/>
  <c r="D15" i="53"/>
  <c r="B31" i="72" s="1"/>
  <c r="C6" i="74"/>
  <c r="B30" i="72"/>
  <c r="D14" i="53"/>
  <c r="B32" i="72" s="1"/>
  <c r="D8" i="52"/>
  <c r="D123" i="9"/>
  <c r="D9" i="52" s="1"/>
  <c r="C96" i="9"/>
  <c r="E96" i="9" s="1"/>
  <c r="E97" i="9" s="1"/>
  <c r="C68" i="9"/>
  <c r="D54" i="9" s="1"/>
  <c r="C79" i="9" l="1"/>
  <c r="C80" i="9" s="1"/>
  <c r="E80" i="9" s="1"/>
  <c r="E81" i="9" s="1"/>
  <c r="C97" i="9"/>
  <c r="D58" i="9" s="1"/>
  <c r="D56" i="9" s="1"/>
  <c r="M54" i="9" s="1"/>
  <c r="N57" i="9" s="1"/>
  <c r="P57" i="9" l="1"/>
  <c r="N59" i="9"/>
  <c r="N58" i="9"/>
  <c r="C81" i="9"/>
  <c r="N61" i="9" l="1"/>
  <c r="N60" i="9"/>
  <c r="D118" i="9"/>
  <c r="D4" i="52" s="1"/>
  <c r="B47" i="72" s="1"/>
  <c r="D119" i="9"/>
  <c r="D5" i="52"/>
  <c r="B49" i="72" s="1"/>
  <c r="F118" i="9"/>
  <c r="G118" i="9" s="1"/>
  <c r="F119" i="9"/>
  <c r="F5" i="52" s="1"/>
  <c r="B53" i="72" s="1"/>
  <c r="F4" i="52"/>
  <c r="B51" i="72"/>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<sst xmlns="http://schemas.openxmlformats.org/spreadsheetml/2006/main" count="7812" uniqueCount="3417">
  <si>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</si>
  <si>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</si>
  <si>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</si>
  <si>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</si>
  <si>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</si>
  <si>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</si>
  <si>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</si>
  <si>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</si>
  <si>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</si>
  <si>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</si>
  <si>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</si>
  <si>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</si>
  <si>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</si>
  <si>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</si>
  <si>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</si>
  <si>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</si>
  <si>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</si>
  <si>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</si>
  <si>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</si>
  <si>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</si>
  <si>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</si>
  <si>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</si>
  <si>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</si>
  <si>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</si>
  <si>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</si>
  <si>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</si>
  <si>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</si>
  <si>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</si>
  <si>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</si>
  <si>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</si>
  <si>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</si>
  <si>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</si>
  <si>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</si>
  <si>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</si>
  <si>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</si>
  <si>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</si>
  <si>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</si>
  <si>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</si>
  <si>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</si>
  <si>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</si>
  <si>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</si>
  <si>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</si>
  <si>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</si>
  <si>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</si>
  <si>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</si>
  <si>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</si>
  <si>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</si>
  <si>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</si>
  <si>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</si>
  <si>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</si>
  <si>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</si>
  <si>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</si>
  <si>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</si>
  <si>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</si>
  <si>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</si>
  <si>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</si>
  <si>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</si>
  <si>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</si>
  <si>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</si>
  <si>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</si>
  <si>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</si>
  <si>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</si>
  <si>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</si>
  <si>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</si>
  <si>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</si>
  <si>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</si>
  <si>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</si>
  <si>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</si>
  <si>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</si>
  <si>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</si>
  <si>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</si>
  <si>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</si>
  <si>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</si>
  <si>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</si>
  <si>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</si>
  <si>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</si>
  <si>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</si>
  <si>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</si>
  <si>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</si>
  <si>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</si>
  <si>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</si>
  <si>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</si>
  <si>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</si>
  <si>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</si>
  <si>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</si>
  <si>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</si>
  <si>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</si>
  <si>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</si>
  <si>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</si>
  <si>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</si>
  <si>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</si>
  <si>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</si>
  <si>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</si>
  <si>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</si>
  <si>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</si>
  <si>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</si>
  <si>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</si>
  <si>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</si>
  <si>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</si>
  <si>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</si>
  <si>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</si>
  <si>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</si>
  <si>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</si>
  <si>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</si>
  <si>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</si>
  <si>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</si>
  <si>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</si>
  <si>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</si>
  <si>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</si>
  <si>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</si>
  <si>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</si>
  <si>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</si>
  <si>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</si>
  <si>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</si>
  <si>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</si>
  <si>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</si>
  <si>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</si>
  <si>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</si>
  <si>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</si>
  <si>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</si>
  <si>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</si>
  <si>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</si>
  <si>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</si>
  <si>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</si>
  <si>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</si>
  <si>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</si>
  <si>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</si>
  <si>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</si>
  <si>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</si>
  <si>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</si>
  <si>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</si>
  <si>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</si>
  <si>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</si>
  <si>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</si>
  <si>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</si>
  <si>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</si>
  <si>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</si>
  <si>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</si>
  <si>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</si>
  <si>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</si>
  <si>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</si>
  <si>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</si>
  <si>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</si>
  <si>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</si>
  <si>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</si>
  <si>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</si>
  <si>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</si>
  <si>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</si>
  <si>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</si>
  <si>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</si>
  <si>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</si>
  <si>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</si>
  <si>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</si>
  <si>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</si>
  <si>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</si>
  <si>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</si>
  <si>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</si>
  <si>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</si>
  <si>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</si>
  <si>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</si>
  <si>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</si>
  <si>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</si>
  <si>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</si>
  <si>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</si>
  <si>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</si>
  <si>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</si>
  <si>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</si>
  <si>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</si>
  <si>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</si>
  <si>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</si>
  <si>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</si>
  <si>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</si>
  <si>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</si>
  <si>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</si>
  <si>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</si>
  <si>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</si>
  <si>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</si>
  <si>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</si>
  <si>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</si>
  <si>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</si>
  <si>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</si>
  <si>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</si>
  <si>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</si>
  <si>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</si>
  <si>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</si>
  <si>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</si>
  <si>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</si>
  <si>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</si>
  <si>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</si>
  <si>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</si>
  <si>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</si>
  <si>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</si>
  <si>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</si>
  <si>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</si>
  <si>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</si>
  <si>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</si>
  <si>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</si>
  <si>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</si>
  <si>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</si>
  <si>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</si>
  <si>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</si>
  <si>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</si>
  <si>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</si>
  <si>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</si>
  <si>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</si>
  <si>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</si>
  <si>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</si>
  <si>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</si>
  <si>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</si>
  <si>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</si>
  <si>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</si>
  <si>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</si>
  <si>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</si>
  <si>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</si>
  <si>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</si>
  <si>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</si>
  <si>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</si>
  <si>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</si>
  <si>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</si>
  <si>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</si>
  <si>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</si>
  <si>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</si>
  <si>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</si>
  <si>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</si>
  <si>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</si>
  <si>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</si>
  <si>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</si>
  <si>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</si>
  <si>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</si>
  <si>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</si>
  <si>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</si>
  <si>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</si>
  <si>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</si>
  <si>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</si>
  <si>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</si>
  <si>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</si>
  <si>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</si>
  <si>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</si>
  <si>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</si>
  <si>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</si>
  <si>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</si>
  <si>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</si>
  <si>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</si>
  <si>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</si>
  <si>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</si>
  <si>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</si>
  <si>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</si>
  <si>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</si>
  <si>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</si>
  <si>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</si>
  <si>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</si>
  <si>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</si>
  <si>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</si>
  <si>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</si>
  <si>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</si>
  <si>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</si>
  <si>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</si>
  <si>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</si>
  <si>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</si>
  <si>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</si>
  <si>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</si>
  <si>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</si>
  <si>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</si>
  <si>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</si>
  <si>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</si>
  <si>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</si>
  <si>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</si>
  <si>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</si>
  <si>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</si>
  <si>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</si>
  <si>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</si>
  <si>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</si>
  <si>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</si>
  <si>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</si>
  <si>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</si>
  <si>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</si>
  <si>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</si>
  <si>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</si>
  <si>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</si>
  <si>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</si>
  <si>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</si>
  <si>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</si>
  <si>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</si>
  <si>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</si>
  <si>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</si>
  <si>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</si>
  <si>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</si>
  <si>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</si>
  <si>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</si>
  <si>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</si>
  <si>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</si>
  <si>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</si>
  <si>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</si>
  <si>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</si>
  <si>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</si>
  <si>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</si>
  <si>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</si>
  <si>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</si>
  <si>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</si>
  <si>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</si>
  <si>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</si>
  <si>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</si>
  <si>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</si>
  <si>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</si>
  <si>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</si>
  <si>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</si>
  <si>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</si>
  <si>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</si>
  <si>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</si>
  <si>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</si>
  <si>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</si>
  <si>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</si>
  <si>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</si>
  <si>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</si>
  <si>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</si>
  <si>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</si>
  <si>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</si>
  <si>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</si>
  <si>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</si>
  <si>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</si>
  <si>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</si>
  <si>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</si>
  <si>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</si>
  <si>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</si>
  <si>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</si>
  <si>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</si>
  <si>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</si>
  <si>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</si>
  <si>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</si>
  <si>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</si>
  <si>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</si>
  <si>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</si>
  <si>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</si>
  <si>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</si>
  <si>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</si>
  <si>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</si>
  <si>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</si>
  <si>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</si>
  <si>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</si>
  <si>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</si>
  <si>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</si>
  <si>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</si>
  <si>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</si>
  <si>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</si>
  <si>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</si>
  <si>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</si>
  <si>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</si>
  <si>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</si>
  <si>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</si>
  <si>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</si>
  <si>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</si>
  <si>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</si>
  <si>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</si>
  <si>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</si>
  <si>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</si>
  <si>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</si>
  <si>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</si>
  <si>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</si>
  <si>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</si>
  <si>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</si>
  <si>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</si>
  <si>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</si>
  <si>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</si>
  <si>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</si>
  <si>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</si>
  <si>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</si>
  <si>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</si>
  <si>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</si>
  <si>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</si>
  <si>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</si>
  <si>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</si>
  <si>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</si>
  <si>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</si>
  <si>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</si>
  <si>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</si>
  <si>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</si>
  <si>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</si>
  <si>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</si>
  <si>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</si>
  <si>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</si>
  <si>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</si>
  <si>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</si>
  <si>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</si>
  <si>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</si>
  <si>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</si>
  <si>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</si>
  <si>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</si>
  <si>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</si>
  <si>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</si>
  <si>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</si>
  <si>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</si>
  <si>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</si>
  <si>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</si>
  <si>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</si>
  <si>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</si>
  <si>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</si>
  <si>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</si>
  <si>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</si>
  <si>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</si>
  <si>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</si>
  <si>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</si>
  <si>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</si>
  <si>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</si>
  <si>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</si>
  <si>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</si>
  <si>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</si>
  <si>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</si>
  <si>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</si>
  <si>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</si>
  <si>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</si>
  <si>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</si>
  <si>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</si>
  <si>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</si>
  <si>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</si>
  <si>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</si>
  <si>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</si>
  <si>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</si>
  <si>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</si>
  <si>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</si>
  <si>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</si>
  <si>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</si>
  <si>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</si>
  <si>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</si>
  <si>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</si>
  <si>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</si>
  <si>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</si>
  <si>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</si>
  <si>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</si>
  <si>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</si>
  <si>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</si>
  <si>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</si>
  <si>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</si>
  <si>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</si>
  <si>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</si>
  <si>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</si>
  <si>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</si>
  <si>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</si>
  <si>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</si>
  <si>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</si>
  <si>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</si>
  <si>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</si>
  <si>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</si>
  <si>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</si>
  <si>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</si>
  <si>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</si>
  <si>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</si>
  <si>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</si>
  <si>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</si>
  <si>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</si>
  <si>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</si>
  <si>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</si>
  <si>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</si>
  <si>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</si>
  <si>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</si>
  <si>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</si>
  <si>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</si>
  <si>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</si>
  <si>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</si>
  <si>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</si>
  <si>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</si>
  <si>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</si>
  <si>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</si>
  <si>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</si>
  <si>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</si>
  <si>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</si>
  <si>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</si>
  <si>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</si>
  <si>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</si>
  <si>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</si>
  <si>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</si>
  <si>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</si>
  <si>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</si>
  <si>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</si>
  <si>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</si>
  <si>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</si>
  <si>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</si>
  <si>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</si>
  <si>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</si>
  <si>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</si>
  <si>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</si>
  <si>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</si>
  <si>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</si>
  <si>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</si>
  <si>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</si>
  <si>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</si>
  <si>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</si>
  <si>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</si>
  <si>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</si>
  <si>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</si>
  <si>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</si>
  <si>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</si>
  <si>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</si>
  <si>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</si>
  <si>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</si>
  <si>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</si>
  <si>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</si>
  <si>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</si>
  <si>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</si>
  <si>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</si>
  <si>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</si>
  <si>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</si>
  <si>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</si>
  <si>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</si>
  <si>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</si>
  <si>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</si>
  <si>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</si>
  <si>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</si>
  <si>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</si>
  <si>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</si>
  <si>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</si>
  <si>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</si>
  <si>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</si>
  <si>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</si>
  <si>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</si>
  <si>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</si>
  <si>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</si>
  <si>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</si>
  <si>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</si>
  <si>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</si>
  <si>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</si>
  <si>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</si>
  <si>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</si>
  <si>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</si>
  <si>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</si>
  <si>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</si>
  <si>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</si>
  <si>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</si>
  <si>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</si>
  <si>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</si>
  <si>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</si>
  <si>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</si>
  <si>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</si>
  <si>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</si>
  <si>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</si>
  <si>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</si>
  <si>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</si>
  <si>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</si>
  <si>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</si>
  <si>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</si>
  <si>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</si>
  <si>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</si>
  <si>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</si>
  <si>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</si>
  <si>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</si>
  <si>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</si>
  <si>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</si>
  <si>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</si>
  <si>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</si>
  <si>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</si>
  <si>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</si>
  <si>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</si>
  <si>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</si>
  <si>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</si>
  <si>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</si>
  <si>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</si>
  <si>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</si>
  <si>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</si>
  <si>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</si>
  <si>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</si>
  <si>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</si>
  <si>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</si>
  <si>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</si>
  <si>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</si>
  <si>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</si>
  <si>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</si>
  <si>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</si>
  <si>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</si>
  <si>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</si>
  <si>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</si>
  <si>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</si>
  <si>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</si>
  <si>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</si>
  <si>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</si>
  <si>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</si>
  <si>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</si>
  <si>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</si>
  <si>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</si>
  <si>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</si>
  <si>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</si>
  <si>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</si>
  <si>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</si>
  <si>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</si>
  <si>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</si>
  <si>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</si>
  <si>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</si>
  <si>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</si>
  <si>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</si>
  <si>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</si>
  <si>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</si>
  <si>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</si>
  <si>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</si>
  <si>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</si>
  <si>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</si>
  <si>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</si>
  <si>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</si>
  <si>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</si>
  <si>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</si>
  <si>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</si>
  <si>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</si>
  <si>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</si>
  <si>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</si>
  <si>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</si>
  <si>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</si>
  <si>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</si>
  <si>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</si>
  <si>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</si>
  <si>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</si>
  <si>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</si>
  <si>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</si>
  <si>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</si>
  <si>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</si>
  <si>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</si>
  <si>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</si>
  <si>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</si>
  <si>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</si>
  <si>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</si>
  <si>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</si>
  <si>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</si>
  <si>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</si>
  <si>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</si>
  <si>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</si>
  <si>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</si>
  <si>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</si>
  <si>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</si>
  <si>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</si>
  <si>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</si>
  <si>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</si>
  <si>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</si>
  <si>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</si>
  <si>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</si>
  <si>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</si>
  <si>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</si>
  <si>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</si>
  <si>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</si>
  <si>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</si>
  <si>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</si>
  <si>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</si>
  <si>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</si>
  <si>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</si>
  <si>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</si>
  <si>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</si>
  <si>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</si>
  <si>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</si>
  <si>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</si>
  <si>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</si>
  <si>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</si>
  <si>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</si>
  <si>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</si>
  <si>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</si>
  <si>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</si>
  <si>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</si>
  <si>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</si>
  <si>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</si>
  <si>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</si>
  <si>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</si>
  <si>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</si>
  <si>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</si>
  <si>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</si>
  <si>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</si>
  <si>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</si>
  <si>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</si>
  <si>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</si>
  <si>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</si>
  <si>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</si>
  <si>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</si>
  <si>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</si>
  <si>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</si>
  <si>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</si>
  <si>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</si>
  <si>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</si>
  <si>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</si>
  <si>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</si>
  <si>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</si>
  <si>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</si>
  <si>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</si>
  <si>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</si>
  <si>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</si>
  <si>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</si>
  <si>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</si>
  <si>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</si>
  <si>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</si>
  <si>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</si>
  <si>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</si>
  <si>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</si>
  <si>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</si>
  <si>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</si>
  <si>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</si>
  <si>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</si>
  <si>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</si>
  <si>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</si>
  <si>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</si>
  <si>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</si>
  <si>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</si>
  <si>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</si>
  <si>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</si>
  <si>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</si>
  <si>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</si>
  <si>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</si>
  <si>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</si>
  <si>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</si>
  <si>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</si>
  <si>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</si>
  <si>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</si>
  <si>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</si>
  <si>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</si>
  <si>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</si>
  <si>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</si>
  <si>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</si>
  <si>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</si>
  <si>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</si>
  <si>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</si>
  <si>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</si>
  <si>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</si>
  <si>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</si>
  <si>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</si>
  <si>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</si>
  <si>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</si>
  <si>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</si>
  <si>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</si>
  <si>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</si>
  <si>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</si>
  <si>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</si>
  <si>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</si>
  <si>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</si>
  <si>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</si>
  <si>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</si>
  <si>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</si>
  <si>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</si>
  <si>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</si>
  <si>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</si>
  <si>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</si>
  <si>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</si>
  <si>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</si>
  <si>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</si>
  <si>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</si>
  <si>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</si>
  <si>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</si>
  <si>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</si>
  <si>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</si>
  <si>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</si>
  <si>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</si>
  <si>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</si>
  <si>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</si>
  <si>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</si>
  <si>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</si>
  <si>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</si>
  <si>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</si>
  <si>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</si>
  <si>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</si>
  <si>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</si>
  <si>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</si>
  <si>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</si>
  <si>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</si>
  <si>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</si>
  <si>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</si>
  <si>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</si>
  <si>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</si>
  <si>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</si>
  <si>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</si>
  <si>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</si>
  <si>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</si>
  <si>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</si>
  <si>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</si>
  <si>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</si>
  <si>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</si>
  <si>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</si>
  <si>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</si>
  <si>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</si>
  <si>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</si>
  <si>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</si>
  <si>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</si>
  <si>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</si>
  <si>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</si>
  <si>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</si>
  <si>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</si>
  <si>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</si>
  <si>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</si>
  <si>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</si>
  <si>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</si>
  <si>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</si>
  <si>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</si>
  <si>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</si>
  <si>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</si>
  <si>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</si>
  <si>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</si>
  <si>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</si>
  <si>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</si>
  <si>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</si>
  <si>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</si>
  <si>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</si>
  <si>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</si>
  <si>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</si>
  <si>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</si>
  <si>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</si>
  <si>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</si>
  <si>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</si>
  <si>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</si>
  <si>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</si>
  <si>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</si>
  <si>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</si>
  <si>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</si>
  <si>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</si>
  <si>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</si>
  <si>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</si>
  <si>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</si>
  <si>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</si>
  <si>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</si>
  <si>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</si>
  <si>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</si>
  <si>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</si>
  <si>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</si>
  <si>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</si>
  <si>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</si>
  <si>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</si>
  <si>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</si>
  <si>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</si>
  <si>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</si>
  <si>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</si>
  <si>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</si>
  <si>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</si>
  <si>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</si>
  <si>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</si>
  <si>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</si>
  <si>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</si>
  <si>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</si>
  <si>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</si>
  <si>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</si>
  <si>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</si>
  <si>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</si>
  <si>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</si>
  <si>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</si>
  <si>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</si>
  <si>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</si>
  <si>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</si>
  <si>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</si>
  <si>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</si>
  <si>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</si>
  <si>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</si>
  <si>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</si>
  <si>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</si>
  <si>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</si>
  <si>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</si>
  <si>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</si>
  <si>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</si>
  <si>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</si>
  <si>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</si>
  <si>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</si>
  <si>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</si>
  <si>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</si>
  <si>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</si>
  <si>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</si>
  <si>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</si>
  <si>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</si>
  <si>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</si>
  <si>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</si>
  <si>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</si>
  <si>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</si>
  <si>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</si>
  <si>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</si>
  <si>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</si>
  <si>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</si>
  <si>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</si>
  <si>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</si>
  <si>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</si>
  <si>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</si>
  <si>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</si>
  <si>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</si>
  <si>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</si>
  <si>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</si>
  <si>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</si>
  <si>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</si>
  <si>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</si>
  <si>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</si>
  <si>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</si>
  <si>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</si>
  <si>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</si>
  <si>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</si>
  <si>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</si>
  <si>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</si>
  <si>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</si>
  <si>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</si>
  <si>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</si>
  <si>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</si>
  <si>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</si>
  <si>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</si>
  <si>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</si>
  <si>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</si>
  <si>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</si>
  <si>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</si>
  <si>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</si>
  <si>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</si>
  <si>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</si>
  <si>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</si>
  <si>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</si>
  <si>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</si>
  <si>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</si>
  <si>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</si>
  <si>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</si>
  <si>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</si>
  <si>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</si>
  <si>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</si>
  <si>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</si>
  <si>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</si>
  <si>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</si>
  <si>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</si>
  <si>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</si>
  <si>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</si>
  <si>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</si>
  <si>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</si>
  <si>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</si>
  <si>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</si>
  <si>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</si>
  <si>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</si>
  <si>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</si>
  <si>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</si>
  <si>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</si>
  <si>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</si>
  <si>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</si>
  <si>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</si>
  <si>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</si>
  <si>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</si>
  <si>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</si>
  <si>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</si>
  <si>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</si>
  <si>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</si>
  <si>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</si>
  <si>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</si>
  <si>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</si>
  <si>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</si>
  <si>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</si>
  <si>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</si>
  <si>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</si>
  <si>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</si>
  <si>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</si>
  <si>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</si>
  <si>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</si>
  <si>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</si>
  <si>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</si>
  <si>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</si>
  <si>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</si>
  <si>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</si>
  <si>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</si>
  <si>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</si>
  <si>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</si>
  <si>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</si>
  <si>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</si>
  <si>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</si>
  <si>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</si>
  <si>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</si>
  <si>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</si>
  <si>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</si>
  <si>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</si>
  <si>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</si>
  <si>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</si>
  <si>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</si>
  <si>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</si>
  <si>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</si>
  <si>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</si>
  <si>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</si>
  <si>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</si>
  <si>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</si>
  <si>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</si>
  <si>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</si>
  <si>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</si>
  <si>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</si>
  <si>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</si>
  <si>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</si>
  <si>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</si>
  <si>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</si>
  <si>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</si>
  <si>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</si>
  <si>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</si>
  <si>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</si>
  <si>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</si>
  <si>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</si>
  <si>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</si>
  <si>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</si>
  <si>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</si>
  <si>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</si>
  <si>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</si>
  <si>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</si>
  <si>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</si>
  <si>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</si>
  <si>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</si>
  <si>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</si>
  <si>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</si>
  <si>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</si>
  <si>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</si>
  <si>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</si>
  <si>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</si>
  <si>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</si>
  <si>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</si>
  <si>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</si>
  <si>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</si>
  <si>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</si>
  <si>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</si>
  <si>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</si>
  <si>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</si>
  <si>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</si>
  <si>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</si>
  <si>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</si>
  <si>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</si>
  <si>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</si>
  <si>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</si>
  <si>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</si>
  <si>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</si>
  <si>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</si>
  <si>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</si>
  <si>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</si>
  <si>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</si>
  <si>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</si>
  <si>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</si>
  <si>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</si>
  <si>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</si>
  <si>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</si>
  <si>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</si>
  <si>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</si>
  <si>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</si>
  <si>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</si>
  <si>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</si>
  <si>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</si>
  <si>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</si>
  <si>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</si>
  <si>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</si>
  <si>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</si>
  <si>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</si>
  <si>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</si>
  <si>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</si>
  <si>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</si>
  <si>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</si>
  <si>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</si>
  <si>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</si>
  <si>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</si>
  <si>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</si>
  <si>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</si>
  <si>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</si>
  <si>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</si>
  <si>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</si>
  <si>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</si>
  <si>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</si>
  <si>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</si>
  <si>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</si>
  <si>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</si>
  <si>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</si>
  <si>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</si>
  <si>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</si>
  <si>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</si>
  <si>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</si>
  <si>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</si>
  <si>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</si>
  <si>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</si>
  <si>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</si>
  <si>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</si>
  <si>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</si>
  <si>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</si>
  <si>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</si>
  <si>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</si>
  <si>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</si>
  <si>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</si>
  <si>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</si>
  <si>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</si>
  <si>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</si>
  <si>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</si>
  <si>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</si>
  <si>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</si>
  <si>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</si>
  <si>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</si>
  <si>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</si>
  <si>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</si>
  <si>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</si>
  <si>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</si>
  <si>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</si>
  <si>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</si>
  <si>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</si>
  <si>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</si>
  <si>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</si>
  <si>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</si>
  <si>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</si>
  <si>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</si>
  <si>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</si>
  <si>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</si>
  <si>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</si>
  <si>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</si>
  <si>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</si>
  <si>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</si>
  <si>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</si>
  <si>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</si>
  <si>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</si>
  <si>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</si>
  <si>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</si>
  <si>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</si>
  <si>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</si>
  <si>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</si>
  <si>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</si>
  <si>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</si>
  <si>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</si>
  <si>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</si>
  <si>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</si>
  <si>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</si>
  <si>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</si>
  <si>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</si>
  <si>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</si>
  <si>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</si>
  <si>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</si>
  <si>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</si>
  <si>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</si>
  <si>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</si>
  <si>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</si>
  <si>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</si>
  <si>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</si>
  <si>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</si>
  <si>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</si>
  <si>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</si>
  <si>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</si>
  <si>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</si>
  <si>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</si>
  <si>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</si>
  <si>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</si>
  <si>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</si>
  <si>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</si>
  <si>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</si>
  <si>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</si>
  <si>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</si>
  <si>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</si>
  <si>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</si>
  <si>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</si>
  <si>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</si>
  <si>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</si>
  <si>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</si>
  <si>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</si>
  <si>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</si>
  <si>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</si>
  <si>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</si>
  <si>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</si>
  <si>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</si>
  <si>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</si>
  <si>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</si>
  <si>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</si>
  <si>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</si>
  <si>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</si>
  <si>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</si>
  <si>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</si>
  <si>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</si>
  <si>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</si>
  <si>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</si>
  <si>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</si>
  <si>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</si>
  <si>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</si>
  <si>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</si>
  <si>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</si>
  <si>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</si>
  <si>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</si>
  <si>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</si>
  <si>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</si>
  <si>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</si>
  <si>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</si>
  <si>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</si>
  <si>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</si>
  <si>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</si>
  <si>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</si>
  <si>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</si>
  <si>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</si>
  <si>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</si>
  <si>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</si>
  <si>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</si>
  <si>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</si>
  <si>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</si>
  <si>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</si>
  <si>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</si>
  <si>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</si>
  <si>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</si>
  <si>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</si>
  <si>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</si>
  <si>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</si>
  <si>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</si>
  <si>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</si>
  <si>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</si>
  <si>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</si>
  <si>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</si>
  <si>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</si>
  <si>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</si>
  <si>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</si>
  <si>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</si>
  <si>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</si>
  <si>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</si>
  <si>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</si>
  <si>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</si>
  <si>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</si>
  <si>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</si>
  <si>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</si>
  <si>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</si>
  <si>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</si>
  <si>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</si>
  <si>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</si>
  <si>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</si>
  <si>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</si>
  <si>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</si>
  <si>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</si>
  <si>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</si>
  <si>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</si>
  <si>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</si>
  <si>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</si>
  <si>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</si>
  <si>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</si>
  <si>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</si>
  <si>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</si>
  <si>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</si>
  <si>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</si>
  <si>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</si>
  <si>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</si>
  <si>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</si>
  <si>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</si>
  <si>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</si>
  <si>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</si>
  <si>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</si>
  <si>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</si>
  <si>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</si>
  <si>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</si>
  <si>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</si>
  <si>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</si>
  <si>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</si>
  <si>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</si>
  <si>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</si>
  <si>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</si>
  <si>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</si>
  <si>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</si>
  <si>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</si>
  <si>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</si>
  <si>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</si>
  <si>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</si>
  <si>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</si>
  <si>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</si>
  <si>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</si>
  <si>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</si>
  <si>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</si>
  <si>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</si>
  <si>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</si>
  <si>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</si>
  <si>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</si>
  <si>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</si>
  <si>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</si>
  <si>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</si>
  <si>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</si>
  <si>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</si>
  <si>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</si>
  <si>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</si>
  <si>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</si>
  <si>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</si>
  <si>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</si>
  <si>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</si>
  <si>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</si>
  <si>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</si>
  <si>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</si>
  <si>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</si>
  <si>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</si>
  <si>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</si>
  <si>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</si>
  <si>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</si>
  <si>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</si>
  <si>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</si>
  <si>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</si>
  <si>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</si>
  <si>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</si>
  <si>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</si>
  <si>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</si>
  <si>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</si>
  <si>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</si>
  <si>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</si>
  <si>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</si>
  <si>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</si>
  <si>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</si>
  <si>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</si>
  <si>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</si>
  <si>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</si>
  <si>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</si>
  <si>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</si>
  <si>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</si>
  <si>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</si>
  <si>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</si>
  <si>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</si>
  <si>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</si>
  <si>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</si>
  <si>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</si>
  <si>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</si>
  <si>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</si>
  <si>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</si>
  <si>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</si>
  <si>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</si>
  <si>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</si>
  <si>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</si>
  <si>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</si>
  <si>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</si>
  <si>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</si>
  <si>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</si>
  <si>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</si>
  <si>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</si>
  <si>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</si>
  <si>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</si>
  <si>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</si>
  <si>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</si>
  <si>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</si>
  <si>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</si>
  <si>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</si>
  <si>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</si>
  <si>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</si>
  <si>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</si>
  <si>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</si>
  <si>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</si>
  <si>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</si>
  <si>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</si>
  <si>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</si>
  <si>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</si>
  <si>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</si>
  <si>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</si>
  <si>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</si>
  <si>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</si>
  <si>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</si>
  <si>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</si>
  <si>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</si>
  <si>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</si>
  <si>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</si>
  <si>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</si>
  <si>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</si>
  <si>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</si>
  <si>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</si>
  <si>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</si>
  <si>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</si>
  <si>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</si>
  <si>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</si>
  <si>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</si>
  <si>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</si>
  <si>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</si>
  <si>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</si>
  <si>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</si>
  <si>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</si>
  <si>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</si>
  <si>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</si>
  <si>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</si>
  <si>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</si>
  <si>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</si>
  <si>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</si>
  <si>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</si>
  <si>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</si>
  <si>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</si>
  <si>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</si>
  <si>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</si>
  <si>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</si>
  <si>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</si>
  <si>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</si>
  <si>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</si>
  <si>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</si>
  <si>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</si>
  <si>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</si>
  <si>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</si>
  <si>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</si>
  <si>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</si>
  <si>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</si>
  <si>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</si>
  <si>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</si>
  <si>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</si>
  <si>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</si>
  <si>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</si>
  <si>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</si>
  <si>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</si>
  <si>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</si>
  <si>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</si>
  <si>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</si>
  <si>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</si>
  <si>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</si>
  <si>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</si>
  <si>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</si>
  <si>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</si>
  <si>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</si>
  <si>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</si>
  <si>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</si>
  <si>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</si>
  <si>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</si>
  <si>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</si>
  <si>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</si>
  <si>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</si>
  <si>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</si>
  <si>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</si>
  <si>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</si>
  <si>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</si>
  <si>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</si>
  <si>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</si>
  <si>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</si>
  <si>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</si>
  <si>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</si>
  <si>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</si>
  <si>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</si>
  <si>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</si>
  <si>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</si>
  <si>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</si>
  <si>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</si>
  <si>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</si>
  <si>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</si>
  <si>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</si>
  <si>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</si>
  <si>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</si>
  <si>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</si>
  <si>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</si>
  <si>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</si>
  <si>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</si>
  <si>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</si>
  <si>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</si>
  <si>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</si>
  <si>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</si>
  <si>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</si>
  <si>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</si>
  <si>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</si>
  <si>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</si>
  <si>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</si>
  <si>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</si>
  <si>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</si>
  <si>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</si>
  <si>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</si>
  <si>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</si>
  <si>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</si>
  <si>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</si>
  <si>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</si>
  <si>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</si>
  <si>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</si>
  <si>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</si>
  <si>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</si>
  <si>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</si>
  <si>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</si>
  <si>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</si>
  <si>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</si>
  <si>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</si>
  <si>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</si>
  <si>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</si>
  <si>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</si>
  <si>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</si>
  <si>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</si>
  <si>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</si>
  <si>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</si>
  <si>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</si>
  <si>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</si>
  <si>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</si>
  <si>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</si>
  <si>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</si>
  <si>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</si>
  <si>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</si>
  <si>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</si>
  <si>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</si>
  <si>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</si>
  <si>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</si>
  <si>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</si>
  <si>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</si>
  <si>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</si>
  <si>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</si>
  <si>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</si>
  <si>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</si>
  <si>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</si>
  <si>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</si>
  <si>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</si>
  <si>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</si>
  <si>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</si>
  <si>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</si>
  <si>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</si>
  <si>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</si>
  <si>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</si>
  <si>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</si>
  <si>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</si>
  <si>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</si>
  <si>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</si>
  <si>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</si>
  <si>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</si>
  <si>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</si>
  <si>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</si>
  <si>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</si>
  <si>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</si>
  <si>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</si>
  <si>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</si>
  <si>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</si>
  <si>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</si>
  <si>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</si>
  <si>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</si>
  <si>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</si>
  <si>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</si>
  <si>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</si>
  <si>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</si>
  <si>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</si>
  <si>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</si>
  <si>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</si>
  <si>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</si>
  <si>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</si>
  <si>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</si>
  <si>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</si>
  <si>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</si>
  <si>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</si>
  <si>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</si>
  <si>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</si>
  <si>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</si>
  <si>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</si>
  <si>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</si>
  <si>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</si>
  <si>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</si>
  <si>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</si>
  <si>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</si>
  <si>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</si>
  <si>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</si>
  <si>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</si>
  <si>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</si>
  <si>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</si>
  <si>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</si>
  <si>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</si>
  <si>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</si>
  <si>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</si>
  <si>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</si>
  <si>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</si>
  <si>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</si>
  <si>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</si>
  <si>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</si>
  <si>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</si>
  <si>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</si>
  <si>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</si>
  <si>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</si>
  <si>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</si>
  <si>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</si>
  <si>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</si>
  <si>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</si>
  <si>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</si>
  <si>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</si>
  <si>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</si>
  <si>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</si>
  <si>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</si>
  <si>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</si>
  <si>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</si>
  <si>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</si>
  <si>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</si>
  <si>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</si>
  <si>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</si>
  <si>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</si>
  <si>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</si>
  <si>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</si>
  <si>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</si>
  <si>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</si>
  <si>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</si>
  <si>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</si>
  <si>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</si>
  <si>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</si>
  <si>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</si>
  <si>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</si>
  <si>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</si>
  <si>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</si>
  <si>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</si>
  <si>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</si>
  <si>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</si>
  <si>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</si>
  <si>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</si>
  <si>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</si>
  <si>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</si>
  <si>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</si>
  <si>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</si>
  <si>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</si>
  <si>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</si>
  <si>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</si>
  <si>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</si>
  <si>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</si>
  <si>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</si>
  <si>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</si>
  <si>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</si>
  <si>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</si>
  <si>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</si>
  <si>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</si>
  <si>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</si>
  <si>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</si>
  <si>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</si>
  <si>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</si>
  <si>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</si>
  <si>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</si>
  <si>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</si>
  <si>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</si>
  <si>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</si>
  <si>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</si>
  <si>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</si>
  <si>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</si>
  <si>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</si>
  <si>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</si>
  <si>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</si>
  <si>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</si>
  <si>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</si>
  <si>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</si>
  <si>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</si>
  <si>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</si>
  <si>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</si>
  <si>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</si>
  <si>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</si>
  <si>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</si>
  <si>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</si>
  <si>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</si>
  <si>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</si>
  <si>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</si>
  <si>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</si>
  <si>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</si>
  <si>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</si>
  <si>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</si>
  <si>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</si>
  <si>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</si>
  <si>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</si>
  <si>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</si>
  <si>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</si>
  <si>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</si>
  <si>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</si>
  <si>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</si>
  <si>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</si>
  <si>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</si>
  <si>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</si>
  <si>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</si>
  <si>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</si>
  <si>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</si>
  <si>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</si>
  <si>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</si>
  <si>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</si>
  <si>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</si>
  <si>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</si>
  <si>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</si>
  <si>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</si>
  <si>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</si>
  <si>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</si>
  <si>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</si>
  <si>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</si>
  <si>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</si>
  <si>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</si>
  <si>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</si>
  <si>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</si>
  <si>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</si>
  <si>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</si>
  <si>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</si>
  <si>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</si>
  <si>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</si>
  <si>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</si>
  <si>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</si>
  <si>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</si>
  <si>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</si>
  <si>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</si>
  <si>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</si>
  <si>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</si>
  <si>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</si>
  <si>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</si>
  <si>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</si>
  <si>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</si>
  <si>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</si>
  <si>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</si>
  <si>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</si>
  <si>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</si>
  <si>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</si>
  <si>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</si>
  <si>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</si>
  <si>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</si>
  <si>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</si>
  <si>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</si>
  <si>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</si>
  <si>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</si>
  <si>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</si>
  <si>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</si>
  <si>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</si>
  <si>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</si>
  <si>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</si>
  <si>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</si>
  <si>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</si>
  <si>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</si>
  <si>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</si>
  <si>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</si>
  <si>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</si>
  <si>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</si>
  <si>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</si>
  <si>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</si>
  <si>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</si>
  <si>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</si>
  <si>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</si>
  <si>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</si>
  <si>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</si>
  <si>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</si>
  <si>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</si>
  <si>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</si>
  <si>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</si>
  <si>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</si>
  <si>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</si>
  <si>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</si>
  <si>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</si>
  <si>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</si>
  <si>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</si>
  <si>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</si>
  <si>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</si>
  <si>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</si>
  <si>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</si>
  <si>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</si>
  <si>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</si>
  <si>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</si>
  <si>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</si>
  <si>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</si>
  <si>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</si>
  <si>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</si>
  <si>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</si>
  <si>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</si>
  <si>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</si>
  <si>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</si>
  <si>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</si>
  <si>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</si>
  <si>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</si>
  <si>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</si>
  <si>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</si>
  <si>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</si>
  <si>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</si>
  <si>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</si>
  <si>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</si>
  <si>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</si>
  <si>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</si>
  <si>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</si>
  <si>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</si>
  <si>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</si>
  <si>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</si>
  <si>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</si>
  <si>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</si>
  <si>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</si>
  <si>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</si>
  <si>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</si>
  <si>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</si>
  <si>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</si>
  <si>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</si>
  <si>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</si>
  <si>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</si>
  <si>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</si>
  <si>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</si>
  <si>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</si>
  <si>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</si>
  <si>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</si>
  <si>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</si>
  <si>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</si>
  <si>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</si>
  <si>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</si>
  <si>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</si>
  <si>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</si>
  <si>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</si>
  <si>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</si>
  <si>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</si>
  <si>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</si>
  <si>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</si>
  <si>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</si>
  <si>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</si>
  <si>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</si>
  <si>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</si>
  <si>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</si>
  <si>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</si>
  <si>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</si>
  <si>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</si>
  <si>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</si>
  <si>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</si>
  <si>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</si>
  <si>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</si>
  <si>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</si>
  <si>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</si>
  <si>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</si>
  <si>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</si>
  <si>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</si>
  <si>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</si>
  <si>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</si>
  <si>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</si>
  <si>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</si>
  <si>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</si>
  <si>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</si>
  <si>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</si>
  <si>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</si>
  <si>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</si>
  <si>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</si>
  <si>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</si>
  <si>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</si>
  <si>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</si>
  <si>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</si>
  <si>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</si>
  <si>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</si>
  <si>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</si>
  <si>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</si>
  <si>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</si>
  <si>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</si>
  <si>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</si>
  <si>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</si>
  <si>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</si>
  <si>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</si>
  <si>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</si>
  <si>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</si>
  <si>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</si>
  <si>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</si>
  <si>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</si>
  <si>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</si>
  <si>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</si>
  <si>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</si>
  <si>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</si>
  <si>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</si>
  <si>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</si>
  <si>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</si>
  <si>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</si>
  <si>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</si>
  <si>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</si>
  <si>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</si>
  <si>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</si>
  <si>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</si>
  <si>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</si>
  <si>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</si>
  <si>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</si>
  <si>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</si>
  <si>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</si>
  <si>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</si>
  <si>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</si>
  <si>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</si>
  <si>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</si>
  <si>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</si>
  <si>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</si>
  <si>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</si>
  <si>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</si>
  <si>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</si>
  <si>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</si>
  <si>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</si>
  <si>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</si>
  <si>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</si>
  <si>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</si>
  <si>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</si>
  <si>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</si>
  <si>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</si>
  <si>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</si>
  <si>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</si>
  <si>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</si>
  <si>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</si>
  <si>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</si>
  <si>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</si>
  <si>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</si>
  <si>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</si>
  <si>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</si>
  <si>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</si>
  <si>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</si>
  <si>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</si>
  <si>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</si>
  <si>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</si>
  <si>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</si>
  <si>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</si>
  <si>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</si>
  <si>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</si>
  <si>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</si>
  <si>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</si>
  <si>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</si>
  <si>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</si>
  <si>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</si>
  <si>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</si>
  <si>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</si>
  <si>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</si>
  <si>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</si>
  <si>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</si>
  <si>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</si>
  <si>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</si>
  <si>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</si>
  <si>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</si>
  <si>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</si>
  <si>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</si>
  <si>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</si>
  <si>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</si>
  <si>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</si>
  <si>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</si>
  <si>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</si>
  <si>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</si>
  <si>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</si>
  <si>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</si>
  <si>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</si>
  <si>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</si>
  <si>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</si>
  <si>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</si>
  <si>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</si>
  <si>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</si>
  <si>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</si>
  <si>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</si>
  <si>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</si>
  <si>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</si>
  <si>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</si>
  <si>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</si>
  <si>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</si>
  <si>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</si>
  <si>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</si>
  <si>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</si>
  <si>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</si>
  <si>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</si>
  <si>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</si>
  <si>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</si>
  <si>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</si>
  <si>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</si>
  <si>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</si>
  <si>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</si>
  <si>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</si>
  <si>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</si>
  <si>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</si>
  <si>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</si>
  <si>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</si>
  <si>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</si>
  <si>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</si>
  <si>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</si>
  <si>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</si>
  <si>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</si>
  <si>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</si>
  <si>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</si>
  <si>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</si>
  <si>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</si>
  <si>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</si>
  <si>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</si>
  <si>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</si>
  <si>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</si>
  <si>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</si>
  <si>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</si>
  <si>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</si>
  <si>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</si>
  <si>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</si>
  <si>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</si>
  <si>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</si>
  <si>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</si>
  <si>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</si>
  <si>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</si>
  <si>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</si>
  <si>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</si>
  <si>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</si>
  <si>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</si>
  <si>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</si>
  <si>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</si>
  <si>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</si>
  <si>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</si>
  <si>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</si>
  <si>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</si>
  <si>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</si>
  <si>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</si>
  <si>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</si>
  <si>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</si>
  <si>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</si>
  <si>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</si>
  <si>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</si>
  <si>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</si>
  <si>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</si>
  <si>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</si>
  <si>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</si>
  <si>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</si>
  <si>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</si>
  <si>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</si>
  <si>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</si>
  <si>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</si>
  <si>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</si>
  <si>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</si>
  <si>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</si>
  <si>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</si>
  <si>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</si>
  <si>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</si>
  <si>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</si>
  <si>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</si>
  <si>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</si>
  <si>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</si>
  <si>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</si>
  <si>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</si>
  <si>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</si>
  <si>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</si>
  <si>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</si>
  <si>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</si>
  <si>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</si>
  <si>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</si>
  <si>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</si>
  <si>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</si>
  <si>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</si>
  <si>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</si>
  <si>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</si>
  <si>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</si>
  <si>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</si>
  <si>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</si>
  <si>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</si>
  <si>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</si>
  <si>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</si>
  <si>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</si>
  <si>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</si>
  <si>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</si>
  <si>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</si>
  <si>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</si>
  <si>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</si>
  <si>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</si>
  <si>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</si>
  <si>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</si>
  <si>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</si>
  <si>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</si>
  <si>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</si>
  <si>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</si>
  <si>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</si>
  <si>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</si>
  <si>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</si>
  <si>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</si>
  <si>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</si>
  <si>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</si>
  <si>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</si>
  <si>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</si>
  <si>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</si>
  <si>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</si>
  <si>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</si>
  <si>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</si>
  <si>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</si>
  <si>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</si>
  <si>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</si>
  <si>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</si>
  <si>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</si>
  <si>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</si>
  <si>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</si>
  <si>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</si>
  <si>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</si>
  <si>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</si>
  <si>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</si>
  <si>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</si>
  <si>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</si>
  <si>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</si>
  <si>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</si>
  <si>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</si>
  <si>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</si>
  <si>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</si>
  <si>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</si>
  <si>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</si>
  <si>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</si>
  <si>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</si>
  <si>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</si>
  <si>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</si>
  <si>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</si>
  <si>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</si>
  <si>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</si>
  <si>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</si>
  <si>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</si>
  <si>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</si>
  <si>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</si>
  <si>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</si>
  <si>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</si>
  <si>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</si>
  <si>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</si>
  <si>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</si>
  <si>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</si>
  <si>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</si>
  <si>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</si>
  <si>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</si>
  <si>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</si>
  <si>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</si>
  <si>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</si>
  <si>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</si>
  <si>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</si>
  <si>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</si>
  <si>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</si>
  <si>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</si>
  <si>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</si>
  <si>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</si>
  <si>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</si>
  <si>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</si>
  <si>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</si>
  <si>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</si>
  <si>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</si>
  <si>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</si>
  <si>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</si>
  <si>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</si>
  <si>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</si>
  <si>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</si>
  <si>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</si>
  <si>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</si>
  <si>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</si>
  <si>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</si>
  <si>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</si>
  <si>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</si>
  <si>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</si>
  <si>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</si>
  <si>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</si>
  <si>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</si>
  <si>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</si>
  <si>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</si>
  <si>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</si>
  <si>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</si>
  <si>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</si>
  <si>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</si>
  <si>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</si>
  <si>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</si>
  <si>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</si>
  <si>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</si>
  <si>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</si>
  <si>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</si>
  <si>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</si>
  <si>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</si>
  <si>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</si>
  <si>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</si>
  <si>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</si>
  <si>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</si>
  <si>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</si>
  <si>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</si>
  <si>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</si>
  <si>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</si>
  <si>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</si>
  <si>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</si>
  <si>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</si>
  <si>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</si>
  <si>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</si>
  <si>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</si>
  <si>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</si>
  <si>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</si>
  <si>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</si>
  <si>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</si>
  <si>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</si>
  <si>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</si>
  <si>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</si>
  <si>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</si>
  <si>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</si>
  <si>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</si>
  <si>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</si>
  <si>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</si>
  <si>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</si>
  <si>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</si>
  <si>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</si>
  <si>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</si>
  <si>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</si>
  <si>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</si>
  <si>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</si>
  <si>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</si>
  <si>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</si>
  <si>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</si>
  <si>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</si>
  <si>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</si>
  <si>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</si>
  <si>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</si>
  <si>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</si>
  <si>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</si>
  <si>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</si>
  <si>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</si>
  <si>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</si>
  <si>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</si>
  <si>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</si>
  <si>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</si>
  <si>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</si>
  <si>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</si>
  <si>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</si>
  <si>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</si>
  <si>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</si>
  <si>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</si>
  <si>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</si>
  <si>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</si>
  <si>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</si>
  <si>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</si>
  <si>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</si>
  <si>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</si>
  <si>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</si>
  <si>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</si>
  <si>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</si>
  <si>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</si>
  <si>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</si>
  <si>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</si>
  <si>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</si>
  <si>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</si>
  <si>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</si>
  <si>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</si>
  <si>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</si>
  <si>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</si>
  <si>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</si>
  <si>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</si>
  <si>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</si>
  <si>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</si>
  <si>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</si>
  <si>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</si>
  <si>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</si>
  <si>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</si>
  <si>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</si>
  <si>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</si>
  <si>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</si>
  <si>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</si>
  <si>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</si>
  <si>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</si>
  <si>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</si>
  <si>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</si>
  <si>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</si>
  <si>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</si>
  <si>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</si>
  <si>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</si>
  <si>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</si>
  <si>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</si>
  <si>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</si>
  <si>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</si>
  <si>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</si>
  <si>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</si>
  <si>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</si>
  <si>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</si>
  <si>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</si>
  <si>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</si>
  <si>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</si>
  <si>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</si>
  <si>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</si>
  <si>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</si>
  <si>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</si>
  <si>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</si>
  <si>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</si>
  <si>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</si>
  <si>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</si>
  <si>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</si>
  <si>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</si>
  <si>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</si>
  <si>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</si>
  <si>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</si>
  <si>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</si>
  <si>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</si>
  <si>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</si>
  <si>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</si>
  <si>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</si>
  <si>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</si>
  <si>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</si>
  <si>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</si>
  <si>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</si>
  <si>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</si>
  <si>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</si>
  <si>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</si>
  <si>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</si>
  <si>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</si>
  <si>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</si>
  <si>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</si>
  <si>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</si>
  <si>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</si>
  <si>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</si>
  <si>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</si>
  <si>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</si>
  <si>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</si>
  <si>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</si>
  <si>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</si>
  <si>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</si>
  <si>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</si>
  <si>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</si>
  <si>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</si>
  <si>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</si>
  <si>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</si>
  <si>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</si>
  <si>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</si>
  <si>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</si>
  <si>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</si>
  <si>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</si>
  <si>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</si>
  <si>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</si>
  <si>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</si>
  <si>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</si>
  <si>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</si>
  <si>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</si>
  <si>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</si>
  <si>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</si>
  <si>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</si>
  <si>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</si>
  <si>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</si>
  <si>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</si>
  <si>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</si>
  <si>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</si>
  <si>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</si>
  <si>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</si>
  <si>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</si>
  <si>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</si>
  <si>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</si>
  <si>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</si>
  <si>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</si>
  <si>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</si>
  <si>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</si>
  <si>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</si>
  <si>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</si>
  <si>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</si>
  <si>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</si>
  <si>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</si>
  <si>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</si>
  <si>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</si>
  <si>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</si>
  <si>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</si>
  <si>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</si>
  <si>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</si>
  <si>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</si>
  <si>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</si>
  <si>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</si>
  <si>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</si>
  <si>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</si>
  <si>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</si>
  <si>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</si>
  <si>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</si>
  <si>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</si>
  <si>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</si>
  <si>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</si>
  <si>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</si>
  <si>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</si>
  <si>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</si>
  <si>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</si>
  <si>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</si>
  <si>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</si>
  <si>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</si>
  <si>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</si>
  <si>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</si>
  <si>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</si>
  <si>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</si>
  <si>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</si>
  <si>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</si>
  <si>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</si>
  <si>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</si>
  <si>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</si>
  <si>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</si>
  <si>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</si>
  <si>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</si>
  <si>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</si>
  <si>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</si>
  <si>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</si>
  <si>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</si>
  <si>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</si>
  <si>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</si>
  <si>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</si>
  <si>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</si>
  <si>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</si>
  <si>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</si>
  <si>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</si>
  <si>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</si>
  <si>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</si>
  <si>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</si>
  <si>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</si>
  <si>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</si>
  <si>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</si>
  <si>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</si>
  <si>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</si>
  <si>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</si>
  <si>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</si>
  <si>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</si>
  <si>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</si>
  <si>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</si>
  <si>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</si>
  <si>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</si>
  <si>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</si>
  <si>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</si>
  <si>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</si>
  <si>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</si>
  <si>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</si>
  <si>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</si>
  <si>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</si>
  <si>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</si>
  <si>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</si>
  <si>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</si>
  <si>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</si>
  <si>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</si>
  <si>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</si>
  <si>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</si>
  <si>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</si>
  <si>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</si>
  <si>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</si>
  <si>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</si>
  <si>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</si>
  <si>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</si>
  <si>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</si>
  <si>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</si>
  <si>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</si>
  <si>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</si>
  <si>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</si>
  <si>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</si>
  <si>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</si>
  <si>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</si>
  <si>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</si>
  <si>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</si>
  <si>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</si>
  <si>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</si>
  <si>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</si>
  <si>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</si>
  <si>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</si>
  <si>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</si>
  <si>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</si>
  <si>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</si>
  <si>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</si>
  <si>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</si>
  <si>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</si>
  <si>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</si>
  <si>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</si>
  <si>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</si>
  <si>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</si>
  <si>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</si>
  <si>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</si>
  <si>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</si>
  <si>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</si>
  <si>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</si>
  <si>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</si>
  <si>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</si>
  <si>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</si>
  <si>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</si>
  <si>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</si>
  <si>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</si>
  <si>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</si>
  <si>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</si>
  <si>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</si>
  <si>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</si>
  <si>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</si>
  <si>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</si>
  <si>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</si>
  <si>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</si>
  <si>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</si>
  <si>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</si>
  <si>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</si>
  <si>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</si>
  <si>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</si>
  <si>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</si>
  <si>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</si>
  <si>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</si>
  <si>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</si>
  <si>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</si>
  <si>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</si>
  <si>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</si>
  <si>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</si>
  <si>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</si>
  <si>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</si>
  <si>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</si>
  <si>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</si>
  <si>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</si>
  <si>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</si>
  <si>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</si>
  <si>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</si>
  <si>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</si>
  <si>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</si>
  <si>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</si>
  <si>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</si>
  <si>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</si>
  <si>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</si>
  <si>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</si>
  <si>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</si>
  <si>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</si>
  <si>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</si>
  <si>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</si>
  <si>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</si>
  <si>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</si>
  <si>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</si>
  <si>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</si>
  <si>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</si>
  <si>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</si>
  <si>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</si>
  <si>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</si>
  <si>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</si>
  <si>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</si>
  <si>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</si>
  <si>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</si>
  <si>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</si>
  <si>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</si>
  <si>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</si>
  <si>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</si>
  <si>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</si>
  <si>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</si>
  <si>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</si>
  <si>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</si>
  <si>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</si>
  <si>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</si>
  <si>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</si>
  <si>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</si>
  <si>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</si>
  <si>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</si>
  <si>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</si>
  <si>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</si>
  <si>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</si>
  <si>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</si>
  <si>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</si>
  <si>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</si>
  <si>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</si>
  <si>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</si>
  <si>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</si>
  <si>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</si>
  <si>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</si>
  <si>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</si>
  <si>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</si>
  <si>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</si>
  <si>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</si>
  <si>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</si>
  <si>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</si>
  <si>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</si>
  <si>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</si>
  <si>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</si>
  <si>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</si>
  <si>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</si>
  <si>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</si>
  <si>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</si>
  <si>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</si>
  <si>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</si>
  <si>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</si>
  <si>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</si>
  <si>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</si>
  <si>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</si>
  <si>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</si>
  <si>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</si>
  <si>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</si>
  <si>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</si>
  <si>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</si>
  <si>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</si>
  <si>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</si>
  <si>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</si>
  <si>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</si>
  <si>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</si>
  <si>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</si>
  <si>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</si>
  <si>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</si>
  <si>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</si>
  <si>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</si>
  <si>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</si>
  <si>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</si>
  <si>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</si>
  <si>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</si>
  <si>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</si>
  <si>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</si>
  <si>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</si>
  <si>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</si>
  <si>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</si>
  <si>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</si>
  <si>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</si>
  <si>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</si>
  <si>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</si>
  <si>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</si>
  <si>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</si>
  <si>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</si>
  <si>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</si>
  <si>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</si>
  <si>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</si>
  <si>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</si>
  <si>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</si>
  <si>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</si>
  <si>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</si>
  <si>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</si>
  <si>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</si>
  <si>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</si>
  <si>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</si>
  <si>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</si>
  <si>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</si>
  <si>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</si>
  <si>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</si>
  <si>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</si>
  <si>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</si>
  <si>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</si>
  <si>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</si>
  <si>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</si>
  <si>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</si>
  <si>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</si>
  <si>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</si>
  <si>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</si>
  <si>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</si>
  <si>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</si>
  <si>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</si>
  <si>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</si>
  <si>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</si>
  <si>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</si>
  <si>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</si>
  <si>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</si>
  <si>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</si>
  <si>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</si>
  <si>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</si>
  <si>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</si>
  <si>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</si>
  <si>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</si>
  <si>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</si>
  <si>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</si>
  <si>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</si>
  <si>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</si>
  <si>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</si>
  <si>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</si>
  <si>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</si>
  <si>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</si>
  <si>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</si>
  <si>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</si>
  <si>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</si>
  <si>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</si>
  <si>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</si>
  <si>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</si>
  <si>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</si>
  <si>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</si>
  <si>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</si>
  <si>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</si>
  <si>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</si>
  <si>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</si>
  <si>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</si>
  <si>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</si>
  <si>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</si>
  <si>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</si>
  <si>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</si>
  <si>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</si>
  <si>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</si>
  <si>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</si>
  <si>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</si>
  <si>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</si>
  <si>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</si>
  <si>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</si>
  <si>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</si>
  <si>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</si>
  <si>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</si>
  <si>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</si>
  <si>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</si>
  <si>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</si>
  <si>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</si>
  <si>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</si>
  <si>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</si>
  <si>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</si>
  <si>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</si>
  <si>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</si>
  <si>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</si>
  <si>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</si>
  <si>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</si>
  <si>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</si>
  <si>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</si>
  <si>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</si>
  <si>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</si>
  <si>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</si>
  <si>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</si>
  <si>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</si>
  <si>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</si>
  <si>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</si>
  <si>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</si>
  <si>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</si>
  <si>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</si>
  <si>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</si>
  <si>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</si>
  <si>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</si>
  <si>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</si>
  <si>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</si>
  <si>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</si>
  <si>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</si>
  <si>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</si>
  <si>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</si>
  <si>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</si>
  <si>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</si>
  <si>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</si>
  <si>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</si>
  <si>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</si>
  <si>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</si>
  <si>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</si>
  <si>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</si>
  <si>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</si>
  <si>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</si>
  <si>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</si>
  <si>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</si>
  <si>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</si>
  <si>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</si>
  <si>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</si>
  <si>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</si>
  <si>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</si>
  <si>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</si>
  <si>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</si>
  <si>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</si>
  <si>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</si>
  <si>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</si>
  <si>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</si>
  <si>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</si>
  <si>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</si>
  <si>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</si>
  <si>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</si>
  <si>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</si>
  <si>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</si>
  <si>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</si>
  <si>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</si>
  <si>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</si>
  <si>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</si>
  <si>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</si>
  <si>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</si>
  <si>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</si>
  <si>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</si>
  <si>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</si>
  <si>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</si>
  <si>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</si>
  <si>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</si>
  <si>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</si>
  <si>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</si>
  <si>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</si>
  <si>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</si>
  <si>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</si>
  <si>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</si>
  <si>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</si>
  <si>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</si>
  <si>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</si>
  <si>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</si>
  <si>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</si>
  <si>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</si>
  <si>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</si>
  <si>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</si>
  <si>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</si>
  <si>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</si>
  <si>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</si>
  <si>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</si>
  <si>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</si>
  <si>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</si>
  <si>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</si>
  <si>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</si>
  <si>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</si>
  <si>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</si>
  <si>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</si>
  <si>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</si>
  <si>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</si>
  <si>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</si>
  <si>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</si>
  <si>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</si>
  <si>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</si>
  <si>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</si>
  <si>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</si>
  <si>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</si>
  <si>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</si>
  <si>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</si>
  <si>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</si>
  <si>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</si>
  <si>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</si>
  <si>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</si>
  <si>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</si>
  <si>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</si>
  <si>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</si>
  <si>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</si>
  <si>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</si>
  <si>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</si>
  <si>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</si>
  <si>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</si>
  <si>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</si>
  <si>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</si>
  <si>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</si>
  <si>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</si>
  <si>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</si>
  <si>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</si>
  <si>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</si>
  <si>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</si>
  <si>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</si>
  <si>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</si>
  <si>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</si>
  <si>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</si>
  <si>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</si>
  <si>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</si>
  <si>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</si>
  <si>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</si>
  <si>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</si>
  <si>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</si>
  <si>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</si>
  <si>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</si>
  <si>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</si>
  <si>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</si>
  <si>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</si>
  <si>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</si>
  <si>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</si>
  <si>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</si>
  <si>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</si>
  <si>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</si>
  <si>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</si>
  <si>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</si>
  <si>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</si>
  <si>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</si>
  <si>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</si>
  <si>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</si>
  <si>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</si>
  <si>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</si>
  <si>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</si>
  <si>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</si>
  <si>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</si>
  <si>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</si>
  <si>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</si>
  <si>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</si>
  <si>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</si>
  <si>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</si>
  <si>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</si>
  <si>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</si>
  <si>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</si>
  <si>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</si>
  <si>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</si>
  <si>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</si>
  <si>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</si>
  <si>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</si>
  <si>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</si>
  <si>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</si>
  <si>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</si>
  <si>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</si>
  <si>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</si>
  <si>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</si>
  <si>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</si>
  <si>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</si>
  <si>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</si>
  <si>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</si>
  <si>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</si>
  <si>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</si>
  <si>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</si>
  <si>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</si>
  <si>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</si>
  <si>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</si>
  <si>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</si>
  <si>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</si>
  <si>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</si>
  <si>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</si>
  <si>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</si>
  <si>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</si>
  <si>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</si>
  <si>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</si>
  <si>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</si>
  <si>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</si>
  <si>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</si>
  <si>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</si>
  <si>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</si>
  <si>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</si>
  <si>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</si>
  <si>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</si>
  <si>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</si>
  <si>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</si>
  <si>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</si>
  <si>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</si>
  <si>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</si>
  <si>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</si>
  <si>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</si>
  <si>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</si>
  <si>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</si>
  <si>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</si>
  <si>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</si>
  <si>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</si>
  <si>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</si>
  <si>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</si>
  <si>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</si>
  <si>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</si>
  <si>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</si>
  <si>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</si>
  <si>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</si>
  <si>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</si>
  <si>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</si>
  <si>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</si>
  <si>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</si>
  <si>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</si>
  <si>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</si>
  <si>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</si>
  <si>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</si>
  <si>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</si>
  <si>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</si>
  <si>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</si>
  <si>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</si>
  <si>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</si>
  <si>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</si>
  <si>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</si>
  <si>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</si>
  <si>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</si>
  <si>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</si>
  <si>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</si>
  <si>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</si>
  <si>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</si>
  <si>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</si>
  <si>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</si>
  <si>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</si>
  <si>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</si>
  <si>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</si>
  <si>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</si>
  <si>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</si>
  <si>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</si>
  <si>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</si>
  <si>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</si>
  <si>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</si>
  <si>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</si>
  <si>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</si>
  <si>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</si>
  <si>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</si>
  <si>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</si>
  <si>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</si>
  <si>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</si>
  <si>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</si>
  <si>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</si>
  <si>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</si>
  <si>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</si>
  <si>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</si>
  <si>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</si>
  <si>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</si>
  <si>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</si>
  <si>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</si>
  <si>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</si>
  <si>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</si>
  <si>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</si>
  <si>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</si>
  <si>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</si>
  <si>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</si>
  <si>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</si>
  <si>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</si>
  <si>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</si>
  <si>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</si>
  <si>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</si>
  <si>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</si>
  <si>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</si>
  <si>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</si>
  <si>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</si>
  <si>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</si>
  <si>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</si>
  <si>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</si>
  <si>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</si>
  <si>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</si>
  <si>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</si>
  <si>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</si>
  <si>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</si>
  <si>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</si>
  <si>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</si>
  <si>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</si>
  <si>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</si>
  <si>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</si>
  <si>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</si>
  <si>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</si>
  <si>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</si>
  <si>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</si>
  <si>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</si>
  <si>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</si>
  <si>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</si>
  <si>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</si>
  <si>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</si>
  <si>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</si>
  <si>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</si>
  <si>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</si>
  <si>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</si>
  <si>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</si>
  <si>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</si>
  <si>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</si>
  <si>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</si>
  <si>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</si>
  <si>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</si>
  <si>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</si>
  <si>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</si>
  <si>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</si>
  <si>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</si>
  <si>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</si>
  <si>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</si>
  <si>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</si>
  <si>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</si>
  <si>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</si>
  <si>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</si>
  <si>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</si>
  <si>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</si>
  <si>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</si>
  <si>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</si>
  <si>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</si>
  <si>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</si>
  <si>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</si>
  <si>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</si>
  <si>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</si>
  <si>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</si>
  <si>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</si>
  <si>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</si>
  <si>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</si>
  <si>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</si>
  <si>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</si>
  <si>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</si>
  <si>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</si>
  <si>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</si>
  <si>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</si>
  <si>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</si>
  <si>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</si>
  <si>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</si>
  <si>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</si>
  <si>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</si>
  <si>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</si>
  <si>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</si>
  <si>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</si>
  <si>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</si>
  <si>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</si>
  <si>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</si>
  <si>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</si>
  <si>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</si>
  <si>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</si>
  <si>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</si>
  <si>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</si>
  <si>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</si>
  <si>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</si>
  <si>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</si>
  <si>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</si>
  <si>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</si>
  <si>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</si>
  <si>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</si>
  <si>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</si>
  <si>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</si>
  <si>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</si>
  <si>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</si>
  <si>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</si>
  <si>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</si>
  <si>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</si>
  <si>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</si>
  <si>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</si>
  <si>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</si>
  <si>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</si>
  <si>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</si>
  <si>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</si>
  <si>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</si>
  <si>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</si>
  <si>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</si>
  <si>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</si>
  <si>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</si>
  <si>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</si>
  <si>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</si>
  <si>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</si>
  <si>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</si>
  <si>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</si>
  <si>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</si>
  <si>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</si>
  <si>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</si>
  <si>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</si>
  <si>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</si>
  <si>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</si>
  <si>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</si>
  <si>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</si>
  <si>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</si>
  <si>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</si>
  <si>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</si>
  <si>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</si>
  <si>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</si>
  <si>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</si>
  <si>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</si>
  <si>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</si>
  <si>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</si>
  <si>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</si>
  <si>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</si>
  <si>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</si>
  <si>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</si>
  <si>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</si>
  <si>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</si>
  <si>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</si>
  <si>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</si>
  <si>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</si>
  <si>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</si>
  <si>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</si>
  <si>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</si>
  <si>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</si>
  <si>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</si>
  <si>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</si>
  <si>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</si>
  <si>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</si>
  <si>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</si>
  <si>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</si>
  <si>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</si>
  <si>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</si>
  <si>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</si>
  <si>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</si>
  <si>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</si>
  <si>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</si>
  <si>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</si>
  <si>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</si>
  <si>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</si>
  <si>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</si>
  <si>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</si>
  <si>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</si>
  <si>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</si>
  <si>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</si>
  <si>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</si>
  <si>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</si>
  <si>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</si>
  <si>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</si>
  <si>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</si>
  <si>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</si>
  <si>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</si>
  <si>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</si>
  <si>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</si>
  <si>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</si>
  <si>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</si>
  <si>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</si>
  <si>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</si>
  <si>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</si>
  <si>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</si>
  <si>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</si>
  <si>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</si>
  <si>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</si>
  <si>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</si>
  <si>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</si>
  <si>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</si>
  <si>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</si>
  <si>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</si>
  <si>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</si>
  <si>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</si>
  <si>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</si>
  <si>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</si>
  <si>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</si>
  <si>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</si>
  <si>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</si>
  <si>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</si>
  <si>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</si>
  <si>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</si>
  <si>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</si>
  <si>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</si>
  <si>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</si>
  <si>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</si>
  <si>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</si>
  <si>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</si>
  <si>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</si>
  <si>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</si>
  <si>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</si>
  <si>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</si>
  <si>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</si>
  <si>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</si>
  <si>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</si>
  <si>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</si>
  <si>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</si>
  <si>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</si>
  <si>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</si>
  <si>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</si>
  <si>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</si>
  <si>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</si>
  <si>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</si>
  <si>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</si>
  <si>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</si>
  <si>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</si>
  <si>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</si>
  <si>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</si>
  <si>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</si>
  <si>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</si>
  <si>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</si>
  <si>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</si>
  <si>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</si>
  <si>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</si>
  <si>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</si>
  <si>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</si>
  <si>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</si>
  <si>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</si>
  <si>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</si>
  <si>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</si>
  <si>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</si>
  <si>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</si>
  <si>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</si>
  <si>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</si>
  <si>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</si>
  <si>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</si>
  <si>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</si>
  <si>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</si>
  <si>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</si>
  <si>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</si>
  <si>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</si>
  <si>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</si>
  <si>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</si>
  <si>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</si>
  <si>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</si>
  <si>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</si>
  <si>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</si>
  <si>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</si>
  <si>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</si>
  <si>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</si>
  <si>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</si>
  <si>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</si>
  <si>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</si>
  <si>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</si>
  <si>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</si>
  <si>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</si>
  <si>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</si>
  <si>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</si>
  <si>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</si>
  <si>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</si>
  <si>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</si>
  <si>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</si>
  <si>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</si>
  <si>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</si>
  <si>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</si>
  <si>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</si>
  <si>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</si>
  <si>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</si>
  <si>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</si>
  <si>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</si>
  <si>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</si>
  <si>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</si>
  <si>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</si>
  <si>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</si>
  <si>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</si>
  <si>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</si>
  <si>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</si>
  <si>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</si>
  <si>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</si>
  <si>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</si>
  <si>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</si>
  <si>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</si>
  <si>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</si>
  <si>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</si>
  <si>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</si>
  <si>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</si>
  <si>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</si>
  <si>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</si>
  <si>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</si>
  <si>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</si>
  <si>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</si>
  <si>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</si>
  <si>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</si>
  <si>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</si>
  <si>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</si>
  <si>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</si>
  <si>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</si>
  <si>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</si>
  <si>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</si>
  <si>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</si>
  <si>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</si>
  <si>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</si>
  <si>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</si>
  <si>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</si>
  <si>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</si>
  <si>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</si>
  <si>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</si>
  <si>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</si>
  <si>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</si>
  <si>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</si>
  <si>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</si>
  <si>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</si>
  <si>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</si>
  <si>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</si>
  <si>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</si>
  <si>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</si>
  <si>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</si>
  <si>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</si>
  <si>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</si>
  <si>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</si>
  <si>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</si>
  <si>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</si>
  <si>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</si>
  <si>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</si>
  <si>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</si>
  <si>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</si>
  <si>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</si>
  <si>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</si>
  <si>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</si>
  <si>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</si>
  <si>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</si>
  <si>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</si>
  <si>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</si>
  <si>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</si>
  <si>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</si>
  <si>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</si>
  <si>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</si>
  <si>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</si>
  <si>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</si>
  <si>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</si>
  <si>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</si>
  <si>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</si>
  <si>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</si>
  <si>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</si>
  <si>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</si>
  <si>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</si>
  <si>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</si>
  <si>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</si>
  <si>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</si>
  <si>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</si>
  <si>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</si>
  <si>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</si>
  <si>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</si>
  <si>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</si>
  <si>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</si>
  <si>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</si>
  <si>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</si>
  <si>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</si>
  <si>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</si>
  <si>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</si>
  <si>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</si>
  <si>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</si>
  <si>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</si>
  <si>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</si>
  <si>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</si>
  <si>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</si>
  <si>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</si>
  <si>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</si>
  <si>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</si>
  <si>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</si>
  <si>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</si>
  <si>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</si>
  <si>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</si>
  <si>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</si>
  <si>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</si>
  <si>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</si>
  <si>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</si>
  <si>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</si>
  <si>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</si>
  <si>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</si>
  <si>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</si>
  <si>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</si>
  <si>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</si>
  <si>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</si>
  <si>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</si>
  <si>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</si>
  <si>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</si>
  <si>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</si>
  <si>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</si>
  <si>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</si>
  <si>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</si>
  <si>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</si>
  <si>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</si>
  <si>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</si>
  <si>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</si>
  <si>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</si>
  <si>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</si>
  <si>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</si>
  <si>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</si>
  <si>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</si>
  <si>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</si>
  <si>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</si>
  <si>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</si>
  <si>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</si>
  <si>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</si>
  <si>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</si>
  <si>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</si>
  <si>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</si>
  <si>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</si>
  <si>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</si>
  <si>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</si>
  <si>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</si>
  <si>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</si>
  <si>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</si>
  <si>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</si>
  <si>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</si>
  <si>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</si>
  <si>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</si>
  <si>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</si>
  <si>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</si>
  <si>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</si>
  <si>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</si>
  <si>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</si>
  <si>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</si>
  <si>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</si>
  <si>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</si>
  <si>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</si>
  <si>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</si>
  <si>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</si>
  <si>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</si>
  <si>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</si>
  <si>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</si>
  <si>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</si>
  <si>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</si>
  <si>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</si>
  <si>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</si>
  <si>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</si>
  <si>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</si>
  <si>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</si>
  <si>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</si>
  <si>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</si>
  <si>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</si>
  <si>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</si>
  <si>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</si>
  <si>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</si>
  <si>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</si>
  <si>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</si>
  <si>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</si>
  <si>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</si>
  <si>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</si>
  <si>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</si>
  <si>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</si>
  <si>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</si>
  <si>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</si>
  <si>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</si>
  <si>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</si>
  <si>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</si>
  <si>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</si>
  <si>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</si>
  <si>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</si>
  <si>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</si>
  <si>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</si>
  <si>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</si>
  <si>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</si>
  <si>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</si>
  <si>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</si>
  <si>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</si>
  <si>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</si>
  <si>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</si>
  <si>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</si>
  <si>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</si>
  <si>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</si>
  <si>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</si>
  <si>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</si>
  <si>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</si>
  <si>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</si>
  <si>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</si>
  <si>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</si>
  <si>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</si>
  <si>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</si>
  <si>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</si>
  <si>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</si>
  <si>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</si>
  <si>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</si>
  <si>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</si>
  <si>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</si>
  <si>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</si>
  <si>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</si>
  <si>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</si>
  <si>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</si>
  <si>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</si>
  <si>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</si>
  <si>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</si>
  <si>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</si>
  <si>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</si>
  <si>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</si>
  <si>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</si>
  <si>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</si>
  <si>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</si>
  <si>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</si>
  <si>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</si>
  <si>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</si>
  <si>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</si>
  <si>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</si>
  <si>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</si>
  <si>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</si>
  <si>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</si>
  <si>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</si>
  <si>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</si>
  <si>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</si>
  <si>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</si>
  <si>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</si>
  <si>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</si>
  <si>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</si>
  <si>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</si>
  <si>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</si>
  <si>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</si>
  <si>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</si>
  <si>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Ⅵ-亦1</t>
  </si>
  <si>
    <t>商务金融用地</t>
  </si>
  <si>
    <t>自定义容积率</t>
  </si>
  <si>
    <t>与级别开发程度不一致</t>
  </si>
  <si>
    <t>通路</t>
  </si>
  <si>
    <t>通电</t>
  </si>
  <si>
    <t>通讯</t>
  </si>
  <si>
    <t>通上水</t>
  </si>
  <si>
    <t>通下水</t>
  </si>
  <si>
    <t>平整</t>
  </si>
  <si>
    <t>中心城区以外</t>
  </si>
  <si>
    <t>较好</t>
  </si>
  <si>
    <t>一般</t>
  </si>
  <si>
    <t>好</t>
  </si>
  <si>
    <t>地下</t>
  </si>
  <si>
    <t>地上</t>
  </si>
  <si>
    <t>车库—办公</t>
  </si>
  <si>
    <t>是</t>
  </si>
  <si>
    <t>成新度</t>
  </si>
  <si>
    <t>收益法 (元)</t>
  </si>
  <si>
    <t>未包含在土地购买价格中</t>
  </si>
  <si>
    <t>已包含在土地取得成本中</t>
  </si>
  <si>
    <t>办公</t>
    <phoneticPr fontId="7" type="noConversion"/>
  </si>
  <si>
    <t>押一</t>
  </si>
  <si>
    <t>钢混</t>
  </si>
  <si>
    <t>非生产用房</t>
  </si>
  <si>
    <t>否</t>
  </si>
  <si>
    <t>成本法 (元)</t>
  </si>
  <si>
    <t>自然人</t>
  </si>
  <si>
    <t>地上</t>
    <phoneticPr fontId="3" type="noConversion"/>
  </si>
  <si>
    <t>车库</t>
    <phoneticPr fontId="3" type="noConversion"/>
  </si>
  <si>
    <t>租金</t>
    <phoneticPr fontId="3" type="noConversion"/>
  </si>
  <si>
    <t>面积</t>
    <phoneticPr fontId="3" type="noConversion"/>
  </si>
  <si>
    <t>郑燚</t>
  </si>
  <si>
    <t>崔锴</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</si>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</sst>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估价对象为北京市房地产，为所有。根据《国有土地使用证》[]，估价对象（分摊）出让国有建设用地使用权面积为0平方米，建筑面积为615.56平方米。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估价对象为北京市房地产,属开发建设的，该项目尚在开发建设中。根据《国有土地使用证》[]，估价对象（分摊）出让国有建设用地使用权面积为0平方米，规划建筑面积为615.56平方米。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1111</v>
      </c>
    </row>
    <row r="21" spans="1:2" s="1203" customFormat="1">
      <c r="A21" s="1201" t="s">
        <v>537</v>
      </c>
      <c r="B21" s="1202">
        <f ca="1">'预评函-2'!D7</f>
        <v>18049</v>
      </c>
    </row>
    <row r="22" spans="1:2" s="1203" customFormat="1">
      <c r="A22" s="1201" t="s">
        <v>538</v>
      </c>
      <c r="B22" s="1202" t="str">
        <f ca="1">'预评函-2'!D6</f>
        <v>壹仟壹佰壹拾壹万元整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1111</v>
      </c>
    </row>
    <row r="31" spans="1:2" s="1203" customFormat="1">
      <c r="A31" s="1201" t="s">
        <v>576</v>
      </c>
      <c r="B31" s="1202">
        <f ca="1">'预评函-2'!D15</f>
        <v>18049</v>
      </c>
    </row>
    <row r="32" spans="1:2" s="1203" customFormat="1">
      <c r="A32" s="1201" t="s">
        <v>543</v>
      </c>
      <c r="B32" s="1202" t="str">
        <f ca="1">'预评函-2'!D14</f>
        <v>壹仟壹佰壹拾壹万元整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615.55999999999995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0" sqref="I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13.41</v>
      </c>
      <c r="D6" s="3025">
        <f>IF(ISERROR(ROUND(POWER(1+E6,A6-C6)*(POWER(1+E6,C6)-1)/(POWER(1+E6,A6)-1),3)),0,ROUND(POWER(1+E6,A6-C6)*(POWER(1+E6,C6)-1)/(POWER(1+E6,A6)-1),4))</f>
        <v>0.47599999999999998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6" sqref="E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3414</v>
      </c>
      <c r="C4" s="2376">
        <f ca="1">SUMIF(注册房地产估价师,B4,估价师及机构信息!B3:B24)</f>
        <v>1120070131</v>
      </c>
      <c r="D4" s="2375" t="s">
        <v>3415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0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c r="E13" s="856">
        <v>57176</v>
      </c>
      <c r="F13" s="856">
        <f>E13</f>
        <v>57176</v>
      </c>
      <c r="G13" s="856"/>
      <c r="H13" s="856"/>
      <c r="I13" s="856"/>
      <c r="J13" s="3062"/>
      <c r="K13" s="2613"/>
      <c r="L13" s="2613"/>
      <c r="M13" s="2439"/>
      <c r="N13" s="2450"/>
      <c r="O13" s="2439"/>
      <c r="P13" s="2439"/>
      <c r="Q13" s="2439"/>
      <c r="AD13" s="1745"/>
    </row>
    <row r="14" spans="1:30">
      <c r="A14" s="1081"/>
      <c r="B14" s="2407" t="s">
        <v>2191</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f>IF(A13="出让",IF(F13="","",ROUNDDOWN(MIN((F13-$D$3)/365,F14),2)),F14)</f>
        <v>33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615.55999999999995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3" sqref="L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615.55999999999995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3397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3398</v>
      </c>
      <c r="E13" s="13">
        <f>IF($C$3="是",ROUND($A$3*G13/$B$3,2),ROUND($A$3*(G13-AT13)/$B$3,2))</f>
        <v>0</v>
      </c>
      <c r="F13" s="29"/>
      <c r="G13" s="30">
        <f>H13+AC13+AT13</f>
        <v>615.55999999999995</v>
      </c>
      <c r="H13" s="17">
        <f>SUMIF(I$12:AB$12,"总值",I13:AB13)</f>
        <v>615.55999999999995</v>
      </c>
      <c r="I13" s="1626">
        <v>481.49</v>
      </c>
      <c r="J13" s="1626"/>
      <c r="K13" s="1626">
        <v>134.07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615.55999999999995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615.55999999999995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481.49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134.07</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615.55999999999995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3403</v>
      </c>
      <c r="D19" s="45">
        <f>ROUND($D$3*E19/$E$3,2)</f>
        <v>0</v>
      </c>
      <c r="E19" s="53">
        <f t="shared" ref="E19:E26" si="1">SUM(F19:G19)</f>
        <v>615.55999999999995</v>
      </c>
      <c r="F19" s="2795">
        <f>'数据-基础表'!I13</f>
        <v>481.49</v>
      </c>
      <c r="G19" s="2796">
        <f>'数据-基础表'!K13</f>
        <v>134.07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615.55999999999995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615.55999999999995</v>
      </c>
      <c r="F27" s="1140">
        <f>IF(SUM(F19:F26)=E8,SUM(F19:F26),"地上面积有误")</f>
        <v>481.49</v>
      </c>
      <c r="G27" s="1142">
        <f>SUM(G19:G26)</f>
        <v>134.07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615.55999999999995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615.55999999999995</v>
      </c>
      <c r="F31" s="677">
        <f>F27+F30</f>
        <v>481.49</v>
      </c>
      <c r="G31" s="678">
        <f>G27+G30</f>
        <v>134.07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M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57176</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615.55999999999995</v>
      </c>
      <c r="L6" s="733">
        <v>4500</v>
      </c>
      <c r="M6" s="67">
        <f t="shared" ref="M6:M14" si="0">ROUND(K6*L6/10000,0)</f>
        <v>277</v>
      </c>
      <c r="N6" s="731">
        <f>ROUND((N21+N22)/2,2)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2.8</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0.01</v>
      </c>
      <c r="AN6" s="1715" t="s">
        <v>3400</v>
      </c>
      <c r="AO6" s="52">
        <f ca="1">SUMIF(INDIRECT("'"&amp;AN6&amp;"'"&amp;"!A:A"),"总价",INDIRECT("'"&amp;AN6&amp;"'"&amp;"!B:B"))</f>
        <v>1037.6996999999999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615.55999999999995</v>
      </c>
      <c r="L16" s="93">
        <f>ROUND(M16*10000/SUM(K6:K14),0)</f>
        <v>4500</v>
      </c>
      <c r="M16" s="93">
        <f>SUM(M6:M14)</f>
        <v>277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2008</v>
      </c>
      <c r="O20" s="2671"/>
      <c r="P20" s="2671"/>
      <c r="Q20" s="2671"/>
      <c r="R20" s="2671"/>
      <c r="S20" s="2671"/>
      <c r="T20" s="2671"/>
      <c r="U20" s="2671"/>
      <c r="V20" s="3789" t="s">
        <v>3413</v>
      </c>
      <c r="W20" s="3789" t="s">
        <v>3412</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0.75</v>
      </c>
      <c r="O21" s="2671"/>
      <c r="P21" s="2671"/>
      <c r="Q21" s="2671"/>
      <c r="R21" s="2671"/>
      <c r="S21" s="2671"/>
      <c r="T21" s="2671"/>
      <c r="U21" s="3789" t="s">
        <v>3410</v>
      </c>
      <c r="V21" s="2671">
        <f>'数据-汇总表'!F19</f>
        <v>481.49</v>
      </c>
      <c r="W21" s="2671">
        <v>3.5</v>
      </c>
      <c r="X21" s="2671">
        <f>V21*W21</f>
        <v>1685.2150000000001</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0.85</v>
      </c>
      <c r="O22" s="2671"/>
      <c r="P22" s="2671"/>
      <c r="Q22" s="2671"/>
      <c r="R22" s="2671"/>
      <c r="S22" s="2671"/>
      <c r="T22" s="2671"/>
      <c r="U22" s="3789" t="s">
        <v>3411</v>
      </c>
      <c r="V22" s="2671">
        <f>'数据-汇总表'!G19</f>
        <v>134.07</v>
      </c>
      <c r="W22" s="2671">
        <v>0.3</v>
      </c>
      <c r="X22" s="2671">
        <f>V22*W22</f>
        <v>40.220999999999997</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V21+V22</f>
        <v>615.55999999999995</v>
      </c>
      <c r="W23" s="2671">
        <f>X23/V23</f>
        <v>2.8030346351289888</v>
      </c>
      <c r="X23" s="2671">
        <f t="shared" ref="W23:X23" si="12">X21+X22</f>
        <v>1725.4360000000001</v>
      </c>
      <c r="Y23" s="2671"/>
      <c r="Z23" s="2671"/>
      <c r="AA23" s="2671"/>
      <c r="AB23" s="2671"/>
      <c r="AC23" s="2671">
        <f ca="1">结果表!G19</f>
        <v>1111</v>
      </c>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123112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615.55999999999995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1111</v>
      </c>
      <c r="C5" s="2512">
        <f ca="1">IF(B5=D14,结果表!H102,ROUND(B5*10000/$B$1,0))</f>
        <v>18049</v>
      </c>
      <c r="D5" s="2512" t="e">
        <f ca="1">ROUND(B5*10000/$B$2,0)</f>
        <v>#DIV/0!</v>
      </c>
      <c r="E5" s="2686"/>
      <c r="F5" s="2687"/>
      <c r="G5" s="2687"/>
      <c r="H5" s="2688"/>
      <c r="I5" s="2688"/>
      <c r="J5" s="2688"/>
      <c r="K5" s="2688"/>
    </row>
    <row r="6" spans="1:11" ht="16.5">
      <c r="A6" s="2512" t="s">
        <v>656</v>
      </c>
      <c r="B6" s="2512">
        <f>SUM(G14:G23)</f>
        <v>0</v>
      </c>
      <c r="C6" s="2512">
        <f ca="1">IF(B6=G14,结果表!H108,ROUND(B6*10000/$B$1,0))</f>
        <v>18049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615.55999999999995</v>
      </c>
      <c r="C14" s="2518"/>
      <c r="D14" s="2518">
        <f ca="1">结果表!H118</f>
        <v>1111</v>
      </c>
      <c r="E14" s="2518">
        <f ca="1">ROUND(D14*10000/B14,0)</f>
        <v>18049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G40" sqref="G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3408</v>
      </c>
      <c r="D4" s="1756" t="s">
        <v>3400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615.55999999999995</v>
      </c>
      <c r="M18" s="302">
        <f>IF(C1="",'数据-汇总表'!E3,SUMIF(项目类型,C1,'数据-汇总表'!E17:E26))</f>
        <v>615.55999999999995</v>
      </c>
    </row>
    <row r="19" spans="1:36" ht="15">
      <c r="A19" s="1761" t="s">
        <v>1290</v>
      </c>
      <c r="B19" s="1762" t="s">
        <v>1291</v>
      </c>
      <c r="C19" s="134">
        <f ca="1">SUMIF(INDIRECT("'"&amp;C4&amp;"'"&amp;"!A:A"),结果表!B19,INDIRECT("'"&amp;C4&amp;"'"&amp;"!B:B"))</f>
        <v>1183.3717999999999</v>
      </c>
      <c r="D19" s="135">
        <f ca="1">SUMIF(INDIRECT("'"&amp;D4&amp;"'"&amp;"!A:A"),结果表!B19,INDIRECT("'"&amp;D4&amp;"'"&amp;"!B:B"))</f>
        <v>1037.6996999999999</v>
      </c>
      <c r="E19" s="1761" t="s">
        <v>1292</v>
      </c>
      <c r="F19" s="1762" t="s">
        <v>1291</v>
      </c>
      <c r="G19" s="136">
        <f ca="1">ROUND(C19*$C$18+D19*$D$18,0)</f>
        <v>1111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19224</v>
      </c>
      <c r="D20" s="138">
        <f ca="1">SUMIF(INDIRECT("'"&amp;D4&amp;"'"&amp;"!A:A"),结果表!B20,INDIRECT("'"&amp;D4&amp;"'"&amp;"!B:B"))</f>
        <v>16858</v>
      </c>
      <c r="E20" s="1764"/>
      <c r="F20" s="1026" t="s">
        <v>1295</v>
      </c>
      <c r="G20" s="139">
        <f ca="1">ROUND(C20*$C$18+D20*$D$18,0)</f>
        <v>18041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0.14037982279459071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1111</v>
      </c>
      <c r="D32" s="1775" t="s">
        <v>3416</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1111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45131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1111</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59</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59</v>
      </c>
      <c r="E53" s="2334" t="s">
        <v>1354</v>
      </c>
      <c r="F53" s="2554">
        <f>'数据-取费表'!B41</f>
        <v>5.6000000000000001E-2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59</v>
      </c>
      <c r="E54" s="327" t="s">
        <v>1359</v>
      </c>
      <c r="F54" s="2554">
        <f>'数据-取费表'!B41</f>
        <v>5.6000000000000001E-2</v>
      </c>
      <c r="G54" s="2555"/>
      <c r="H54" s="2556"/>
      <c r="I54" s="1807"/>
      <c r="J54" s="2523">
        <v>3</v>
      </c>
      <c r="K54" s="3604" t="s">
        <v>1360</v>
      </c>
      <c r="L54" s="3604"/>
      <c r="M54" s="2525">
        <f t="shared" ca="1" si="0"/>
        <v>629</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11</v>
      </c>
      <c r="N55" s="2040" t="str">
        <f>E59</f>
        <v>差额计税</v>
      </c>
      <c r="O55" s="2529">
        <f>F59</f>
        <v>0.01</v>
      </c>
    </row>
    <row r="56" spans="1:35" ht="24.75">
      <c r="A56" s="3554" t="s">
        <v>1363</v>
      </c>
      <c r="B56" s="3555"/>
      <c r="C56" s="3555"/>
      <c r="D56" s="2324">
        <f ca="1">IF(H56="个人住宅",D57,D58)</f>
        <v>629</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641</v>
      </c>
      <c r="O57" s="2533"/>
      <c r="P57" s="2690" t="e">
        <f ca="1">N57/M49</f>
        <v>#VALUE!</v>
      </c>
    </row>
    <row r="58" spans="1:35" ht="24.75">
      <c r="A58" s="2335" t="s">
        <v>1352</v>
      </c>
      <c r="B58" s="3565" t="s">
        <v>1369</v>
      </c>
      <c r="C58" s="3539"/>
      <c r="D58" s="2324">
        <f ca="1">IF(H58="转让取得",C81,C97)</f>
        <v>629</v>
      </c>
      <c r="E58" s="2334" t="s">
        <v>1364</v>
      </c>
      <c r="F58" s="302" t="s">
        <v>28</v>
      </c>
      <c r="G58" s="2555"/>
      <c r="H58" s="2558"/>
      <c r="I58" s="1808"/>
      <c r="J58" s="3604"/>
      <c r="K58" s="3604"/>
      <c r="L58" s="2530" t="s">
        <v>1370</v>
      </c>
      <c r="M58" s="2534"/>
      <c r="N58" s="2535" t="str">
        <f ca="1">NUMBERSTRING(INT(N57*10000),2)&amp;"元整"</f>
        <v>陆佰肆拾壹万元整</v>
      </c>
      <c r="O58" s="2536"/>
    </row>
    <row r="59" spans="1:35" ht="24.75" thickBot="1">
      <c r="A59" s="3607" t="s">
        <v>1371</v>
      </c>
      <c r="B59" s="3608"/>
      <c r="C59" s="3608"/>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1058</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1111</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1058</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175.33333333333334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1111</v>
      </c>
      <c r="I101" s="129"/>
    </row>
    <row r="102" spans="1:35" ht="18.75" customHeight="1">
      <c r="A102" s="3585" t="s">
        <v>1433</v>
      </c>
      <c r="B102" s="2584" t="s">
        <v>1432</v>
      </c>
      <c r="C102" s="2585">
        <f ca="1">IF(D32="楼面单价",ROUND(C19,0),C19)</f>
        <v>1183.3717999999999</v>
      </c>
      <c r="D102" s="2586">
        <f ca="1">IF(D32="楼面单价",ROUND(D19,0),D19)</f>
        <v>1037.6996999999999</v>
      </c>
      <c r="E102" s="3626"/>
      <c r="F102" s="3583"/>
      <c r="G102" s="1827" t="s">
        <v>1434</v>
      </c>
      <c r="H102" s="2555">
        <f ca="1">I118</f>
        <v>18049</v>
      </c>
      <c r="I102" s="129"/>
    </row>
    <row r="103" spans="1:35" ht="42.75" customHeight="1">
      <c r="A103" s="3585"/>
      <c r="B103" s="2584" t="s">
        <v>1434</v>
      </c>
      <c r="C103" s="2587">
        <f ca="1">C20</f>
        <v>19224</v>
      </c>
      <c r="D103" s="2588">
        <f ca="1">D20</f>
        <v>16858</v>
      </c>
      <c r="E103" s="3620" t="s">
        <v>1435</v>
      </c>
      <c r="F103" s="3621"/>
      <c r="G103" s="1828" t="s">
        <v>1436</v>
      </c>
      <c r="H103" s="2595">
        <f>IF(D36="正常操作",H104+H105+H106,H105+H106)</f>
        <v>0</v>
      </c>
      <c r="I103" s="129"/>
    </row>
    <row r="104" spans="1:35" ht="18.75" customHeight="1">
      <c r="A104" s="3585" t="s">
        <v>1437</v>
      </c>
      <c r="B104" s="2589" t="s">
        <v>1432</v>
      </c>
      <c r="C104" s="2590">
        <f ca="1">H118</f>
        <v>1111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18049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1111</v>
      </c>
      <c r="I107" s="129"/>
    </row>
    <row r="108" spans="1:35" ht="18.75" customHeight="1">
      <c r="A108" s="129"/>
      <c r="B108" s="129"/>
      <c r="C108" s="129"/>
      <c r="D108" s="129"/>
      <c r="E108" s="3582"/>
      <c r="F108" s="3583"/>
      <c r="G108" s="1827" t="s">
        <v>1434</v>
      </c>
      <c r="H108" s="2555">
        <f ca="1">IF(H107=H101,H102,ROUND(H107*10000/'数据-汇总表'!E3,0))</f>
        <v>18049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615.55999999999995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1111</v>
      </c>
      <c r="I118" s="2329">
        <f ca="1">ROUND(IF(D32="楼面单价",C32,H118*10000/B118),0)</f>
        <v>18049</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壹仟壹佰壹拾壹万元整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1111</v>
      </c>
      <c r="E122" s="3618"/>
      <c r="F122" s="3618"/>
      <c r="G122" s="3618"/>
      <c r="H122" s="3618"/>
      <c r="I122" s="3619"/>
      <c r="AA122" s="725"/>
    </row>
    <row r="123" spans="1:27" ht="18.75" customHeight="1">
      <c r="A123" s="3553" t="s">
        <v>1452</v>
      </c>
      <c r="B123" s="3553"/>
      <c r="C123" s="3553"/>
      <c r="D123" s="3593" t="str">
        <f ca="1">NUMBERSTRING(INT(D122*10000),2)&amp;"元整"</f>
        <v>壹仟壹佰壹拾壹万元整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170308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2766716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123112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123112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615.55999999999995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615.55999999999995</v>
      </c>
      <c r="E19" s="211">
        <f>'数据-取费表'!B31</f>
        <v>200</v>
      </c>
      <c r="F19" s="231"/>
      <c r="G19" s="1856"/>
    </row>
    <row r="20" spans="1:7" s="214" customFormat="1" ht="13.5" customHeight="1">
      <c r="A20" s="255" t="s">
        <v>1493</v>
      </c>
      <c r="B20" s="210" t="s">
        <v>1494</v>
      </c>
      <c r="C20" s="232">
        <f ca="1">ROUND((C5+C19)*F20,0)</f>
        <v>3694</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9028</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131</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19023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19023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169980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615.55999999999995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1.1000000000000001E-3</v>
      </c>
      <c r="D44" s="238"/>
      <c r="E44" s="238"/>
      <c r="F44" s="239"/>
      <c r="G44" s="3635"/>
    </row>
    <row r="45" spans="1:7" s="214" customFormat="1" ht="13.5" customHeight="1">
      <c r="A45" s="255" t="s">
        <v>1547</v>
      </c>
      <c r="B45" s="244" t="s">
        <v>1513</v>
      </c>
      <c r="C45" s="245">
        <f ca="1">C46</f>
        <v>47</v>
      </c>
      <c r="D45" s="235">
        <f ca="1">C47</f>
        <v>4.4999999999999997E-3</v>
      </c>
      <c r="E45" s="236" t="s">
        <v>1539</v>
      </c>
      <c r="F45" s="246">
        <f ca="1">F27</f>
        <v>0.15</v>
      </c>
      <c r="G45" s="247" t="s">
        <v>1548</v>
      </c>
    </row>
    <row r="46" spans="1:7" s="214" customFormat="1" ht="13.5" customHeight="1">
      <c r="A46" s="780" t="s">
        <v>346</v>
      </c>
      <c r="B46" s="248" t="s">
        <v>1549</v>
      </c>
      <c r="C46" s="249">
        <f ca="1">ROUND((C33+C39)*F27,0)</f>
        <v>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328</v>
      </c>
      <c r="D51" s="232"/>
      <c r="E51" s="232"/>
      <c r="F51" s="264"/>
      <c r="G51" s="234" t="s">
        <v>1560</v>
      </c>
    </row>
    <row r="52" spans="1:7" s="208" customFormat="1" ht="16.5" thickBot="1">
      <c r="A52" s="265" t="s">
        <v>1561</v>
      </c>
      <c r="B52" s="266"/>
      <c r="C52" s="267">
        <f ca="1">C31+C51</f>
        <v>170308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zoomScaleSheetLayoutView="70" workbookViewId="0">
      <selection activeCell="J29" sqref="J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1" s="200" customFormat="1" ht="20.25">
      <c r="A1" s="196" t="s">
        <v>1461</v>
      </c>
      <c r="B1" s="1470"/>
      <c r="C1" s="1859" t="s">
        <v>1563</v>
      </c>
      <c r="D1" s="198"/>
      <c r="E1" s="198"/>
      <c r="F1" s="198"/>
      <c r="G1" s="1126">
        <f>MATCH(B1,'数据-取费表'!A6:A16,0)+5</f>
        <v>7</v>
      </c>
      <c r="H1" s="1061" t="str">
        <f>IF(ISERROR(FIND("住宅",B1)),"非住宅","住宅")</f>
        <v>非住宅</v>
      </c>
    </row>
    <row r="2" spans="1:11" s="200" customFormat="1" ht="18" customHeight="1">
      <c r="A2" s="201" t="s">
        <v>1462</v>
      </c>
      <c r="B2" s="3424">
        <f ca="1">ROUND(IF(D2="——",C52/10000,C52/10000-E2),4)</f>
        <v>1183.3717999999999</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19224</v>
      </c>
      <c r="C3" s="199" t="s">
        <v>1465</v>
      </c>
      <c r="D3" s="199"/>
      <c r="E3" s="199"/>
      <c r="F3" s="199"/>
      <c r="G3" s="199"/>
    </row>
    <row r="4" spans="1:11" s="208" customFormat="1" ht="15.75">
      <c r="A4" s="205" t="s">
        <v>1466</v>
      </c>
      <c r="B4" s="206"/>
      <c r="C4" s="206"/>
      <c r="D4" s="206"/>
      <c r="E4" s="206"/>
      <c r="F4" s="206"/>
      <c r="G4" s="207"/>
    </row>
    <row r="5" spans="1:11" s="214" customFormat="1" ht="13.5" customHeight="1">
      <c r="A5" s="255" t="s">
        <v>1467</v>
      </c>
      <c r="B5" s="210" t="s">
        <v>1468</v>
      </c>
      <c r="C5" s="211">
        <f ca="1">C6+C7+C8</f>
        <v>6185006</v>
      </c>
      <c r="D5" s="211" t="s">
        <v>1469</v>
      </c>
      <c r="E5" s="212" t="s">
        <v>1470</v>
      </c>
      <c r="F5" s="212" t="s">
        <v>1471</v>
      </c>
      <c r="G5" s="213"/>
    </row>
    <row r="6" spans="1:11" s="214" customFormat="1" ht="13.5" customHeight="1">
      <c r="A6" s="778" t="s">
        <v>1472</v>
      </c>
      <c r="B6" s="215" t="s">
        <v>1473</v>
      </c>
      <c r="C6" s="216">
        <f>K9</f>
        <v>5882478</v>
      </c>
      <c r="D6" s="217"/>
      <c r="E6" s="218"/>
      <c r="F6" s="218"/>
      <c r="G6" s="219"/>
    </row>
    <row r="7" spans="1:11" s="214" customFormat="1" ht="13.5" customHeight="1">
      <c r="A7" s="778" t="s">
        <v>1474</v>
      </c>
      <c r="B7" s="215" t="s">
        <v>1475</v>
      </c>
      <c r="C7" s="220">
        <f>ROUND(C6*F7,0)</f>
        <v>179416</v>
      </c>
      <c r="D7" s="220"/>
      <c r="E7" s="218"/>
      <c r="F7" s="221">
        <f>IF(项目基本情况!B8="出让",0,'数据-取费表'!B48+'数据-取费表'!B49)</f>
        <v>3.0499999999999999E-2</v>
      </c>
      <c r="G7" s="219"/>
      <c r="I7" s="214">
        <f>'数据-汇总表'!F19</f>
        <v>481.49</v>
      </c>
      <c r="J7" s="214">
        <f>基准地价修正!C33</f>
        <v>11772</v>
      </c>
      <c r="K7" s="214">
        <f>ROUND(I7*J7,0)</f>
        <v>5668100</v>
      </c>
    </row>
    <row r="8" spans="1:11" s="223" customFormat="1">
      <c r="A8" s="778" t="s">
        <v>1476</v>
      </c>
      <c r="B8" s="215" t="s">
        <v>1477</v>
      </c>
      <c r="C8" s="220">
        <f ca="1">IF(G8="已包含在土地购买价格中",0,C9+C10)</f>
        <v>123112</v>
      </c>
      <c r="D8" s="222"/>
      <c r="E8" s="220"/>
      <c r="F8" s="221"/>
      <c r="G8" s="1856" t="s">
        <v>3401</v>
      </c>
      <c r="I8" s="223">
        <f>'数据-汇总表'!G19</f>
        <v>134.07</v>
      </c>
      <c r="J8" s="223">
        <f>基准地价修正!C42</f>
        <v>1599</v>
      </c>
      <c r="K8" s="214">
        <f>ROUND(I8*J8,0)</f>
        <v>214378</v>
      </c>
    </row>
    <row r="9" spans="1:11"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c r="K9" s="214">
        <f>K7+K8</f>
        <v>5882478</v>
      </c>
    </row>
    <row r="10" spans="1:11" s="214" customFormat="1" ht="13.5" customHeight="1">
      <c r="A10" s="779" t="s">
        <v>356</v>
      </c>
      <c r="B10" s="224" t="s">
        <v>1480</v>
      </c>
      <c r="C10" s="225">
        <f ca="1">ROUND(D10*E10,0)</f>
        <v>123112</v>
      </c>
      <c r="D10" s="845">
        <f ca="1">IF(B1="",'数据-汇总表'!E6,IF(INDIRECT("'数据-取费表'!c"&amp;$G$1)="住宅",INDIRECT("'数据-取费表'!s"&amp;$G$1),INDIRECT("'数据-取费表'!k"&amp;$G$1)+INDIRECT("'数据-取费表'!s"&amp;$G$1)))</f>
        <v>615.55999999999995</v>
      </c>
      <c r="E10" s="225">
        <f>'数据-取费表'!B28</f>
        <v>200</v>
      </c>
      <c r="F10" s="221"/>
      <c r="G10" s="226"/>
    </row>
    <row r="11" spans="1:11" s="214" customFormat="1" ht="13.5" hidden="1" customHeight="1">
      <c r="A11" s="227" t="s">
        <v>4</v>
      </c>
      <c r="B11" s="215" t="s">
        <v>1481</v>
      </c>
      <c r="C11" s="211"/>
      <c r="D11" s="847"/>
      <c r="E11" s="218"/>
      <c r="F11" s="218"/>
      <c r="G11" s="219"/>
    </row>
    <row r="12" spans="1:11" s="214" customFormat="1" ht="13.5" hidden="1" customHeight="1">
      <c r="A12" s="227" t="s">
        <v>5</v>
      </c>
      <c r="B12" s="215" t="s">
        <v>1564</v>
      </c>
      <c r="C12" s="211">
        <v>0</v>
      </c>
      <c r="D12" s="847"/>
      <c r="E12" s="228"/>
      <c r="F12" s="221">
        <v>3.0499999999999999E-2</v>
      </c>
      <c r="G12" s="219"/>
    </row>
    <row r="13" spans="1:11" s="214" customFormat="1" ht="13.5" hidden="1" customHeight="1">
      <c r="A13" s="227" t="s">
        <v>6</v>
      </c>
      <c r="B13" s="215" t="s">
        <v>1565</v>
      </c>
      <c r="C13" s="211"/>
      <c r="D13" s="847"/>
      <c r="E13" s="218"/>
      <c r="F13" s="218"/>
      <c r="G13" s="219"/>
    </row>
    <row r="14" spans="1:11" s="214" customFormat="1" ht="13.5" hidden="1" customHeight="1">
      <c r="A14" s="227" t="s">
        <v>7</v>
      </c>
      <c r="B14" s="215" t="s">
        <v>1477</v>
      </c>
      <c r="C14" s="211"/>
      <c r="D14" s="847"/>
      <c r="E14" s="218"/>
      <c r="F14" s="218"/>
      <c r="G14" s="219" t="s">
        <v>1566</v>
      </c>
    </row>
    <row r="15" spans="1:11" s="214" customFormat="1" ht="13.5" hidden="1" customHeight="1">
      <c r="A15" s="227" t="s">
        <v>8</v>
      </c>
      <c r="B15" s="215" t="s">
        <v>1567</v>
      </c>
      <c r="C15" s="220"/>
      <c r="D15" s="847"/>
      <c r="E15" s="218"/>
      <c r="F15" s="218"/>
      <c r="G15" s="219" t="s">
        <v>1568</v>
      </c>
    </row>
    <row r="16" spans="1:11"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615.55999999999995</v>
      </c>
      <c r="E19" s="211">
        <f>'数据-取费表'!B31</f>
        <v>200</v>
      </c>
      <c r="F19" s="231"/>
      <c r="G19" s="1856" t="s">
        <v>3402</v>
      </c>
    </row>
    <row r="20" spans="1:7" s="214" customFormat="1" ht="13.5" customHeight="1">
      <c r="A20" s="255" t="s">
        <v>1574</v>
      </c>
      <c r="B20" s="210" t="s">
        <v>1575</v>
      </c>
      <c r="C20" s="232">
        <f ca="1">ROUND((C5+C19)*F20,0)</f>
        <v>185550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453517</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446930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6587</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955583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955583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8538751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3073183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2770020</v>
      </c>
      <c r="D34" s="217"/>
      <c r="E34" s="220"/>
      <c r="F34" s="257"/>
      <c r="G34" s="219"/>
    </row>
    <row r="35" spans="1:7" ht="13.5" customHeight="1">
      <c r="A35" s="780" t="s">
        <v>351</v>
      </c>
      <c r="B35" s="215" t="s">
        <v>1527</v>
      </c>
      <c r="C35" s="220">
        <f ca="1">ROUND(C34*F35,0)</f>
        <v>138501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123112</v>
      </c>
      <c r="D37" s="217">
        <f ca="1">D19</f>
        <v>615.55999999999995</v>
      </c>
      <c r="E37" s="249">
        <f>'数据-取费表'!B35</f>
        <v>200</v>
      </c>
      <c r="F37" s="259"/>
      <c r="G37" s="261"/>
    </row>
    <row r="38" spans="1:7" ht="13.5" customHeight="1">
      <c r="A38" s="780" t="s">
        <v>354</v>
      </c>
      <c r="B38" s="215" t="s">
        <v>1533</v>
      </c>
      <c r="C38" s="220">
        <f ca="1">ROUND(C34*F38,0)</f>
        <v>41550</v>
      </c>
      <c r="D38" s="220"/>
      <c r="E38" s="220"/>
      <c r="F38" s="259">
        <f>'数据-取费表'!B36</f>
        <v>1.4999999999999999E-2</v>
      </c>
      <c r="G38" s="219" t="s">
        <v>1528</v>
      </c>
    </row>
    <row r="39" spans="1:7" s="214" customFormat="1" ht="13.5" customHeight="1">
      <c r="A39" s="255" t="s">
        <v>1534</v>
      </c>
      <c r="B39" s="210" t="s">
        <v>1535</v>
      </c>
      <c r="C39" s="232">
        <f ca="1">ROUND(C33*F20,0)</f>
        <v>92195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112371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109098</v>
      </c>
      <c r="D42" s="238"/>
      <c r="E42" s="238"/>
      <c r="F42" s="239"/>
      <c r="G42" s="3633" t="s">
        <v>1591</v>
      </c>
    </row>
    <row r="43" spans="1:7" ht="13.5" customHeight="1">
      <c r="A43" s="780" t="s">
        <v>347</v>
      </c>
      <c r="B43" s="215" t="s">
        <v>1545</v>
      </c>
      <c r="C43" s="238">
        <f ca="1">ROUND(IF('数据-取费表'!B22&lt;=1,C39*F22*'数据-取费表'!B20/2,C39*(POWER((1+F22),'数据-取费表'!B20/2)-1)),0)</f>
        <v>3273</v>
      </c>
      <c r="D43" s="238"/>
      <c r="E43" s="238"/>
      <c r="F43" s="239"/>
      <c r="G43" s="3634"/>
    </row>
    <row r="44" spans="1:7" ht="13.5" customHeight="1">
      <c r="A44" s="780" t="s">
        <v>348</v>
      </c>
      <c r="B44" s="215" t="s">
        <v>1546</v>
      </c>
      <c r="C44" s="238">
        <f ca="1">ROUND(IF('数据-取费表'!B22&lt;=1,C40*F22*'数据-取费表'!B20/2,C40*(POWER((1+F22),'数据-取费表'!B20/2)-1)),4)</f>
        <v>1.1000000000000001E-3</v>
      </c>
      <c r="D44" s="238"/>
      <c r="E44" s="238"/>
      <c r="F44" s="239"/>
      <c r="G44" s="3635"/>
    </row>
    <row r="45" spans="1:7" s="214" customFormat="1" ht="13.5" customHeight="1">
      <c r="A45" s="255" t="s">
        <v>1547</v>
      </c>
      <c r="B45" s="244" t="s">
        <v>1513</v>
      </c>
      <c r="C45" s="245">
        <f ca="1">C46</f>
        <v>474807</v>
      </c>
      <c r="D45" s="235">
        <f ca="1">C47</f>
        <v>4.4999999999999997E-3</v>
      </c>
      <c r="E45" s="236" t="s">
        <v>1539</v>
      </c>
      <c r="F45" s="246">
        <f ca="1">F27</f>
        <v>0.15</v>
      </c>
      <c r="G45" s="247" t="s">
        <v>1548</v>
      </c>
    </row>
    <row r="46" spans="1:7" s="214" customFormat="1" ht="13.5" customHeight="1">
      <c r="A46" s="780" t="s">
        <v>346</v>
      </c>
      <c r="B46" s="248" t="s">
        <v>1549</v>
      </c>
      <c r="C46" s="249">
        <f ca="1">ROUND((C33+C39)*F27,0)</f>
        <v>474807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4118709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3294967</v>
      </c>
      <c r="D51" s="232"/>
      <c r="E51" s="232"/>
      <c r="F51" s="264"/>
      <c r="G51" s="234" t="s">
        <v>1560</v>
      </c>
    </row>
    <row r="52" spans="1:7" s="208" customFormat="1" ht="16.5" thickBot="1">
      <c r="A52" s="265" t="s">
        <v>1561</v>
      </c>
      <c r="B52" s="266"/>
      <c r="C52" s="267">
        <f ca="1">C31+C51</f>
        <v>11833718</v>
      </c>
      <c r="D52" s="266"/>
      <c r="E52" s="266"/>
      <c r="F52" s="266"/>
      <c r="G52" s="268"/>
    </row>
    <row r="55" spans="1:7" ht="15">
      <c r="B55" s="270" t="s">
        <v>1562</v>
      </c>
      <c r="C55" s="271"/>
    </row>
    <row r="56" spans="1:7">
      <c r="B56" s="273" t="s">
        <v>802</v>
      </c>
      <c r="C56" s="275">
        <f ca="1">1-C57</f>
        <v>0.72199999999999998</v>
      </c>
    </row>
    <row r="57" spans="1:7">
      <c r="B57" s="273" t="s">
        <v>803</v>
      </c>
      <c r="C57" s="274">
        <f ca="1">ROUND(C51/C52,3)</f>
        <v>0.27800000000000002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141703</v>
      </c>
      <c r="C2" s="276" t="s">
        <v>1595</v>
      </c>
      <c r="D2" s="276"/>
      <c r="E2" s="2806"/>
      <c r="F2" s="2806"/>
      <c r="G2" s="2806"/>
      <c r="H2" s="2806"/>
      <c r="I2" s="2806"/>
      <c r="J2" s="2806"/>
      <c r="K2" s="2806"/>
    </row>
    <row r="3" spans="1:33" ht="18" customHeight="1" thickBot="1">
      <c r="A3" s="203" t="s">
        <v>1464</v>
      </c>
      <c r="B3" s="204">
        <f ca="1">ROUND(B2*10000/IF(C1="",'数据-汇总表'!E3,INDIRECT("'数据-取费表'!K"&amp;$K$1)),0)</f>
        <v>2302018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615.55999999999995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615.55999999999995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-123100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615.55999999999995</v>
      </c>
      <c r="E20" s="21">
        <f>'数据-取费表'!B28</f>
        <v>200</v>
      </c>
      <c r="F20" s="804"/>
      <c r="G20" s="12"/>
      <c r="H20" s="809"/>
      <c r="I20" s="809"/>
      <c r="J20" s="809"/>
      <c r="K20" s="810"/>
    </row>
    <row r="21" spans="1:33" s="803" customFormat="1" ht="13.5" customHeight="1">
      <c r="A21" s="790" t="s">
        <v>357</v>
      </c>
      <c r="B21" s="813" t="s">
        <v>1628</v>
      </c>
      <c r="C21" s="814">
        <f ca="1">C16+C17+C18</f>
        <v>-123100</v>
      </c>
      <c r="D21" s="815"/>
      <c r="E21" s="281"/>
      <c r="F21" s="281"/>
      <c r="G21" s="131" t="s">
        <v>1629</v>
      </c>
      <c r="H21" s="807"/>
      <c r="I21" s="807"/>
      <c r="J21" s="807"/>
      <c r="K21" s="808"/>
    </row>
    <row r="22" spans="1:33" s="803" customFormat="1" ht="13.5" customHeight="1">
      <c r="A22" s="790" t="s">
        <v>1601</v>
      </c>
      <c r="B22" s="813" t="s">
        <v>1630</v>
      </c>
      <c r="C22" s="814">
        <f ca="1">ROUND(C21*F22,0)</f>
        <v>-3693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-19019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-19019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141703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1037.6996999999999</v>
      </c>
      <c r="C2" s="1387" t="s">
        <v>879</v>
      </c>
      <c r="D2" s="1471">
        <f ca="1">C40+J29+L46</f>
        <v>10376997</v>
      </c>
      <c r="E2" s="1388" t="s">
        <v>880</v>
      </c>
      <c r="F2" s="1389"/>
      <c r="G2" s="2706"/>
      <c r="H2" s="2695"/>
      <c r="I2" s="2695"/>
      <c r="J2" s="2695"/>
      <c r="K2" s="2696"/>
      <c r="L2" s="2695"/>
      <c r="M2" s="2695"/>
    </row>
    <row r="3" spans="1:37" ht="18" customHeight="1" thickBot="1">
      <c r="A3" s="1390" t="s">
        <v>881</v>
      </c>
      <c r="B3" s="1391">
        <f ca="1">IF(ISERROR(D2/F43),0,ROUND(D2/F43,0))</f>
        <v>16858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566900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566192</v>
      </c>
      <c r="D6" s="155" t="s">
        <v>2106</v>
      </c>
      <c r="E6" s="302" t="s">
        <v>696</v>
      </c>
      <c r="F6" s="303">
        <f ca="1">INDIRECT("'数据-取费表'!u"&amp;$G$1)</f>
        <v>2.8</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615.55999999999995</v>
      </c>
      <c r="G7" s="1384"/>
      <c r="H7" s="304"/>
      <c r="I7" s="3639"/>
      <c r="J7" s="306"/>
      <c r="K7" s="307"/>
      <c r="L7" s="302" t="s">
        <v>697</v>
      </c>
      <c r="M7" s="303">
        <f ca="1">F7</f>
        <v>615.55999999999995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708</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3294967</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2770020</v>
      </c>
      <c r="D14" s="1345" t="s">
        <v>708</v>
      </c>
      <c r="E14" s="1342"/>
      <c r="F14" s="319"/>
      <c r="G14" s="1384"/>
      <c r="H14" s="982" t="s">
        <v>398</v>
      </c>
      <c r="I14" s="302" t="s">
        <v>709</v>
      </c>
      <c r="J14" s="21">
        <f ca="1">C29</f>
        <v>4118709</v>
      </c>
      <c r="K14" s="12"/>
      <c r="L14" s="807"/>
      <c r="M14" s="808"/>
    </row>
    <row r="15" spans="1:37" s="1397" customFormat="1" ht="18" customHeight="1" thickBot="1">
      <c r="A15" s="982" t="s">
        <v>399</v>
      </c>
      <c r="B15" s="302" t="s">
        <v>710</v>
      </c>
      <c r="C15" s="21">
        <f ca="1">ROUND(C14*F15,0)</f>
        <v>138501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20594</v>
      </c>
      <c r="K16" s="1087" t="s">
        <v>715</v>
      </c>
      <c r="L16" s="1088"/>
      <c r="M16" s="1072"/>
    </row>
    <row r="17" spans="1:37" s="1397" customFormat="1" ht="18" customHeight="1">
      <c r="A17" s="982" t="s">
        <v>681</v>
      </c>
      <c r="B17" s="302" t="s">
        <v>716</v>
      </c>
      <c r="C17" s="21">
        <f ca="1">ROUND(F17*(F43+INDIRECT("'数据-取费表'!S"&amp;$G$1)),0)</f>
        <v>123112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41550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3073183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92195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112371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-20594</v>
      </c>
      <c r="K25" s="1095" t="s">
        <v>753</v>
      </c>
      <c r="L25" s="1096"/>
      <c r="M25" s="1097"/>
    </row>
    <row r="26" spans="1:37" ht="18" customHeight="1">
      <c r="A26" s="982" t="s">
        <v>397</v>
      </c>
      <c r="B26" s="302" t="s">
        <v>754</v>
      </c>
      <c r="C26" s="21">
        <f ca="1">ROUND((C19+C20)*F26,0)</f>
        <v>474807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4118709</v>
      </c>
      <c r="D29" s="1092"/>
      <c r="E29" s="1090"/>
      <c r="F29" s="1093"/>
      <c r="G29" s="1396"/>
      <c r="H29" s="334" t="s">
        <v>396</v>
      </c>
      <c r="I29" s="335" t="s">
        <v>768</v>
      </c>
      <c r="J29" s="336">
        <f ca="1">ROUND(J26/(1+F40)^F41,0)</f>
        <v>0</v>
      </c>
      <c r="K29" s="337" t="s">
        <v>769</v>
      </c>
      <c r="L29" s="338"/>
      <c r="M29" s="339">
        <f ca="1">INDIRECT("'数据-取费表'!k"&amp;$G$1)</f>
        <v>615.55999999999995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67304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37746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20594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3295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5669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499596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10225522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16612</v>
      </c>
      <c r="D43" s="337" t="s">
        <v>777</v>
      </c>
      <c r="E43" s="338" t="s">
        <v>778</v>
      </c>
      <c r="F43" s="339">
        <f ca="1">INDIRECT("'数据-取费表'!k"&amp;$G$1)</f>
        <v>615.55999999999995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-1058.5650000000001</v>
      </c>
      <c r="D45" s="3432" t="s">
        <v>3358</v>
      </c>
      <c r="E45" s="1400"/>
      <c r="F45" s="1400"/>
      <c r="O45" s="1403" t="s">
        <v>808</v>
      </c>
      <c r="P45" s="1461"/>
      <c r="Q45" s="1461"/>
      <c r="R45" s="1461"/>
    </row>
    <row r="46" spans="1:18" s="1384" customFormat="1" ht="13.5" thickBot="1">
      <c r="A46" s="1404" t="s">
        <v>809</v>
      </c>
      <c r="C46" s="1405">
        <f ca="1">ROUND(C45,0)</f>
        <v>-1059</v>
      </c>
      <c r="D46" s="1406" t="str">
        <f>C2</f>
        <v>万元</v>
      </c>
      <c r="I46" s="1407" t="s">
        <v>810</v>
      </c>
      <c r="J46" s="1408"/>
      <c r="K46" s="1409"/>
      <c r="L46" s="1410">
        <f ca="1">IF(M47="住宅",0,IF(L48&gt;J51,L60,J60))</f>
        <v>151475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10225522</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33</v>
      </c>
      <c r="O48" s="1418" t="s">
        <v>404</v>
      </c>
      <c r="P48" s="1419" t="s">
        <v>821</v>
      </c>
      <c r="Q48" s="1420">
        <f ca="1">J60</f>
        <v>151475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4118709</v>
      </c>
      <c r="R49" s="1420" t="s">
        <v>818</v>
      </c>
    </row>
    <row r="50" spans="1:18" s="1384" customFormat="1" ht="13.5" thickBot="1">
      <c r="A50" s="976"/>
      <c r="B50" s="979"/>
      <c r="C50" s="980"/>
      <c r="D50" s="953"/>
      <c r="E50" s="1056" t="s">
        <v>697</v>
      </c>
      <c r="F50" s="1057">
        <f ca="1">F7</f>
        <v>615.55999999999995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4780306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36" t="s">
        <v>837</v>
      </c>
      <c r="L53" s="3637"/>
      <c r="O53" s="1418" t="s">
        <v>409</v>
      </c>
      <c r="P53" s="1419" t="s">
        <v>838</v>
      </c>
      <c r="Q53" s="1420">
        <f ca="1">Q47+Q48</f>
        <v>10376997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3294967</v>
      </c>
      <c r="D56" s="1447"/>
      <c r="E56" s="1448"/>
      <c r="F56" s="1440"/>
      <c r="I56" s="1449" t="s">
        <v>842</v>
      </c>
      <c r="J56" s="1450" t="s">
        <v>3407</v>
      </c>
      <c r="K56" s="1421" t="s">
        <v>843</v>
      </c>
      <c r="L56" s="1424" t="str">
        <f ca="1">IF(L48&lt;J51,"——",L48-J51)</f>
        <v>——</v>
      </c>
      <c r="O56" s="1418" t="s">
        <v>403</v>
      </c>
      <c r="P56" s="1419" t="s">
        <v>817</v>
      </c>
      <c r="Q56" s="1420">
        <f ca="1">C40+J29</f>
        <v>10225522</v>
      </c>
      <c r="R56" s="1420" t="s">
        <v>818</v>
      </c>
    </row>
    <row r="57" spans="1:18" s="1384" customFormat="1" ht="24.75" thickBot="1">
      <c r="A57" s="1451"/>
      <c r="B57" s="950" t="s">
        <v>767</v>
      </c>
      <c r="C57" s="238">
        <f ca="1">C29</f>
        <v>4118709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23889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1647484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151475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10225522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3295</v>
      </c>
      <c r="D65" s="964" t="s">
        <v>743</v>
      </c>
      <c r="E65" s="950" t="s">
        <v>744</v>
      </c>
      <c r="F65" s="330">
        <f t="shared" ca="1" si="0"/>
        <v>1E-3</v>
      </c>
      <c r="I65" s="1462" t="s">
        <v>867</v>
      </c>
      <c r="J65" s="1463">
        <v>40</v>
      </c>
      <c r="K65" s="1463">
        <v>30</v>
      </c>
      <c r="L65" s="1463">
        <v>50</v>
      </c>
      <c r="M65" s="1465">
        <v>0.02</v>
      </c>
      <c r="O65" s="1418" t="s">
        <v>403</v>
      </c>
      <c r="P65" s="1419" t="s">
        <v>868</v>
      </c>
      <c r="Q65" s="1420">
        <f ca="1">C40+J29</f>
        <v>10225522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-23889</v>
      </c>
      <c r="D67" s="963" t="s">
        <v>753</v>
      </c>
      <c r="E67" s="968"/>
      <c r="F67" s="969"/>
      <c r="O67" s="1428" t="s">
        <v>405</v>
      </c>
      <c r="P67" s="1419" t="s">
        <v>850</v>
      </c>
      <c r="Q67" s="1466">
        <f ca="1">L51</f>
        <v>4780306</v>
      </c>
      <c r="R67" s="1420" t="s">
        <v>870</v>
      </c>
    </row>
    <row r="68" spans="1:18" s="1384" customFormat="1" ht="16.5" thickBot="1">
      <c r="A68" s="947" t="s">
        <v>395</v>
      </c>
      <c r="B68" s="948" t="s">
        <v>774</v>
      </c>
      <c r="C68" s="301">
        <f ca="1">ROUND(C67*(1-((1+F70)/(1+F68))^F69)/(F68-F70),0)</f>
        <v>-360128</v>
      </c>
      <c r="D68" s="965" t="s">
        <v>758</v>
      </c>
      <c r="E68" s="950" t="s">
        <v>759</v>
      </c>
      <c r="F68" s="312">
        <f ca="1">F40</f>
        <v>5.5E-2</v>
      </c>
      <c r="O68" s="1428" t="s">
        <v>406</v>
      </c>
      <c r="P68" s="1467" t="s">
        <v>871</v>
      </c>
      <c r="Q68" s="1420">
        <f ca="1">ROUND(Q69-Q70*Q71,0)</f>
        <v>268948</v>
      </c>
      <c r="R68" s="1420" t="s">
        <v>414</v>
      </c>
    </row>
    <row r="69" spans="1:18" s="1384" customFormat="1" ht="13.5" thickBot="1">
      <c r="A69" s="951"/>
      <c r="B69" s="952"/>
      <c r="C69" s="306"/>
      <c r="D69" s="970" t="s">
        <v>762</v>
      </c>
      <c r="E69" s="950" t="s">
        <v>763</v>
      </c>
      <c r="F69" s="333">
        <f ca="1">F41</f>
        <v>33</v>
      </c>
      <c r="O69" s="1428" t="s">
        <v>411</v>
      </c>
      <c r="P69" s="1467" t="s">
        <v>872</v>
      </c>
      <c r="Q69" s="1420">
        <f ca="1">C39</f>
        <v>499596</v>
      </c>
      <c r="R69" s="1420" t="s">
        <v>818</v>
      </c>
    </row>
    <row r="70" spans="1:18" s="1384" customFormat="1" ht="13.5" thickBot="1">
      <c r="A70" s="954"/>
      <c r="B70" s="955"/>
      <c r="C70" s="310"/>
      <c r="D70" s="966"/>
      <c r="E70" s="950" t="s">
        <v>766</v>
      </c>
      <c r="F70" s="1054"/>
      <c r="O70" s="1428" t="s">
        <v>412</v>
      </c>
      <c r="P70" s="1467" t="s">
        <v>873</v>
      </c>
      <c r="Q70" s="1420">
        <f ca="1">C13</f>
        <v>3294967</v>
      </c>
      <c r="R70" s="1420" t="s">
        <v>818</v>
      </c>
    </row>
    <row r="71" spans="1:18" s="1384" customFormat="1" ht="13.5" thickBot="1">
      <c r="A71" s="971" t="s">
        <v>396</v>
      </c>
      <c r="B71" s="972" t="s">
        <v>776</v>
      </c>
      <c r="C71" s="336">
        <f ca="1">ROUND(C68/F71,0)</f>
        <v>-585</v>
      </c>
      <c r="D71" s="973" t="s">
        <v>777</v>
      </c>
      <c r="E71" s="974" t="s">
        <v>778</v>
      </c>
      <c r="F71" s="339">
        <f ca="1">F43</f>
        <v>615.55999999999995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230648</v>
      </c>
      <c r="D75" s="1384"/>
      <c r="E75" s="1384"/>
      <c r="F75" s="1384"/>
      <c r="K75" s="1402"/>
      <c r="L75" s="1384"/>
      <c r="O75" s="1418" t="s">
        <v>409</v>
      </c>
      <c r="P75" s="1419" t="s">
        <v>838</v>
      </c>
      <c r="Q75" s="1420">
        <f ca="1">Q65+Q66</f>
        <v>10225522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0.53800000000000003</v>
      </c>
    </row>
    <row r="80" spans="1:18">
      <c r="B80" s="340" t="s">
        <v>800</v>
      </c>
      <c r="C80" s="274">
        <f ca="1">ROUND(C75/C39,3)</f>
        <v>0.46200000000000002</v>
      </c>
    </row>
    <row r="81" spans="2:3">
      <c r="B81" s="270" t="s">
        <v>801</v>
      </c>
      <c r="C81" s="238"/>
    </row>
    <row r="82" spans="2:3">
      <c r="B82" s="273" t="s">
        <v>802</v>
      </c>
      <c r="C82" s="275">
        <f ca="1">1-C83</f>
        <v>0.67799999999999994</v>
      </c>
    </row>
    <row r="83" spans="2:3">
      <c r="B83" s="273" t="s">
        <v>803</v>
      </c>
      <c r="C83" s="274">
        <f ca="1">ROUND(C13/C40,3)</f>
        <v>0.32200000000000001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1037.6996999999999</v>
      </c>
      <c r="C2" s="1872" t="s">
        <v>1651</v>
      </c>
      <c r="D2" s="1873" t="s">
        <v>1652</v>
      </c>
      <c r="E2" s="2607">
        <f>SUM(E6:E13)</f>
        <v>615.55999999999995</v>
      </c>
      <c r="F2" s="2707"/>
      <c r="G2" s="1489"/>
      <c r="H2" s="1489"/>
      <c r="I2" s="1489"/>
      <c r="J2" s="1489"/>
      <c r="K2" s="1489"/>
      <c r="L2" s="1489"/>
      <c r="M2" s="1489"/>
      <c r="N2" s="1489"/>
      <c r="O2" s="1489"/>
      <c r="P2" s="1489"/>
      <c r="Q2" s="1489"/>
      <c r="R2" s="1489"/>
      <c r="S2" s="1489"/>
    </row>
    <row r="3" spans="1:22" ht="15.75">
      <c r="A3" s="1870" t="s">
        <v>686</v>
      </c>
      <c r="B3" s="2601">
        <f ca="1">ROUND(B2*10000/E2,0)</f>
        <v>16858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1037.6996999999999</v>
      </c>
      <c r="C6" s="1872" t="s">
        <v>1651</v>
      </c>
      <c r="D6" s="2709"/>
      <c r="E6" s="2606">
        <f>IF(OR(A6=0,F6="否"),0,'数据-取费表'!K6+'数据-取费表'!S6)</f>
        <v>615.55999999999995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615.55999999999995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615.55999999999995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65"/>
      <c r="Q10" s="1343" t="str">
        <f t="shared" si="6"/>
        <v>土地使用年限（年）</v>
      </c>
      <c r="R10" s="701" t="s">
        <v>14</v>
      </c>
      <c r="S10" s="702">
        <f t="shared" si="0"/>
        <v>114</v>
      </c>
      <c r="T10" s="701" t="s">
        <v>14</v>
      </c>
      <c r="U10" s="702">
        <f t="shared" si="1"/>
        <v>114</v>
      </c>
      <c r="V10" s="701" t="s">
        <v>14</v>
      </c>
      <c r="W10" s="702">
        <f t="shared" si="2"/>
        <v>114</v>
      </c>
      <c r="X10" s="703"/>
      <c r="Y10" s="3540"/>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481.49</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134.07</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615.55999999999995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65"/>
      <c r="Q10" s="1343" t="str">
        <f t="shared" si="6"/>
        <v>土地使用年限（年）</v>
      </c>
      <c r="R10" s="701" t="s">
        <v>14</v>
      </c>
      <c r="S10" s="702">
        <f t="shared" si="0"/>
        <v>114</v>
      </c>
      <c r="T10" s="701" t="s">
        <v>14</v>
      </c>
      <c r="U10" s="702">
        <f t="shared" si="1"/>
        <v>114</v>
      </c>
      <c r="V10" s="701" t="s">
        <v>14</v>
      </c>
      <c r="W10" s="702">
        <f t="shared" si="2"/>
        <v>114</v>
      </c>
      <c r="X10" s="703"/>
      <c r="Y10" s="3540"/>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481.49</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134.07</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L18" sqref="L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16818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3382</v>
      </c>
      <c r="F3" s="2004" t="s">
        <v>3383</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13256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11204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11546</v>
      </c>
      <c r="D5" s="1339">
        <f>ROUND(C6*C17+C20,0)</f>
        <v>10994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9881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61">
        <f>ROUND(SUMPRODUCT((B106:B110=R6)*(C105:N105=G2)*(C106:N110)),4)</f>
        <v>0.84799999999999998</v>
      </c>
      <c r="T6" s="3361">
        <f t="shared" si="0"/>
        <v>9496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1.05</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3385</v>
      </c>
      <c r="I20" s="3326" t="s">
        <v>3386</v>
      </c>
      <c r="J20" s="3327"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45131</v>
      </c>
      <c r="H23" s="3343" t="s">
        <v>3261</v>
      </c>
      <c r="I23" s="3344" t="str">
        <f>IF(H23="季度增幅（自定义）",SUMIF(N25:N28,E2,O25:O28),"")</f>
        <v/>
      </c>
      <c r="J23" s="3446" t="s">
        <v>3391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0.89039999999999997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33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1.0512999999999999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1.0512999999999999</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11772</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2943</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6398</v>
      </c>
      <c r="D37" s="2098"/>
      <c r="E37" s="171">
        <f>ROUND(C37*D37/10000,0)</f>
        <v>0</v>
      </c>
      <c r="F37" s="171">
        <f>SUMIF(修正!A57:A68,G2,修正!B57:B68)</f>
        <v>0.6</v>
      </c>
      <c r="G37" s="171">
        <f>ROUND(IF(E2="工业",C37*$M$42,C37*$M$41),0)</f>
        <v>1600</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3199</v>
      </c>
      <c r="D38" s="2098"/>
      <c r="E38" s="171">
        <f t="shared" ref="E38:E42" si="4">ROUND(C38*D38/10000,0)</f>
        <v>0</v>
      </c>
      <c r="F38" s="171">
        <f>SUMIF(修正!A57:A68,G2,修正!C57:C68)</f>
        <v>0.3</v>
      </c>
      <c r="G38" s="171">
        <f>ROUND(IF(E2="工业",C38*$M$42,C38*$M$41),0)</f>
        <v>800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2666</v>
      </c>
      <c r="D39" s="2098"/>
      <c r="E39" s="171">
        <f t="shared" si="4"/>
        <v>0</v>
      </c>
      <c r="F39" s="171">
        <f>SUMIF(修正!A57:A68,G2,修正!D57:D68)</f>
        <v>0.25</v>
      </c>
      <c r="G39" s="171">
        <f>ROUND(IF(E2="工业",C39*$M$42,C39*$M$41),0)</f>
        <v>667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2666</v>
      </c>
      <c r="D40" s="2098"/>
      <c r="E40" s="171">
        <f t="shared" si="4"/>
        <v>0</v>
      </c>
      <c r="F40" s="175">
        <f>SUMIF(修正!A57:A68,G2,修正!E57:E68)</f>
        <v>0.25</v>
      </c>
      <c r="G40" s="171">
        <f>ROUND(IF(E2="工业",C40*$M$42,C40*$M$41),0)</f>
        <v>667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2666</v>
      </c>
      <c r="D41" s="2098"/>
      <c r="E41" s="171">
        <f t="shared" si="4"/>
        <v>0</v>
      </c>
      <c r="F41" s="175">
        <f>SUMIF(修正!A57:A68,G2,修正!F57:F68)</f>
        <v>0.25</v>
      </c>
      <c r="G41" s="171">
        <f>ROUND(IF(E2="工业",C41*$M$42,C41*$M$41),0)</f>
        <v>667</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1599</v>
      </c>
      <c r="D42" s="2103"/>
      <c r="E42" s="187">
        <f t="shared" si="4"/>
        <v>0</v>
      </c>
      <c r="F42" s="767">
        <f>SUMIF(修正!A57:A68,G2,修正!G57:G68)</f>
        <v>0.15</v>
      </c>
      <c r="G42" s="187">
        <f>ROUND(IF(E2="工业",C42*$M$42,C42*$M$41),0)</f>
        <v>400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0.89039999999999997</v>
      </c>
      <c r="D44" s="171" t="s">
        <v>1999</v>
      </c>
      <c r="E44" s="2153">
        <f>G24</f>
        <v>5.5E-2</v>
      </c>
      <c r="F44" s="171" t="s">
        <v>2008</v>
      </c>
      <c r="G44" s="183">
        <f>项目基本情况!F15</f>
        <v>33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3392</v>
      </c>
      <c r="D61" s="1065">
        <f t="shared" ref="D61:D69" si="12">SUMIF($J$60:$N$60,C61,J61:N61)</f>
        <v>1.5699999999999999E-2</v>
      </c>
      <c r="E61" s="744">
        <f>ROUND(SUM(D61:D69),4)</f>
        <v>6.0600000000000001E-2</v>
      </c>
      <c r="F61" s="1814">
        <f>IF(E2="办公",SUMIF(L1:L12,G2,N1:N12),"——")</f>
        <v>0.126</v>
      </c>
      <c r="G61" s="1063">
        <f>H61</f>
        <v>1.5699999999999999E-2</v>
      </c>
      <c r="H61" s="1066">
        <f t="shared" ref="H61:H69" si="13">IFERROR(ROUNDDOWN($F$61*I61/2,4),"——")</f>
        <v>1.5699999999999999E-2</v>
      </c>
      <c r="I61" s="3367">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3392</v>
      </c>
      <c r="D62" s="1065">
        <f t="shared" si="12"/>
        <v>1.6299999999999999E-2</v>
      </c>
      <c r="E62" s="745"/>
      <c r="F62" s="1814"/>
      <c r="G62" s="1063">
        <f t="shared" ref="G62:G69" si="17">H62</f>
        <v>1.6299999999999999E-2</v>
      </c>
      <c r="H62" s="1066">
        <f t="shared" si="13"/>
        <v>1.6299999999999999E-2</v>
      </c>
      <c r="I62" s="3367">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3392</v>
      </c>
      <c r="D63" s="1065">
        <f t="shared" si="12"/>
        <v>6.8999999999999999E-3</v>
      </c>
      <c r="E63" s="745"/>
      <c r="F63" s="1814"/>
      <c r="G63" s="1063">
        <f t="shared" si="17"/>
        <v>6.8999999999999999E-3</v>
      </c>
      <c r="H63" s="1066">
        <f t="shared" si="13"/>
        <v>6.8999999999999999E-3</v>
      </c>
      <c r="I63" s="3367">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3392</v>
      </c>
      <c r="D64" s="1065">
        <f t="shared" si="12"/>
        <v>3.0999999999999999E-3</v>
      </c>
      <c r="E64" s="745"/>
      <c r="F64" s="1814"/>
      <c r="G64" s="1063">
        <f t="shared" si="17"/>
        <v>3.0999999999999999E-3</v>
      </c>
      <c r="H64" s="1066">
        <f t="shared" si="13"/>
        <v>3.0999999999999999E-3</v>
      </c>
      <c r="I64" s="3367">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3393</v>
      </c>
      <c r="D65" s="1065">
        <f t="shared" si="12"/>
        <v>0</v>
      </c>
      <c r="E65" s="745"/>
      <c r="F65" s="1814"/>
      <c r="G65" s="1063">
        <f t="shared" si="17"/>
        <v>3.0999999999999999E-3</v>
      </c>
      <c r="H65" s="1066">
        <f t="shared" si="13"/>
        <v>3.0999999999999999E-3</v>
      </c>
      <c r="I65" s="3367">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3392</v>
      </c>
      <c r="D66" s="1065">
        <f t="shared" si="12"/>
        <v>3.7000000000000002E-3</v>
      </c>
      <c r="E66" s="745"/>
      <c r="F66" s="1814"/>
      <c r="G66" s="1063">
        <f t="shared" si="17"/>
        <v>3.7000000000000002E-3</v>
      </c>
      <c r="H66" s="1066">
        <f t="shared" si="13"/>
        <v>3.7000000000000002E-3</v>
      </c>
      <c r="I66" s="3367">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3392</v>
      </c>
      <c r="D67" s="1065">
        <f t="shared" si="12"/>
        <v>3.7000000000000002E-3</v>
      </c>
      <c r="E67" s="745"/>
      <c r="F67" s="1814"/>
      <c r="G67" s="1063">
        <f t="shared" si="17"/>
        <v>3.7000000000000002E-3</v>
      </c>
      <c r="H67" s="1066">
        <f t="shared" si="13"/>
        <v>3.7000000000000002E-3</v>
      </c>
      <c r="I67" s="3367">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1.12E-2</v>
      </c>
      <c r="E68" s="745"/>
      <c r="F68" s="1814"/>
      <c r="G68" s="1063">
        <f t="shared" si="17"/>
        <v>5.5999999999999999E-3</v>
      </c>
      <c r="H68" s="1066">
        <f t="shared" si="13"/>
        <v>5.5999999999999999E-3</v>
      </c>
      <c r="I68" s="3367">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0</v>
      </c>
      <c r="E69" s="746"/>
      <c r="F69" s="1814"/>
      <c r="G69" s="1063">
        <f t="shared" si="17"/>
        <v>4.4000000000000003E-3</v>
      </c>
      <c r="H69" s="1066">
        <f t="shared" si="13"/>
        <v>4.4000000000000003E-3</v>
      </c>
      <c r="I69" s="3368">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0.91310000000000002</v>
      </c>
      <c r="E116" s="2000" t="s">
        <v>3319</v>
      </c>
      <c r="F116" s="3402" t="str">
        <f>E2</f>
        <v>办公</v>
      </c>
      <c r="G116" s="2000" t="s">
        <v>3320</v>
      </c>
      <c r="H116" s="3402" t="str">
        <f>G2</f>
        <v>六级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1.0512999999999999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28800</v>
      </c>
      <c r="C2" s="2" t="s">
        <v>106</v>
      </c>
      <c r="D2" s="199"/>
      <c r="E2" s="199"/>
      <c r="F2" s="199"/>
      <c r="G2" s="199"/>
    </row>
    <row r="3" spans="1:7" s="200" customFormat="1" ht="18" customHeight="1" thickBot="1">
      <c r="A3" s="203" t="s">
        <v>58</v>
      </c>
      <c r="B3" s="204">
        <f ca="1">ROUND(B2*10000/'数据-汇总表'!E3,0)</f>
        <v>467867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v>
      </c>
      <c r="D10" s="845">
        <f>'数据-汇总表'!E6</f>
        <v>615.55999999999995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615.55999999999995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1512</v>
      </c>
      <c r="D22" s="235">
        <f ca="1">C26</f>
        <v>1.1000000000000001E-3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615.55999999999995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1.1000000000000001E-3</v>
      </c>
      <c r="D44" s="238"/>
      <c r="E44" s="238"/>
      <c r="F44" s="239"/>
      <c r="G44" s="3635"/>
    </row>
    <row r="45" spans="1:7" s="214" customFormat="1" ht="13.5" customHeight="1">
      <c r="A45" s="777" t="s">
        <v>341</v>
      </c>
      <c r="B45" s="244" t="s">
        <v>85</v>
      </c>
      <c r="C45" s="245">
        <f>C46</f>
        <v>47</v>
      </c>
      <c r="D45" s="235">
        <f>C47</f>
        <v>4.4999999999999997E-3</v>
      </c>
      <c r="E45" s="236" t="s">
        <v>102</v>
      </c>
      <c r="F45" s="246"/>
      <c r="G45" s="247" t="s">
        <v>434</v>
      </c>
    </row>
    <row r="46" spans="1:7" s="214" customFormat="1" ht="13.5" customHeight="1">
      <c r="A46" s="780" t="s">
        <v>349</v>
      </c>
      <c r="B46" s="248" t="s">
        <v>427</v>
      </c>
      <c r="C46" s="249">
        <f>ROUND((C33+C39)*F27,0)</f>
        <v>47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329</v>
      </c>
      <c r="D51" s="232"/>
      <c r="E51" s="232"/>
      <c r="F51" s="264"/>
      <c r="G51" s="234" t="s">
        <v>37</v>
      </c>
    </row>
    <row r="52" spans="1:7" s="208" customFormat="1" ht="16.5" thickBot="1">
      <c r="A52" s="265" t="s">
        <v>38</v>
      </c>
      <c r="B52" s="266"/>
      <c r="C52" s="267">
        <f ca="1">C31+C51</f>
        <v>28800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1111</v>
      </c>
      <c r="E5" s="1491"/>
    </row>
    <row r="6" spans="1:5" ht="15.75">
      <c r="A6" s="1491"/>
      <c r="B6" s="3452"/>
      <c r="C6" s="1494" t="s">
        <v>911</v>
      </c>
      <c r="D6" s="850" t="str">
        <f ca="1">NUMBERSTRING(INT(D5*10000),2)&amp;"元整"</f>
        <v>壹仟壹佰壹拾壹万元整</v>
      </c>
      <c r="E6" s="1491"/>
    </row>
    <row r="7" spans="1:5" ht="15.75">
      <c r="A7" s="1491"/>
      <c r="B7" s="3457"/>
      <c r="C7" s="1495" t="s">
        <v>912</v>
      </c>
      <c r="D7" s="851">
        <f ca="1">结果表!H102</f>
        <v>18049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1111</v>
      </c>
      <c r="E13" s="1491"/>
    </row>
    <row r="14" spans="1:5" ht="15.75">
      <c r="A14" s="1491"/>
      <c r="B14" s="3452"/>
      <c r="C14" s="1494" t="s">
        <v>911</v>
      </c>
      <c r="D14" s="850" t="str">
        <f ca="1">NUMBERSTRING(INT(D13*10000),2)&amp;"元整"</f>
        <v>壹仟壹佰壹拾壹万元整</v>
      </c>
      <c r="E14" s="1491"/>
    </row>
    <row r="15" spans="1:5" ht="15">
      <c r="A15" s="1491"/>
      <c r="B15" s="3457"/>
      <c r="C15" s="1495" t="s">
        <v>921</v>
      </c>
      <c r="D15" s="859">
        <f ca="1">结果表!H108</f>
        <v>18049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17" sqref="J17"/>
    </sheetView>
  </sheetViews>
  <sheetFormatPr defaultRowHeight="13.5"/>
  <cols>
    <col min="1" max="1" width="13.875" customWidth="1"/>
    <col min="11" max="17" width="0" hidden="1" customWidth="1"/>
    <col min="25" max="30" width="0" hidden="1" customWidth="1"/>
  </cols>
  <sheetData>
    <row r="1" spans="1:30">
      <c r="A1" s="3221">
        <f>基准地价修正!G23</f>
        <v>45131</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615.55999999999995</v>
      </c>
      <c r="C4" s="854">
        <f>项目基本情况!C18</f>
        <v>0</v>
      </c>
      <c r="D4" s="854" t="e">
        <f ca="1">结果表!D118</f>
        <v>#REF!</v>
      </c>
      <c r="E4" s="854" t="e">
        <f ca="1">结果表!E118</f>
        <v>#REF!</v>
      </c>
      <c r="F4" s="854" t="e">
        <f ca="1">结果表!F118</f>
        <v>#REF!</v>
      </c>
      <c r="G4" s="854" t="e">
        <f ca="1">结果表!G118</f>
        <v>#REF!</v>
      </c>
      <c r="H4" s="854">
        <f ca="1">结果表!H118</f>
        <v>1111</v>
      </c>
      <c r="I4" s="854">
        <f ca="1">结果表!I118</f>
        <v>18049</v>
      </c>
    </row>
    <row r="5" spans="1:9" ht="30" customHeight="1">
      <c r="A5" s="3464" t="s">
        <v>927</v>
      </c>
      <c r="B5" s="3464"/>
      <c r="C5" s="3464"/>
      <c r="D5" s="3464" t="e">
        <f ca="1">结果表!D119</f>
        <v>#REF!</v>
      </c>
      <c r="E5" s="3464"/>
      <c r="F5" s="3464" t="e">
        <f ca="1">结果表!F119</f>
        <v>#REF!</v>
      </c>
      <c r="G5" s="3464"/>
      <c r="H5" s="3464" t="str">
        <f ca="1">结果表!H119</f>
        <v>壹仟壹佰壹拾壹万元整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1111</v>
      </c>
      <c r="E8" s="3463"/>
      <c r="F8" s="3463"/>
      <c r="G8" s="3463"/>
      <c r="H8" s="3463"/>
      <c r="I8" s="3463"/>
    </row>
    <row r="9" spans="1:9" ht="15">
      <c r="A9" s="3464" t="s">
        <v>927</v>
      </c>
      <c r="B9" s="3464"/>
      <c r="C9" s="3464"/>
      <c r="D9" s="3464" t="str">
        <f ca="1">结果表!D123</f>
        <v>壹仟壹佰壹拾壹万元整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2023-07-25T07:28:23Z</dcterms:modified>
</cp:coreProperties>
</file>